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210" windowWidth="12285" windowHeight="6615" tabRatio="955"/>
  </bookViews>
  <sheets>
    <sheet name="System Selection" sheetId="5" r:id="rId1"/>
    <sheet name="Battery Design" sheetId="3" r:id="rId2"/>
    <sheet name="Summary of Results" sheetId="4" r:id="rId3"/>
    <sheet name="Manufacturing Cost Calculations" sheetId="1" r:id="rId4"/>
    <sheet name="Cost Input" sheetId="2" r:id="rId5"/>
    <sheet name="Price of Modules" sheetId="9" r:id="rId6"/>
    <sheet name="Cell Design" sheetId="7" r:id="rId7"/>
    <sheet name="Plant Schematic" sheetId="8" r:id="rId8"/>
    <sheet name="About This Model" sheetId="10" r:id="rId9"/>
  </sheets>
  <definedNames>
    <definedName name="_xlnm.Print_Area" localSheetId="1">'Battery Design'!$A$1:$J$186</definedName>
    <definedName name="_xlnm.Print_Area" localSheetId="6">'Cell Design'!$A$1:$S$48</definedName>
    <definedName name="_xlnm.Print_Area" localSheetId="4">'Cost Input'!$A$1:$J$130</definedName>
    <definedName name="_xlnm.Print_Area" localSheetId="3">'Manufacturing Cost Calculations'!$A$1:$J$281</definedName>
    <definedName name="_xlnm.Print_Area" localSheetId="2">'Summary of Results'!$A$1:$J$93</definedName>
    <definedName name="_xlnm.Print_Area" localSheetId="0">'System Selection'!$A$1:$K$79</definedName>
    <definedName name="_xlnm.Print_Titles" localSheetId="1">'Battery Design'!$3:$3</definedName>
  </definedNames>
  <calcPr calcId="125725" fullCalcOnLoad="1" iterate="1" iterateCount="1000"/>
</workbook>
</file>

<file path=xl/calcChain.xml><?xml version="1.0" encoding="utf-8"?>
<calcChain xmlns="http://schemas.openxmlformats.org/spreadsheetml/2006/main">
  <c r="F28" i="3"/>
  <c r="G48"/>
  <c r="G49"/>
  <c r="H48"/>
  <c r="H49"/>
  <c r="I48"/>
  <c r="I49"/>
  <c r="J48"/>
  <c r="J49"/>
  <c r="F49"/>
  <c r="E46" i="5"/>
  <c r="H38" i="3" s="1"/>
  <c r="F55"/>
  <c r="F56"/>
  <c r="D244" i="1"/>
  <c r="D245"/>
  <c r="D246" s="1"/>
  <c r="A2" i="3"/>
  <c r="J6" i="1"/>
  <c r="J55" i="3"/>
  <c r="J56"/>
  <c r="D224" i="1"/>
  <c r="E224"/>
  <c r="I6"/>
  <c r="I8"/>
  <c r="I55" i="3"/>
  <c r="I56"/>
  <c r="H6" i="1"/>
  <c r="H55" i="3"/>
  <c r="H56"/>
  <c r="G6" i="1"/>
  <c r="G8" s="1"/>
  <c r="G55" i="3"/>
  <c r="G56"/>
  <c r="F6" i="1"/>
  <c r="F8" s="1"/>
  <c r="D213"/>
  <c r="E213"/>
  <c r="D219"/>
  <c r="E219"/>
  <c r="D198"/>
  <c r="E198"/>
  <c r="D203"/>
  <c r="E203"/>
  <c r="D208"/>
  <c r="E208"/>
  <c r="J17" i="9"/>
  <c r="I17"/>
  <c r="H17"/>
  <c r="G17"/>
  <c r="F17"/>
  <c r="I9" i="4"/>
  <c r="I9" i="9"/>
  <c r="G9" i="4"/>
  <c r="G9" i="9" s="1"/>
  <c r="F9" i="4"/>
  <c r="F9" i="9" s="1"/>
  <c r="J7" i="4"/>
  <c r="J7" i="9" s="1"/>
  <c r="I7" i="4"/>
  <c r="I7" i="9"/>
  <c r="H7" i="4"/>
  <c r="H7" i="9" s="1"/>
  <c r="G7" i="4"/>
  <c r="G7" i="9" s="1"/>
  <c r="F7" i="4"/>
  <c r="F7" i="9" s="1"/>
  <c r="G149" i="3"/>
  <c r="H149"/>
  <c r="I149"/>
  <c r="J149"/>
  <c r="D91" i="2"/>
  <c r="D128" i="1"/>
  <c r="D85" i="2"/>
  <c r="P7"/>
  <c r="J7"/>
  <c r="E17" i="1"/>
  <c r="E5" i="5"/>
  <c r="F32" i="3"/>
  <c r="E9" i="5"/>
  <c r="D9" i="3"/>
  <c r="E122" i="1"/>
  <c r="D122"/>
  <c r="J28" i="3"/>
  <c r="J109"/>
  <c r="I28"/>
  <c r="I109"/>
  <c r="H28"/>
  <c r="H109"/>
  <c r="G28"/>
  <c r="G109"/>
  <c r="E47" i="5"/>
  <c r="J39" i="3"/>
  <c r="J38"/>
  <c r="G38"/>
  <c r="G116" s="1"/>
  <c r="J218" i="1"/>
  <c r="D220"/>
  <c r="E220"/>
  <c r="I218"/>
  <c r="H218"/>
  <c r="G218"/>
  <c r="F218"/>
  <c r="E8" i="5"/>
  <c r="D8" i="3"/>
  <c r="E11" i="5"/>
  <c r="C10" i="3"/>
  <c r="E13" i="5"/>
  <c r="E7" i="3"/>
  <c r="E14" i="5"/>
  <c r="E8" i="3"/>
  <c r="E15" i="5"/>
  <c r="E9" i="3"/>
  <c r="E58" i="5"/>
  <c r="J42" i="3"/>
  <c r="I42"/>
  <c r="G42"/>
  <c r="P12" i="2"/>
  <c r="J12"/>
  <c r="E32" i="1"/>
  <c r="P11" i="2"/>
  <c r="J11"/>
  <c r="E31" i="1"/>
  <c r="P10" i="2"/>
  <c r="J10"/>
  <c r="E30" i="1"/>
  <c r="P9" i="2"/>
  <c r="J9"/>
  <c r="E29" i="1"/>
  <c r="P8" i="2"/>
  <c r="J8"/>
  <c r="E23" i="1"/>
  <c r="J153" i="3"/>
  <c r="I153"/>
  <c r="H153"/>
  <c r="G153"/>
  <c r="F153"/>
  <c r="E41" i="5"/>
  <c r="J27" i="3"/>
  <c r="I27"/>
  <c r="H27"/>
  <c r="G27"/>
  <c r="F27"/>
  <c r="F39"/>
  <c r="F117" s="1"/>
  <c r="F38"/>
  <c r="E17" i="5"/>
  <c r="J36" i="3"/>
  <c r="I36"/>
  <c r="H36"/>
  <c r="G36"/>
  <c r="F36"/>
  <c r="E18" i="5"/>
  <c r="J34" i="3"/>
  <c r="I34"/>
  <c r="H34"/>
  <c r="G34"/>
  <c r="F34"/>
  <c r="J32"/>
  <c r="I32"/>
  <c r="H32"/>
  <c r="G32"/>
  <c r="E62" i="5"/>
  <c r="E60"/>
  <c r="J102" i="3"/>
  <c r="I102"/>
  <c r="H102"/>
  <c r="G102"/>
  <c r="J103"/>
  <c r="I103"/>
  <c r="H103"/>
  <c r="G103"/>
  <c r="J101"/>
  <c r="I101"/>
  <c r="H101"/>
  <c r="G101"/>
  <c r="J95"/>
  <c r="I95"/>
  <c r="H95"/>
  <c r="G95"/>
  <c r="J93"/>
  <c r="I93"/>
  <c r="H93"/>
  <c r="G93"/>
  <c r="E33" i="5"/>
  <c r="C20" i="3"/>
  <c r="E31" i="5"/>
  <c r="D19" i="3"/>
  <c r="E34" i="5"/>
  <c r="D20" i="3"/>
  <c r="E48" i="5"/>
  <c r="J71" i="3"/>
  <c r="I71"/>
  <c r="G71"/>
  <c r="J70"/>
  <c r="I70"/>
  <c r="H70"/>
  <c r="G70"/>
  <c r="E24" i="5"/>
  <c r="C16" i="3"/>
  <c r="E26" i="5"/>
  <c r="E13" i="3"/>
  <c r="E22" i="5"/>
  <c r="D15" i="3"/>
  <c r="E28" i="5"/>
  <c r="E15" i="3"/>
  <c r="E21" i="5"/>
  <c r="D14" i="3"/>
  <c r="E27" i="5"/>
  <c r="E14" i="3"/>
  <c r="F101"/>
  <c r="F116"/>
  <c r="D66" i="5"/>
  <c r="D20" i="2"/>
  <c r="D54" i="1" s="1"/>
  <c r="D67" i="5"/>
  <c r="D21" i="2"/>
  <c r="D76" i="5"/>
  <c r="D30" i="2"/>
  <c r="D75" i="5"/>
  <c r="D29" i="2"/>
  <c r="D62" i="1" s="1"/>
  <c r="D68" i="5"/>
  <c r="D22" i="2"/>
  <c r="D56" i="1" s="1"/>
  <c r="D69" i="5"/>
  <c r="D23" i="2"/>
  <c r="D57" i="1"/>
  <c r="D71" i="5"/>
  <c r="D25" i="2"/>
  <c r="D72" i="5"/>
  <c r="D26" i="2"/>
  <c r="D60" i="1"/>
  <c r="D73" i="5"/>
  <c r="D27" i="2"/>
  <c r="D61" i="1" s="1"/>
  <c r="D74" i="5"/>
  <c r="D28" i="2"/>
  <c r="D77" i="5"/>
  <c r="D31" i="2"/>
  <c r="D78" i="5"/>
  <c r="D32" i="2"/>
  <c r="D65" i="1"/>
  <c r="D79" i="5"/>
  <c r="D33" i="2"/>
  <c r="D66" i="1" s="1"/>
  <c r="D133" i="2"/>
  <c r="D134"/>
  <c r="D135"/>
  <c r="A63" i="3"/>
  <c r="A2" i="1"/>
  <c r="D55"/>
  <c r="D59"/>
  <c r="D64"/>
  <c r="E252"/>
  <c r="E85"/>
  <c r="E86"/>
  <c r="E87"/>
  <c r="D104"/>
  <c r="E104"/>
  <c r="D105"/>
  <c r="E105"/>
  <c r="D106"/>
  <c r="E106"/>
  <c r="D111"/>
  <c r="E111"/>
  <c r="D112"/>
  <c r="E112"/>
  <c r="D113"/>
  <c r="E113"/>
  <c r="D116"/>
  <c r="E116"/>
  <c r="D117"/>
  <c r="E117"/>
  <c r="D118"/>
  <c r="E118"/>
  <c r="D123"/>
  <c r="E123"/>
  <c r="D124"/>
  <c r="E124"/>
  <c r="D125"/>
  <c r="E125"/>
  <c r="D129"/>
  <c r="E129"/>
  <c r="D130"/>
  <c r="E130"/>
  <c r="D131"/>
  <c r="E131"/>
  <c r="D134"/>
  <c r="E134"/>
  <c r="D135"/>
  <c r="E135"/>
  <c r="D136"/>
  <c r="E136"/>
  <c r="E140"/>
  <c r="E141"/>
  <c r="D142"/>
  <c r="E142"/>
  <c r="E145"/>
  <c r="E146"/>
  <c r="D147"/>
  <c r="E147"/>
  <c r="D150"/>
  <c r="E150"/>
  <c r="D151"/>
  <c r="E151"/>
  <c r="D152"/>
  <c r="E152"/>
  <c r="D155"/>
  <c r="E155"/>
  <c r="D156"/>
  <c r="E156"/>
  <c r="D157"/>
  <c r="E157"/>
  <c r="D160"/>
  <c r="E160"/>
  <c r="D161"/>
  <c r="E161"/>
  <c r="D162"/>
  <c r="E162"/>
  <c r="D165"/>
  <c r="E165"/>
  <c r="D166"/>
  <c r="E166"/>
  <c r="D167"/>
  <c r="E167"/>
  <c r="D171"/>
  <c r="E171"/>
  <c r="D172"/>
  <c r="E172"/>
  <c r="D173"/>
  <c r="E173"/>
  <c r="D174"/>
  <c r="E174"/>
  <c r="D177"/>
  <c r="E177"/>
  <c r="D178"/>
  <c r="E178"/>
  <c r="D179"/>
  <c r="H179" s="1"/>
  <c r="E179"/>
  <c r="D182"/>
  <c r="E182"/>
  <c r="D183"/>
  <c r="E183"/>
  <c r="D184"/>
  <c r="E184"/>
  <c r="D187"/>
  <c r="E187"/>
  <c r="D188"/>
  <c r="E188"/>
  <c r="D189"/>
  <c r="E189"/>
  <c r="D192"/>
  <c r="E192"/>
  <c r="D193"/>
  <c r="E193"/>
  <c r="D194"/>
  <c r="E194"/>
  <c r="D197"/>
  <c r="E197"/>
  <c r="D199"/>
  <c r="E199"/>
  <c r="D200"/>
  <c r="E200"/>
  <c r="D204"/>
  <c r="E204"/>
  <c r="D205"/>
  <c r="E205"/>
  <c r="D209"/>
  <c r="E209"/>
  <c r="D210"/>
  <c r="E210"/>
  <c r="D214"/>
  <c r="E214"/>
  <c r="D215"/>
  <c r="E215"/>
  <c r="D221"/>
  <c r="E221"/>
  <c r="D225"/>
  <c r="E225"/>
  <c r="D226"/>
  <c r="E226"/>
  <c r="D229"/>
  <c r="E229"/>
  <c r="D230"/>
  <c r="E230"/>
  <c r="D231"/>
  <c r="E231"/>
  <c r="A2" i="4"/>
  <c r="F17"/>
  <c r="G17"/>
  <c r="H17"/>
  <c r="I17"/>
  <c r="J17"/>
  <c r="E30" i="5"/>
  <c r="C19" i="3"/>
  <c r="E19"/>
  <c r="E36" i="5"/>
  <c r="D21" i="3"/>
  <c r="E38" i="5"/>
  <c r="E21" i="3"/>
  <c r="E39" i="5"/>
  <c r="E22" i="3"/>
  <c r="E42" i="5"/>
  <c r="D25" i="3"/>
  <c r="E43" i="5"/>
  <c r="E25" i="3"/>
  <c r="F70"/>
  <c r="F71"/>
  <c r="F93"/>
  <c r="F95"/>
  <c r="F102"/>
  <c r="F103"/>
  <c r="F109"/>
  <c r="F7" i="5"/>
  <c r="E7"/>
  <c r="D7" i="3"/>
  <c r="D11" s="1"/>
  <c r="G7" i="5"/>
  <c r="H7"/>
  <c r="I7"/>
  <c r="J7"/>
  <c r="E10"/>
  <c r="F20"/>
  <c r="E20"/>
  <c r="D13" i="3"/>
  <c r="E17" s="1"/>
  <c r="G20" i="5"/>
  <c r="H20"/>
  <c r="I20"/>
  <c r="J20"/>
  <c r="E23"/>
  <c r="E37"/>
  <c r="F38"/>
  <c r="G38"/>
  <c r="H38"/>
  <c r="I38"/>
  <c r="J38"/>
  <c r="E44"/>
  <c r="E49"/>
  <c r="E50"/>
  <c r="E55"/>
  <c r="E52"/>
  <c r="E53"/>
  <c r="E54"/>
  <c r="E56"/>
  <c r="F57"/>
  <c r="E57"/>
  <c r="G57"/>
  <c r="H57"/>
  <c r="I57"/>
  <c r="J57"/>
  <c r="E61"/>
  <c r="E63"/>
  <c r="E66"/>
  <c r="E20" i="2"/>
  <c r="E54" i="1" s="1"/>
  <c r="E67" i="5"/>
  <c r="E21" i="2"/>
  <c r="E55" i="1" s="1"/>
  <c r="E68" i="5"/>
  <c r="E22" i="2"/>
  <c r="E56" i="1"/>
  <c r="E69" i="5"/>
  <c r="E23" i="2"/>
  <c r="E57" i="1"/>
  <c r="E71" i="5"/>
  <c r="E25" i="2"/>
  <c r="E59" i="1"/>
  <c r="E72" i="5"/>
  <c r="E26" i="2"/>
  <c r="E60" i="1" s="1"/>
  <c r="E73" i="5"/>
  <c r="E27" i="2"/>
  <c r="E61" i="1"/>
  <c r="E74" i="5"/>
  <c r="E28" i="2"/>
  <c r="E75" i="5"/>
  <c r="E29" i="2"/>
  <c r="E62" i="1" s="1"/>
  <c r="E76" i="5"/>
  <c r="E30" i="2"/>
  <c r="E63" i="1"/>
  <c r="E77" i="5"/>
  <c r="E31" i="2"/>
  <c r="E64" i="1" s="1"/>
  <c r="E78" i="5"/>
  <c r="E32" i="2"/>
  <c r="E65" i="1" s="1"/>
  <c r="E79" i="5"/>
  <c r="E33" i="2"/>
  <c r="E66" i="1" s="1"/>
  <c r="F100" i="3"/>
  <c r="F92" i="1"/>
  <c r="G92"/>
  <c r="H92"/>
  <c r="I92"/>
  <c r="J92"/>
  <c r="G100" i="3"/>
  <c r="H100"/>
  <c r="I100"/>
  <c r="J100"/>
  <c r="I40"/>
  <c r="G40"/>
  <c r="J40"/>
  <c r="H40"/>
  <c r="F40"/>
  <c r="H20" i="2"/>
  <c r="D63" i="1"/>
  <c r="I73" i="3"/>
  <c r="G73"/>
  <c r="E20"/>
  <c r="F73"/>
  <c r="J73"/>
  <c r="H73"/>
  <c r="H8" i="1"/>
  <c r="H9" i="4"/>
  <c r="H9" i="9"/>
  <c r="I9" i="1"/>
  <c r="I47"/>
  <c r="I48"/>
  <c r="D17" i="3"/>
  <c r="I137"/>
  <c r="G137"/>
  <c r="F137"/>
  <c r="J137"/>
  <c r="H137"/>
  <c r="J8" i="1"/>
  <c r="J47" s="1"/>
  <c r="J48" s="1"/>
  <c r="J9" i="4"/>
  <c r="J9" i="9" s="1"/>
  <c r="J117" i="3"/>
  <c r="J116"/>
  <c r="H71"/>
  <c r="F42"/>
  <c r="H42"/>
  <c r="G39"/>
  <c r="G117"/>
  <c r="H39"/>
  <c r="H117"/>
  <c r="I39"/>
  <c r="I117" s="1"/>
  <c r="I223" i="1"/>
  <c r="I170"/>
  <c r="I176" s="1"/>
  <c r="H9"/>
  <c r="H47"/>
  <c r="H48" s="1"/>
  <c r="J9"/>
  <c r="J170" s="1"/>
  <c r="J223"/>
  <c r="J225" s="1"/>
  <c r="I224"/>
  <c r="I36" i="4" s="1"/>
  <c r="I36" i="9" s="1"/>
  <c r="I225" i="1"/>
  <c r="I226"/>
  <c r="H223"/>
  <c r="H226" s="1"/>
  <c r="H170"/>
  <c r="H176" s="1"/>
  <c r="I172"/>
  <c r="I174"/>
  <c r="H172"/>
  <c r="H174"/>
  <c r="H225"/>
  <c r="J224"/>
  <c r="J36" i="4" s="1"/>
  <c r="J36" i="9" s="1"/>
  <c r="J66" i="1" l="1"/>
  <c r="H66"/>
  <c r="F66"/>
  <c r="I66"/>
  <c r="G66"/>
  <c r="I178"/>
  <c r="I179"/>
  <c r="I177"/>
  <c r="I181"/>
  <c r="H116" i="3"/>
  <c r="H178" i="1"/>
  <c r="H181"/>
  <c r="H177"/>
  <c r="G47"/>
  <c r="G48" s="1"/>
  <c r="G9"/>
  <c r="J174"/>
  <c r="J172"/>
  <c r="J176"/>
  <c r="D247"/>
  <c r="I65"/>
  <c r="G65"/>
  <c r="J65"/>
  <c r="H65"/>
  <c r="F65"/>
  <c r="G35" i="3"/>
  <c r="F35"/>
  <c r="F47" i="1"/>
  <c r="F48" s="1"/>
  <c r="F9"/>
  <c r="J226"/>
  <c r="H35" i="3"/>
  <c r="E11"/>
  <c r="H33" s="1"/>
  <c r="H224" i="1"/>
  <c r="H36" i="4" s="1"/>
  <c r="H36" i="9" s="1"/>
  <c r="I35" i="3"/>
  <c r="I38"/>
  <c r="J35"/>
  <c r="H184" i="1" l="1"/>
  <c r="H182"/>
  <c r="H183"/>
  <c r="H186"/>
  <c r="G33" i="3"/>
  <c r="I33"/>
  <c r="J33"/>
  <c r="J178" i="1"/>
  <c r="J181"/>
  <c r="J179"/>
  <c r="J177"/>
  <c r="D248"/>
  <c r="I182"/>
  <c r="I184"/>
  <c r="I183"/>
  <c r="I186"/>
  <c r="F33" i="3"/>
  <c r="G170" i="1"/>
  <c r="G223"/>
  <c r="F170"/>
  <c r="F223"/>
  <c r="I116" i="3"/>
  <c r="J184" i="1" l="1"/>
  <c r="J182"/>
  <c r="J183"/>
  <c r="J186"/>
  <c r="I188"/>
  <c r="I189"/>
  <c r="I196"/>
  <c r="I187"/>
  <c r="G226"/>
  <c r="G225"/>
  <c r="G224"/>
  <c r="G36" i="4" s="1"/>
  <c r="G36" i="9" s="1"/>
  <c r="H189" i="1"/>
  <c r="H187"/>
  <c r="H188"/>
  <c r="H196"/>
  <c r="G172"/>
  <c r="G176"/>
  <c r="G174"/>
  <c r="D249"/>
  <c r="F172"/>
  <c r="F176"/>
  <c r="F174"/>
  <c r="F225"/>
  <c r="F224"/>
  <c r="F36" i="4" s="1"/>
  <c r="F36" i="9" s="1"/>
  <c r="F226" i="1"/>
  <c r="H198" l="1"/>
  <c r="H202"/>
  <c r="H212"/>
  <c r="I198"/>
  <c r="I202"/>
  <c r="I212"/>
  <c r="F178"/>
  <c r="F181"/>
  <c r="F179"/>
  <c r="F177"/>
  <c r="G178"/>
  <c r="G179"/>
  <c r="G177"/>
  <c r="G181"/>
  <c r="J188"/>
  <c r="J196"/>
  <c r="J189"/>
  <c r="J187"/>
  <c r="D250"/>
  <c r="H203" l="1"/>
  <c r="H205"/>
  <c r="H207"/>
  <c r="H204"/>
  <c r="H217"/>
  <c r="H214"/>
  <c r="H213"/>
  <c r="H215"/>
  <c r="I204"/>
  <c r="I203"/>
  <c r="I205"/>
  <c r="I207"/>
  <c r="J198"/>
  <c r="J202"/>
  <c r="J212"/>
  <c r="I214"/>
  <c r="I215"/>
  <c r="I213"/>
  <c r="I217"/>
  <c r="D251"/>
  <c r="G184"/>
  <c r="G182"/>
  <c r="G183"/>
  <c r="G186"/>
  <c r="F184"/>
  <c r="F182"/>
  <c r="F183"/>
  <c r="F186"/>
  <c r="H209" l="1"/>
  <c r="H208"/>
  <c r="H34" i="4" s="1"/>
  <c r="H34" i="9" s="1"/>
  <c r="H210" i="1"/>
  <c r="H221"/>
  <c r="H220"/>
  <c r="H219"/>
  <c r="H35" i="9" s="1"/>
  <c r="G188" i="1"/>
  <c r="G189"/>
  <c r="G196"/>
  <c r="G187"/>
  <c r="J204"/>
  <c r="J203"/>
  <c r="J205"/>
  <c r="J207"/>
  <c r="I209"/>
  <c r="I208"/>
  <c r="I34" i="4" s="1"/>
  <c r="I34" i="9" s="1"/>
  <c r="I210" i="1"/>
  <c r="J214"/>
  <c r="J213"/>
  <c r="J215"/>
  <c r="J217"/>
  <c r="I221"/>
  <c r="I220"/>
  <c r="I219"/>
  <c r="F188"/>
  <c r="F196"/>
  <c r="F189"/>
  <c r="F187"/>
  <c r="I35" i="4"/>
  <c r="I35" i="9"/>
  <c r="J35" i="4" l="1"/>
  <c r="H35"/>
  <c r="J209" i="1"/>
  <c r="J208"/>
  <c r="J34" i="4" s="1"/>
  <c r="J34" i="9" s="1"/>
  <c r="J210" i="1"/>
  <c r="J221"/>
  <c r="J220"/>
  <c r="J219"/>
  <c r="J35" i="9" s="1"/>
  <c r="G198" i="1"/>
  <c r="G202"/>
  <c r="G212"/>
  <c r="F198"/>
  <c r="F202"/>
  <c r="F212"/>
  <c r="F217" l="1"/>
  <c r="F214"/>
  <c r="F213"/>
  <c r="F215"/>
  <c r="F207"/>
  <c r="F204"/>
  <c r="F203"/>
  <c r="F205"/>
  <c r="G204"/>
  <c r="G203"/>
  <c r="G205"/>
  <c r="G207"/>
  <c r="G214"/>
  <c r="G215"/>
  <c r="G213"/>
  <c r="G217"/>
  <c r="G34" i="4" l="1"/>
  <c r="G34" i="9" s="1"/>
  <c r="F221" i="1"/>
  <c r="F220"/>
  <c r="F219"/>
  <c r="F35" i="9" s="1"/>
  <c r="G208" i="1"/>
  <c r="G209"/>
  <c r="G210"/>
  <c r="G35" i="4"/>
  <c r="G221" i="1"/>
  <c r="G220"/>
  <c r="G219"/>
  <c r="G35" i="9" s="1"/>
  <c r="F208" i="1"/>
  <c r="F34" i="4" s="1"/>
  <c r="F34" i="9" s="1"/>
  <c r="F210" i="1"/>
  <c r="F209"/>
  <c r="F35" i="4" l="1"/>
  <c r="F7" i="3"/>
  <c r="G7"/>
  <c r="H7"/>
  <c r="I7"/>
  <c r="J7"/>
  <c r="F8"/>
  <c r="G8"/>
  <c r="H8"/>
  <c r="I8"/>
  <c r="J8"/>
  <c r="F9"/>
  <c r="G9"/>
  <c r="H9"/>
  <c r="I9"/>
  <c r="J9"/>
  <c r="F10"/>
  <c r="G10"/>
  <c r="H10"/>
  <c r="I10"/>
  <c r="J10"/>
  <c r="F11"/>
  <c r="G11"/>
  <c r="H11"/>
  <c r="I11"/>
  <c r="J11"/>
  <c r="F13"/>
  <c r="G13"/>
  <c r="H13"/>
  <c r="I13"/>
  <c r="J13"/>
  <c r="F14"/>
  <c r="G14"/>
  <c r="H14"/>
  <c r="I14"/>
  <c r="J14"/>
  <c r="F15"/>
  <c r="G15"/>
  <c r="H15"/>
  <c r="I15"/>
  <c r="J15"/>
  <c r="F16"/>
  <c r="G16"/>
  <c r="H16"/>
  <c r="I16"/>
  <c r="J16"/>
  <c r="F17"/>
  <c r="G17"/>
  <c r="H17"/>
  <c r="I17"/>
  <c r="J17"/>
  <c r="F19"/>
  <c r="G19"/>
  <c r="H19"/>
  <c r="I19"/>
  <c r="J19"/>
  <c r="F20"/>
  <c r="G20"/>
  <c r="H20"/>
  <c r="I20"/>
  <c r="J20"/>
  <c r="F21"/>
  <c r="G21"/>
  <c r="H21"/>
  <c r="I21"/>
  <c r="J21"/>
  <c r="F22"/>
  <c r="G22"/>
  <c r="H22"/>
  <c r="I22"/>
  <c r="J22"/>
  <c r="F23"/>
  <c r="G23"/>
  <c r="H23"/>
  <c r="I23"/>
  <c r="J23"/>
  <c r="F24"/>
  <c r="G24"/>
  <c r="H24"/>
  <c r="I24"/>
  <c r="J24"/>
  <c r="F25"/>
  <c r="G25"/>
  <c r="H25"/>
  <c r="I25"/>
  <c r="J25"/>
  <c r="F26"/>
  <c r="G26"/>
  <c r="H26"/>
  <c r="I26"/>
  <c r="J26"/>
  <c r="F41"/>
  <c r="G41"/>
  <c r="H41"/>
  <c r="I41"/>
  <c r="J41"/>
  <c r="F46"/>
  <c r="G46"/>
  <c r="H46"/>
  <c r="I46"/>
  <c r="J46"/>
  <c r="F58"/>
  <c r="G58"/>
  <c r="H58"/>
  <c r="I58"/>
  <c r="J58"/>
  <c r="F67"/>
  <c r="G67"/>
  <c r="H67"/>
  <c r="I67"/>
  <c r="J67"/>
  <c r="F68"/>
  <c r="G68"/>
  <c r="H68"/>
  <c r="I68"/>
  <c r="J68"/>
  <c r="F72"/>
  <c r="G72"/>
  <c r="H72"/>
  <c r="I72"/>
  <c r="J72"/>
  <c r="F74"/>
  <c r="G74"/>
  <c r="H74"/>
  <c r="I74"/>
  <c r="J74"/>
  <c r="F75"/>
  <c r="G75"/>
  <c r="H75"/>
  <c r="I75"/>
  <c r="J75"/>
  <c r="F76"/>
  <c r="G76"/>
  <c r="H76"/>
  <c r="I76"/>
  <c r="J76"/>
  <c r="F77"/>
  <c r="G77"/>
  <c r="H77"/>
  <c r="I77"/>
  <c r="J77"/>
  <c r="F78"/>
  <c r="G78"/>
  <c r="H78"/>
  <c r="I78"/>
  <c r="J78"/>
  <c r="F79"/>
  <c r="G79"/>
  <c r="H79"/>
  <c r="I79"/>
  <c r="J79"/>
  <c r="F81"/>
  <c r="G81"/>
  <c r="H81"/>
  <c r="I81"/>
  <c r="J81"/>
  <c r="F82"/>
  <c r="G82"/>
  <c r="H82"/>
  <c r="I82"/>
  <c r="J82"/>
  <c r="F83"/>
  <c r="G83"/>
  <c r="H83"/>
  <c r="I83"/>
  <c r="J83"/>
  <c r="F84"/>
  <c r="G84"/>
  <c r="H84"/>
  <c r="I84"/>
  <c r="J84"/>
  <c r="F86"/>
  <c r="G86"/>
  <c r="H86"/>
  <c r="I86"/>
  <c r="J86"/>
  <c r="F87"/>
  <c r="G87"/>
  <c r="H87"/>
  <c r="I87"/>
  <c r="J87"/>
  <c r="F88"/>
  <c r="G88"/>
  <c r="H88"/>
  <c r="I88"/>
  <c r="J88"/>
  <c r="F90"/>
  <c r="G90"/>
  <c r="H90"/>
  <c r="I90"/>
  <c r="J90"/>
  <c r="F91"/>
  <c r="G91"/>
  <c r="H91"/>
  <c r="I91"/>
  <c r="J91"/>
  <c r="F92"/>
  <c r="G92"/>
  <c r="H92"/>
  <c r="I92"/>
  <c r="J92"/>
  <c r="F94"/>
  <c r="G94"/>
  <c r="H94"/>
  <c r="I94"/>
  <c r="J94"/>
  <c r="F96"/>
  <c r="G96"/>
  <c r="H96"/>
  <c r="I96"/>
  <c r="J96"/>
  <c r="F97"/>
  <c r="G97"/>
  <c r="H97"/>
  <c r="I97"/>
  <c r="J97"/>
  <c r="F98"/>
  <c r="G98"/>
  <c r="H98"/>
  <c r="I98"/>
  <c r="J98"/>
  <c r="F104"/>
  <c r="G104"/>
  <c r="H104"/>
  <c r="I104"/>
  <c r="J104"/>
  <c r="F105"/>
  <c r="G105"/>
  <c r="H105"/>
  <c r="I105"/>
  <c r="J105"/>
  <c r="F107"/>
  <c r="G107"/>
  <c r="H107"/>
  <c r="I107"/>
  <c r="J107"/>
  <c r="F108"/>
  <c r="G108"/>
  <c r="H108"/>
  <c r="I108"/>
  <c r="J108"/>
  <c r="F110"/>
  <c r="G110"/>
  <c r="H110"/>
  <c r="I110"/>
  <c r="J110"/>
  <c r="F111"/>
  <c r="G111"/>
  <c r="H111"/>
  <c r="I111"/>
  <c r="J111"/>
  <c r="F112"/>
  <c r="G112"/>
  <c r="H112"/>
  <c r="I112"/>
  <c r="J112"/>
  <c r="F114"/>
  <c r="G114"/>
  <c r="H114"/>
  <c r="I114"/>
  <c r="J114"/>
  <c r="F115"/>
  <c r="G115"/>
  <c r="H115"/>
  <c r="I115"/>
  <c r="J115"/>
  <c r="F118"/>
  <c r="G118"/>
  <c r="H118"/>
  <c r="I118"/>
  <c r="J118"/>
  <c r="F119"/>
  <c r="G119"/>
  <c r="H119"/>
  <c r="I119"/>
  <c r="J119"/>
  <c r="F120"/>
  <c r="G120"/>
  <c r="H120"/>
  <c r="I120"/>
  <c r="J120"/>
  <c r="F121"/>
  <c r="G121"/>
  <c r="H121"/>
  <c r="I121"/>
  <c r="J121"/>
  <c r="F123"/>
  <c r="G123"/>
  <c r="H123"/>
  <c r="I123"/>
  <c r="J123"/>
  <c r="F124"/>
  <c r="G124"/>
  <c r="H124"/>
  <c r="I124"/>
  <c r="J124"/>
  <c r="F125"/>
  <c r="G125"/>
  <c r="H125"/>
  <c r="I125"/>
  <c r="J125"/>
  <c r="F126"/>
  <c r="G126"/>
  <c r="H126"/>
  <c r="I126"/>
  <c r="J126"/>
  <c r="F127"/>
  <c r="G127"/>
  <c r="H127"/>
  <c r="I127"/>
  <c r="J127"/>
  <c r="F128"/>
  <c r="G128"/>
  <c r="H128"/>
  <c r="I128"/>
  <c r="J128"/>
  <c r="F129"/>
  <c r="G129"/>
  <c r="H129"/>
  <c r="I129"/>
  <c r="J129"/>
  <c r="F130"/>
  <c r="G130"/>
  <c r="H130"/>
  <c r="I130"/>
  <c r="J130"/>
  <c r="F131"/>
  <c r="G131"/>
  <c r="H131"/>
  <c r="I131"/>
  <c r="J131"/>
  <c r="F132"/>
  <c r="G132"/>
  <c r="H132"/>
  <c r="I132"/>
  <c r="J132"/>
  <c r="F133"/>
  <c r="G133"/>
  <c r="H133"/>
  <c r="I133"/>
  <c r="J133"/>
  <c r="F134"/>
  <c r="G134"/>
  <c r="H134"/>
  <c r="I134"/>
  <c r="J134"/>
  <c r="F138"/>
  <c r="G138"/>
  <c r="H138"/>
  <c r="I138"/>
  <c r="J138"/>
  <c r="F144"/>
  <c r="G144"/>
  <c r="H144"/>
  <c r="I144"/>
  <c r="J144"/>
  <c r="F145"/>
  <c r="G145"/>
  <c r="H145"/>
  <c r="I145"/>
  <c r="J145"/>
  <c r="F146"/>
  <c r="G146"/>
  <c r="H146"/>
  <c r="I146"/>
  <c r="J146"/>
  <c r="F147"/>
  <c r="G147"/>
  <c r="H147"/>
  <c r="I147"/>
  <c r="J147"/>
  <c r="F152"/>
  <c r="G152"/>
  <c r="H152"/>
  <c r="I152"/>
  <c r="J152"/>
  <c r="F154"/>
  <c r="G154"/>
  <c r="H154"/>
  <c r="I154"/>
  <c r="J154"/>
  <c r="F155"/>
  <c r="G155"/>
  <c r="H155"/>
  <c r="I155"/>
  <c r="J155"/>
  <c r="F156"/>
  <c r="G156"/>
  <c r="H156"/>
  <c r="I156"/>
  <c r="J156"/>
  <c r="F7" i="1"/>
  <c r="G7"/>
  <c r="H7"/>
  <c r="I7"/>
  <c r="J7"/>
  <c r="F10"/>
  <c r="G10"/>
  <c r="H10"/>
  <c r="I10"/>
  <c r="J10"/>
  <c r="F11"/>
  <c r="G11"/>
  <c r="H11"/>
  <c r="I11"/>
  <c r="J11"/>
  <c r="F12"/>
  <c r="G12"/>
  <c r="H12"/>
  <c r="I12"/>
  <c r="J12"/>
  <c r="F13"/>
  <c r="G13"/>
  <c r="H13"/>
  <c r="I13"/>
  <c r="J13"/>
  <c r="F14"/>
  <c r="G14"/>
  <c r="H14"/>
  <c r="I14"/>
  <c r="J14"/>
  <c r="F18"/>
  <c r="G18"/>
  <c r="H18"/>
  <c r="I18"/>
  <c r="J18"/>
  <c r="F19"/>
  <c r="G19"/>
  <c r="H19"/>
  <c r="I19"/>
  <c r="J19"/>
  <c r="F20"/>
  <c r="G20"/>
  <c r="H20"/>
  <c r="I20"/>
  <c r="J20"/>
  <c r="F21"/>
  <c r="G21"/>
  <c r="H21"/>
  <c r="I21"/>
  <c r="J21"/>
  <c r="F22"/>
  <c r="G22"/>
  <c r="H22"/>
  <c r="I22"/>
  <c r="J22"/>
  <c r="F24"/>
  <c r="G24"/>
  <c r="H24"/>
  <c r="I24"/>
  <c r="J24"/>
  <c r="F25"/>
  <c r="G25"/>
  <c r="H25"/>
  <c r="I25"/>
  <c r="J25"/>
  <c r="F26"/>
  <c r="G26"/>
  <c r="H26"/>
  <c r="I26"/>
  <c r="J26"/>
  <c r="F27"/>
  <c r="G27"/>
  <c r="H27"/>
  <c r="I27"/>
  <c r="J27"/>
  <c r="F28"/>
  <c r="G28"/>
  <c r="H28"/>
  <c r="I28"/>
  <c r="J28"/>
  <c r="F29"/>
  <c r="G29"/>
  <c r="H29"/>
  <c r="I29"/>
  <c r="J29"/>
  <c r="F30"/>
  <c r="G30"/>
  <c r="H30"/>
  <c r="I30"/>
  <c r="J30"/>
  <c r="F31"/>
  <c r="G31"/>
  <c r="H31"/>
  <c r="I31"/>
  <c r="J31"/>
  <c r="F32"/>
  <c r="G32"/>
  <c r="H32"/>
  <c r="I32"/>
  <c r="J32"/>
  <c r="F35"/>
  <c r="G35"/>
  <c r="H35"/>
  <c r="I35"/>
  <c r="J35"/>
  <c r="F36"/>
  <c r="G36"/>
  <c r="H36"/>
  <c r="I36"/>
  <c r="J36"/>
  <c r="F37"/>
  <c r="G37"/>
  <c r="H37"/>
  <c r="I37"/>
  <c r="J37"/>
  <c r="F38"/>
  <c r="G38"/>
  <c r="H38"/>
  <c r="I38"/>
  <c r="J38"/>
  <c r="F40"/>
  <c r="G40"/>
  <c r="H40"/>
  <c r="I40"/>
  <c r="J40"/>
  <c r="F41"/>
  <c r="G41"/>
  <c r="H41"/>
  <c r="I41"/>
  <c r="J41"/>
  <c r="F42"/>
  <c r="G42"/>
  <c r="H42"/>
  <c r="I42"/>
  <c r="J42"/>
  <c r="F43"/>
  <c r="G43"/>
  <c r="H43"/>
  <c r="I43"/>
  <c r="J43"/>
  <c r="F44"/>
  <c r="G44"/>
  <c r="H44"/>
  <c r="I44"/>
  <c r="J44"/>
  <c r="F45"/>
  <c r="G45"/>
  <c r="H45"/>
  <c r="I45"/>
  <c r="J45"/>
  <c r="F46"/>
  <c r="G46"/>
  <c r="H46"/>
  <c r="I46"/>
  <c r="J46"/>
  <c r="F49"/>
  <c r="G49"/>
  <c r="H49"/>
  <c r="I49"/>
  <c r="J49"/>
  <c r="F50"/>
  <c r="G50"/>
  <c r="H50"/>
  <c r="I50"/>
  <c r="J50"/>
  <c r="F51"/>
  <c r="G51"/>
  <c r="H51"/>
  <c r="I51"/>
  <c r="J51"/>
  <c r="F54"/>
  <c r="G54"/>
  <c r="H54"/>
  <c r="I54"/>
  <c r="J54"/>
  <c r="F55"/>
  <c r="G55"/>
  <c r="H55"/>
  <c r="I55"/>
  <c r="J55"/>
  <c r="F56"/>
  <c r="G56"/>
  <c r="H56"/>
  <c r="I56"/>
  <c r="J56"/>
  <c r="F57"/>
  <c r="G57"/>
  <c r="H57"/>
  <c r="I57"/>
  <c r="J57"/>
  <c r="F59"/>
  <c r="G59"/>
  <c r="H59"/>
  <c r="I59"/>
  <c r="J59"/>
  <c r="F60"/>
  <c r="G60"/>
  <c r="H60"/>
  <c r="I60"/>
  <c r="J60"/>
  <c r="F61"/>
  <c r="G61"/>
  <c r="H61"/>
  <c r="I61"/>
  <c r="J61"/>
  <c r="F62"/>
  <c r="G62"/>
  <c r="H62"/>
  <c r="I62"/>
  <c r="J62"/>
  <c r="F63"/>
  <c r="G63"/>
  <c r="H63"/>
  <c r="I63"/>
  <c r="J63"/>
  <c r="F64"/>
  <c r="G64"/>
  <c r="H64"/>
  <c r="I64"/>
  <c r="J64"/>
  <c r="F68"/>
  <c r="G68"/>
  <c r="H68"/>
  <c r="I68"/>
  <c r="J68"/>
  <c r="F69"/>
  <c r="G69"/>
  <c r="H69"/>
  <c r="I69"/>
  <c r="J69"/>
  <c r="F70"/>
  <c r="G70"/>
  <c r="H70"/>
  <c r="I70"/>
  <c r="J70"/>
  <c r="F73"/>
  <c r="G73"/>
  <c r="H73"/>
  <c r="I73"/>
  <c r="J73"/>
  <c r="F74"/>
  <c r="G74"/>
  <c r="H74"/>
  <c r="I74"/>
  <c r="J74"/>
  <c r="F75"/>
  <c r="G75"/>
  <c r="H75"/>
  <c r="I75"/>
  <c r="J75"/>
  <c r="F76"/>
  <c r="G76"/>
  <c r="H76"/>
  <c r="I76"/>
  <c r="J76"/>
  <c r="F78"/>
  <c r="G78"/>
  <c r="H78"/>
  <c r="I78"/>
  <c r="J78"/>
  <c r="F79"/>
  <c r="G79"/>
  <c r="H79"/>
  <c r="I79"/>
  <c r="J79"/>
  <c r="F80"/>
  <c r="G80"/>
  <c r="H80"/>
  <c r="I80"/>
  <c r="J80"/>
  <c r="F81"/>
  <c r="G81"/>
  <c r="H81"/>
  <c r="I81"/>
  <c r="J81"/>
  <c r="F82"/>
  <c r="G82"/>
  <c r="H82"/>
  <c r="I82"/>
  <c r="J82"/>
  <c r="F83"/>
  <c r="G83"/>
  <c r="H83"/>
  <c r="I83"/>
  <c r="J83"/>
  <c r="F84"/>
  <c r="G84"/>
  <c r="H84"/>
  <c r="I84"/>
  <c r="J84"/>
  <c r="F85"/>
  <c r="G85"/>
  <c r="H85"/>
  <c r="I85"/>
  <c r="J85"/>
  <c r="F86"/>
  <c r="G86"/>
  <c r="H86"/>
  <c r="I86"/>
  <c r="J86"/>
  <c r="F87"/>
  <c r="G87"/>
  <c r="H87"/>
  <c r="I87"/>
  <c r="J87"/>
  <c r="F88"/>
  <c r="G88"/>
  <c r="H88"/>
  <c r="I88"/>
  <c r="J88"/>
  <c r="F89"/>
  <c r="G89"/>
  <c r="H89"/>
  <c r="I89"/>
  <c r="J89"/>
  <c r="F93"/>
  <c r="G93"/>
  <c r="H93"/>
  <c r="I93"/>
  <c r="J93"/>
  <c r="F94"/>
  <c r="G94"/>
  <c r="H94"/>
  <c r="I94"/>
  <c r="J94"/>
  <c r="F95"/>
  <c r="G95"/>
  <c r="H95"/>
  <c r="I95"/>
  <c r="J95"/>
  <c r="F96"/>
  <c r="G96"/>
  <c r="H96"/>
  <c r="I96"/>
  <c r="J96"/>
  <c r="F97"/>
  <c r="G97"/>
  <c r="H97"/>
  <c r="I97"/>
  <c r="J97"/>
  <c r="F98"/>
  <c r="G98"/>
  <c r="H98"/>
  <c r="I98"/>
  <c r="J98"/>
  <c r="F103"/>
  <c r="G103"/>
  <c r="H103"/>
  <c r="I103"/>
  <c r="J103"/>
  <c r="F104"/>
  <c r="G104"/>
  <c r="H104"/>
  <c r="I104"/>
  <c r="J104"/>
  <c r="F105"/>
  <c r="G105"/>
  <c r="H105"/>
  <c r="I105"/>
  <c r="J105"/>
  <c r="F106"/>
  <c r="G106"/>
  <c r="H106"/>
  <c r="I106"/>
  <c r="J106"/>
  <c r="F110"/>
  <c r="G110"/>
  <c r="H110"/>
  <c r="I110"/>
  <c r="J110"/>
  <c r="F111"/>
  <c r="G111"/>
  <c r="H111"/>
  <c r="I111"/>
  <c r="J111"/>
  <c r="F112"/>
  <c r="G112"/>
  <c r="H112"/>
  <c r="I112"/>
  <c r="J112"/>
  <c r="F113"/>
  <c r="G113"/>
  <c r="H113"/>
  <c r="I113"/>
  <c r="J113"/>
  <c r="F115"/>
  <c r="G115"/>
  <c r="H115"/>
  <c r="I115"/>
  <c r="J115"/>
  <c r="F116"/>
  <c r="G116"/>
  <c r="H116"/>
  <c r="I116"/>
  <c r="J116"/>
  <c r="F117"/>
  <c r="G117"/>
  <c r="H117"/>
  <c r="I117"/>
  <c r="J117"/>
  <c r="F118"/>
  <c r="G118"/>
  <c r="H118"/>
  <c r="I118"/>
  <c r="J118"/>
  <c r="F121"/>
  <c r="G121"/>
  <c r="H121"/>
  <c r="I121"/>
  <c r="J121"/>
  <c r="F122"/>
  <c r="G122"/>
  <c r="H122"/>
  <c r="I122"/>
  <c r="J122"/>
  <c r="F123"/>
  <c r="G123"/>
  <c r="H123"/>
  <c r="I123"/>
  <c r="J123"/>
  <c r="F124"/>
  <c r="G124"/>
  <c r="H124"/>
  <c r="I124"/>
  <c r="J124"/>
  <c r="F125"/>
  <c r="G125"/>
  <c r="H125"/>
  <c r="I125"/>
  <c r="J125"/>
  <c r="F127"/>
  <c r="G127"/>
  <c r="H127"/>
  <c r="I127"/>
  <c r="J127"/>
  <c r="F128"/>
  <c r="G128"/>
  <c r="H128"/>
  <c r="I128"/>
  <c r="J128"/>
  <c r="F129"/>
  <c r="G129"/>
  <c r="H129"/>
  <c r="I129"/>
  <c r="J129"/>
  <c r="F130"/>
  <c r="G130"/>
  <c r="H130"/>
  <c r="I130"/>
  <c r="J130"/>
  <c r="F131"/>
  <c r="G131"/>
  <c r="H131"/>
  <c r="I131"/>
  <c r="J131"/>
  <c r="F133"/>
  <c r="G133"/>
  <c r="H133"/>
  <c r="I133"/>
  <c r="J133"/>
  <c r="F134"/>
  <c r="G134"/>
  <c r="H134"/>
  <c r="I134"/>
  <c r="J134"/>
  <c r="F135"/>
  <c r="G135"/>
  <c r="H135"/>
  <c r="I135"/>
  <c r="J135"/>
  <c r="F136"/>
  <c r="G136"/>
  <c r="H136"/>
  <c r="I136"/>
  <c r="J136"/>
  <c r="F139"/>
  <c r="G139"/>
  <c r="H139"/>
  <c r="I139"/>
  <c r="J139"/>
  <c r="F140"/>
  <c r="G140"/>
  <c r="H140"/>
  <c r="I140"/>
  <c r="J140"/>
  <c r="F141"/>
  <c r="G141"/>
  <c r="H141"/>
  <c r="I141"/>
  <c r="J141"/>
  <c r="F142"/>
  <c r="G142"/>
  <c r="H142"/>
  <c r="I142"/>
  <c r="J142"/>
  <c r="F144"/>
  <c r="G144"/>
  <c r="H144"/>
  <c r="I144"/>
  <c r="J144"/>
  <c r="F145"/>
  <c r="G145"/>
  <c r="H145"/>
  <c r="I145"/>
  <c r="J145"/>
  <c r="F146"/>
  <c r="G146"/>
  <c r="H146"/>
  <c r="I146"/>
  <c r="J146"/>
  <c r="F147"/>
  <c r="G147"/>
  <c r="H147"/>
  <c r="I147"/>
  <c r="J147"/>
  <c r="F149"/>
  <c r="G149"/>
  <c r="H149"/>
  <c r="I149"/>
  <c r="J149"/>
  <c r="F150"/>
  <c r="G150"/>
  <c r="H150"/>
  <c r="I150"/>
  <c r="J150"/>
  <c r="F151"/>
  <c r="G151"/>
  <c r="H151"/>
  <c r="I151"/>
  <c r="J151"/>
  <c r="F152"/>
  <c r="G152"/>
  <c r="H152"/>
  <c r="I152"/>
  <c r="J152"/>
  <c r="F154"/>
  <c r="G154"/>
  <c r="H154"/>
  <c r="I154"/>
  <c r="J154"/>
  <c r="F155"/>
  <c r="G155"/>
  <c r="H155"/>
  <c r="I155"/>
  <c r="J155"/>
  <c r="F156"/>
  <c r="G156"/>
  <c r="H156"/>
  <c r="I156"/>
  <c r="J156"/>
  <c r="F157"/>
  <c r="G157"/>
  <c r="H157"/>
  <c r="I157"/>
  <c r="J157"/>
  <c r="F159"/>
  <c r="G159"/>
  <c r="H159"/>
  <c r="I159"/>
  <c r="J159"/>
  <c r="F160"/>
  <c r="G160"/>
  <c r="H160"/>
  <c r="I160"/>
  <c r="J160"/>
  <c r="F161"/>
  <c r="G161"/>
  <c r="H161"/>
  <c r="I161"/>
  <c r="J161"/>
  <c r="F162"/>
  <c r="G162"/>
  <c r="H162"/>
  <c r="I162"/>
  <c r="J162"/>
  <c r="F164"/>
  <c r="G164"/>
  <c r="H164"/>
  <c r="I164"/>
  <c r="J164"/>
  <c r="F165"/>
  <c r="G165"/>
  <c r="H165"/>
  <c r="I165"/>
  <c r="J165"/>
  <c r="F166"/>
  <c r="G166"/>
  <c r="H166"/>
  <c r="I166"/>
  <c r="J166"/>
  <c r="F167"/>
  <c r="G167"/>
  <c r="H167"/>
  <c r="I167"/>
  <c r="J167"/>
  <c r="F171"/>
  <c r="G171"/>
  <c r="H171"/>
  <c r="I171"/>
  <c r="J171"/>
  <c r="F173"/>
  <c r="G173"/>
  <c r="H173"/>
  <c r="I173"/>
  <c r="J173"/>
  <c r="F191"/>
  <c r="G191"/>
  <c r="H191"/>
  <c r="I191"/>
  <c r="J191"/>
  <c r="F192"/>
  <c r="G192"/>
  <c r="H192"/>
  <c r="I192"/>
  <c r="J192"/>
  <c r="F193"/>
  <c r="G193"/>
  <c r="H193"/>
  <c r="I193"/>
  <c r="J193"/>
  <c r="F194"/>
  <c r="G194"/>
  <c r="H194"/>
  <c r="I194"/>
  <c r="J194"/>
  <c r="F197"/>
  <c r="G197"/>
  <c r="H197"/>
  <c r="I197"/>
  <c r="J197"/>
  <c r="F199"/>
  <c r="G199"/>
  <c r="H199"/>
  <c r="I199"/>
  <c r="J199"/>
  <c r="F200"/>
  <c r="G200"/>
  <c r="H200"/>
  <c r="I200"/>
  <c r="J200"/>
  <c r="F228"/>
  <c r="G228"/>
  <c r="H228"/>
  <c r="I228"/>
  <c r="J228"/>
  <c r="F229"/>
  <c r="G229"/>
  <c r="H229"/>
  <c r="I229"/>
  <c r="J229"/>
  <c r="F230"/>
  <c r="G230"/>
  <c r="H230"/>
  <c r="I230"/>
  <c r="J230"/>
  <c r="F231"/>
  <c r="G231"/>
  <c r="H231"/>
  <c r="I231"/>
  <c r="J231"/>
  <c r="F233"/>
  <c r="G233"/>
  <c r="H233"/>
  <c r="I233"/>
  <c r="J233"/>
  <c r="F234"/>
  <c r="G234"/>
  <c r="H234"/>
  <c r="I234"/>
  <c r="J234"/>
  <c r="F235"/>
  <c r="G235"/>
  <c r="H235"/>
  <c r="I235"/>
  <c r="J235"/>
  <c r="F238"/>
  <c r="G238"/>
  <c r="H238"/>
  <c r="I238"/>
  <c r="J238"/>
  <c r="F239"/>
  <c r="G239"/>
  <c r="H239"/>
  <c r="I239"/>
  <c r="J239"/>
  <c r="F240"/>
  <c r="G240"/>
  <c r="H240"/>
  <c r="I240"/>
  <c r="J240"/>
  <c r="F244"/>
  <c r="F245"/>
  <c r="F246"/>
  <c r="F247"/>
  <c r="F248"/>
  <c r="F249"/>
  <c r="F250"/>
  <c r="F251"/>
  <c r="F252"/>
  <c r="F253"/>
  <c r="F254"/>
  <c r="F5" i="9"/>
  <c r="G5"/>
  <c r="H5"/>
  <c r="I5"/>
  <c r="J5"/>
  <c r="F6"/>
  <c r="G6"/>
  <c r="H6"/>
  <c r="I6"/>
  <c r="J6"/>
  <c r="F8"/>
  <c r="G8"/>
  <c r="H8"/>
  <c r="I8"/>
  <c r="J8"/>
  <c r="F10"/>
  <c r="G10"/>
  <c r="H10"/>
  <c r="I10"/>
  <c r="J10"/>
  <c r="F11"/>
  <c r="G11"/>
  <c r="H11"/>
  <c r="I11"/>
  <c r="J11"/>
  <c r="F12"/>
  <c r="G12"/>
  <c r="H12"/>
  <c r="I12"/>
  <c r="J12"/>
  <c r="F14"/>
  <c r="G14"/>
  <c r="H14"/>
  <c r="I14"/>
  <c r="J14"/>
  <c r="F16"/>
  <c r="G16"/>
  <c r="H16"/>
  <c r="I16"/>
  <c r="J16"/>
  <c r="F18"/>
  <c r="G18"/>
  <c r="H18"/>
  <c r="I18"/>
  <c r="J18"/>
  <c r="F21"/>
  <c r="G21"/>
  <c r="H21"/>
  <c r="I21"/>
  <c r="J21"/>
  <c r="F22"/>
  <c r="G22"/>
  <c r="H22"/>
  <c r="I22"/>
  <c r="J22"/>
  <c r="F23"/>
  <c r="G23"/>
  <c r="H23"/>
  <c r="I23"/>
  <c r="J23"/>
  <c r="F27"/>
  <c r="G27"/>
  <c r="H27"/>
  <c r="I27"/>
  <c r="J27"/>
  <c r="F28"/>
  <c r="G28"/>
  <c r="H28"/>
  <c r="I28"/>
  <c r="J28"/>
  <c r="F29"/>
  <c r="G29"/>
  <c r="H29"/>
  <c r="I29"/>
  <c r="J29"/>
  <c r="F30"/>
  <c r="G30"/>
  <c r="H30"/>
  <c r="I30"/>
  <c r="J30"/>
  <c r="F32"/>
  <c r="G32"/>
  <c r="H32"/>
  <c r="I32"/>
  <c r="J32"/>
  <c r="F33"/>
  <c r="G33"/>
  <c r="H33"/>
  <c r="I33"/>
  <c r="J33"/>
  <c r="F37"/>
  <c r="G37"/>
  <c r="H37"/>
  <c r="I37"/>
  <c r="J37"/>
  <c r="F38"/>
  <c r="G38"/>
  <c r="H38"/>
  <c r="I38"/>
  <c r="J38"/>
  <c r="F39"/>
  <c r="G39"/>
  <c r="H39"/>
  <c r="I39"/>
  <c r="J39"/>
  <c r="F40"/>
  <c r="G40"/>
  <c r="H40"/>
  <c r="I40"/>
  <c r="J40"/>
  <c r="F41"/>
  <c r="G41"/>
  <c r="H41"/>
  <c r="I41"/>
  <c r="J41"/>
  <c r="F43"/>
  <c r="G43"/>
  <c r="H43"/>
  <c r="I43"/>
  <c r="J43"/>
  <c r="F44"/>
  <c r="G44"/>
  <c r="H44"/>
  <c r="I44"/>
  <c r="J44"/>
  <c r="F45"/>
  <c r="G45"/>
  <c r="H45"/>
  <c r="I45"/>
  <c r="J45"/>
  <c r="F46"/>
  <c r="G46"/>
  <c r="H46"/>
  <c r="I46"/>
  <c r="J46"/>
  <c r="F47"/>
  <c r="G47"/>
  <c r="H47"/>
  <c r="I47"/>
  <c r="J47"/>
  <c r="F48"/>
  <c r="G48"/>
  <c r="H48"/>
  <c r="I48"/>
  <c r="J48"/>
  <c r="F50"/>
  <c r="G50"/>
  <c r="H50"/>
  <c r="I50"/>
  <c r="J50"/>
  <c r="F51"/>
  <c r="G51"/>
  <c r="H51"/>
  <c r="I51"/>
  <c r="J51"/>
  <c r="F52"/>
  <c r="G52"/>
  <c r="H52"/>
  <c r="I52"/>
  <c r="J52"/>
  <c r="F53"/>
  <c r="G53"/>
  <c r="H53"/>
  <c r="I53"/>
  <c r="J53"/>
  <c r="F54"/>
  <c r="G54"/>
  <c r="H54"/>
  <c r="I54"/>
  <c r="J54"/>
  <c r="F55"/>
  <c r="G55"/>
  <c r="H55"/>
  <c r="I55"/>
  <c r="J55"/>
  <c r="F56"/>
  <c r="G56"/>
  <c r="H56"/>
  <c r="I56"/>
  <c r="J56"/>
  <c r="F57"/>
  <c r="G57"/>
  <c r="H57"/>
  <c r="I57"/>
  <c r="J57"/>
  <c r="F58"/>
  <c r="G58"/>
  <c r="H58"/>
  <c r="I58"/>
  <c r="J58"/>
  <c r="F59"/>
  <c r="G59"/>
  <c r="H59"/>
  <c r="I59"/>
  <c r="J59"/>
  <c r="F5" i="4"/>
  <c r="G5"/>
  <c r="H5"/>
  <c r="I5"/>
  <c r="J5"/>
  <c r="F6"/>
  <c r="G6"/>
  <c r="H6"/>
  <c r="I6"/>
  <c r="J6"/>
  <c r="F8"/>
  <c r="G8"/>
  <c r="H8"/>
  <c r="I8"/>
  <c r="J8"/>
  <c r="F10"/>
  <c r="G10"/>
  <c r="H10"/>
  <c r="I10"/>
  <c r="J10"/>
  <c r="F11"/>
  <c r="G11"/>
  <c r="H11"/>
  <c r="I11"/>
  <c r="J11"/>
  <c r="F12"/>
  <c r="G12"/>
  <c r="H12"/>
  <c r="I12"/>
  <c r="J12"/>
  <c r="F14"/>
  <c r="G14"/>
  <c r="H14"/>
  <c r="I14"/>
  <c r="J14"/>
  <c r="F16"/>
  <c r="G16"/>
  <c r="H16"/>
  <c r="I16"/>
  <c r="J16"/>
  <c r="F18"/>
  <c r="G18"/>
  <c r="H18"/>
  <c r="I18"/>
  <c r="J18"/>
  <c r="F21"/>
  <c r="G21"/>
  <c r="H21"/>
  <c r="I21"/>
  <c r="J21"/>
  <c r="F22"/>
  <c r="G22"/>
  <c r="H22"/>
  <c r="I22"/>
  <c r="J22"/>
  <c r="F23"/>
  <c r="G23"/>
  <c r="H23"/>
  <c r="I23"/>
  <c r="J23"/>
  <c r="F27"/>
  <c r="G27"/>
  <c r="H27"/>
  <c r="I27"/>
  <c r="J27"/>
  <c r="F28"/>
  <c r="G28"/>
  <c r="H28"/>
  <c r="I28"/>
  <c r="J28"/>
  <c r="F29"/>
  <c r="G29"/>
  <c r="H29"/>
  <c r="I29"/>
  <c r="J29"/>
  <c r="F30"/>
  <c r="G30"/>
  <c r="H30"/>
  <c r="I30"/>
  <c r="J30"/>
  <c r="F32"/>
  <c r="G32"/>
  <c r="H32"/>
  <c r="I32"/>
  <c r="J32"/>
  <c r="F33"/>
  <c r="G33"/>
  <c r="H33"/>
  <c r="I33"/>
  <c r="J33"/>
  <c r="F37"/>
  <c r="G37"/>
  <c r="H37"/>
  <c r="I37"/>
  <c r="J37"/>
  <c r="F38"/>
  <c r="G38"/>
  <c r="H38"/>
  <c r="I38"/>
  <c r="J38"/>
  <c r="F39"/>
  <c r="G39"/>
  <c r="H39"/>
  <c r="I39"/>
  <c r="J39"/>
  <c r="F40"/>
  <c r="G40"/>
  <c r="H40"/>
  <c r="I40"/>
  <c r="J40"/>
  <c r="F41"/>
  <c r="G41"/>
  <c r="H41"/>
  <c r="I41"/>
  <c r="J41"/>
  <c r="F43"/>
  <c r="G43"/>
  <c r="H43"/>
  <c r="I43"/>
  <c r="J43"/>
  <c r="F44"/>
  <c r="G44"/>
  <c r="H44"/>
  <c r="I44"/>
  <c r="J44"/>
  <c r="F45"/>
  <c r="G45"/>
  <c r="H45"/>
  <c r="I45"/>
  <c r="J45"/>
  <c r="F46"/>
  <c r="G46"/>
  <c r="H46"/>
  <c r="I46"/>
  <c r="J46"/>
  <c r="F47"/>
  <c r="G47"/>
  <c r="H47"/>
  <c r="I47"/>
  <c r="J47"/>
  <c r="F48"/>
  <c r="G48"/>
  <c r="H48"/>
  <c r="I48"/>
  <c r="J48"/>
  <c r="F50"/>
  <c r="G50"/>
  <c r="H50"/>
  <c r="I50"/>
  <c r="J50"/>
  <c r="F51"/>
  <c r="G51"/>
  <c r="H51"/>
  <c r="I51"/>
  <c r="J51"/>
  <c r="F52"/>
  <c r="G52"/>
  <c r="H52"/>
  <c r="I52"/>
  <c r="J52"/>
  <c r="F53"/>
  <c r="G53"/>
  <c r="H53"/>
  <c r="I53"/>
  <c r="J53"/>
  <c r="F54"/>
  <c r="G54"/>
  <c r="H54"/>
  <c r="I54"/>
  <c r="J54"/>
  <c r="F55"/>
  <c r="G55"/>
  <c r="H55"/>
  <c r="I55"/>
  <c r="J55"/>
  <c r="F56"/>
  <c r="G56"/>
  <c r="H56"/>
  <c r="I56"/>
  <c r="J56"/>
  <c r="F57"/>
  <c r="G57"/>
  <c r="H57"/>
  <c r="I57"/>
  <c r="J57"/>
  <c r="F58"/>
  <c r="G58"/>
  <c r="H58"/>
  <c r="I58"/>
  <c r="J58"/>
  <c r="F59"/>
  <c r="G59"/>
  <c r="H59"/>
  <c r="I59"/>
  <c r="J59"/>
  <c r="F60"/>
  <c r="G60"/>
  <c r="H60"/>
  <c r="I60"/>
  <c r="J60"/>
  <c r="F61"/>
  <c r="G61"/>
  <c r="H61"/>
  <c r="I61"/>
  <c r="J61"/>
  <c r="F63"/>
  <c r="G63"/>
  <c r="H63"/>
  <c r="I63"/>
  <c r="J63"/>
  <c r="F64"/>
  <c r="G64"/>
  <c r="H64"/>
  <c r="I64"/>
  <c r="J64"/>
  <c r="F65"/>
  <c r="G65"/>
  <c r="H65"/>
  <c r="I65"/>
  <c r="J65"/>
  <c r="F66"/>
  <c r="G66"/>
  <c r="H66"/>
  <c r="I66"/>
  <c r="J66"/>
  <c r="F67"/>
  <c r="G67"/>
  <c r="H67"/>
  <c r="I67"/>
  <c r="J67"/>
  <c r="F68"/>
  <c r="G68"/>
  <c r="H68"/>
  <c r="I68"/>
  <c r="J68"/>
  <c r="F69"/>
  <c r="G69"/>
  <c r="H69"/>
  <c r="I69"/>
  <c r="J69"/>
</calcChain>
</file>

<file path=xl/comments1.xml><?xml version="1.0" encoding="utf-8"?>
<comments xmlns="http://schemas.openxmlformats.org/spreadsheetml/2006/main">
  <authors>
    <author>nelson</author>
  </authors>
  <commentList>
    <comment ref="J82" authorId="0">
      <text>
        <r>
          <rPr>
            <b/>
            <sz val="8"/>
            <color indexed="81"/>
            <rFont val="Tahoma"/>
          </rPr>
          <t>nelson: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<sst xmlns="http://schemas.openxmlformats.org/spreadsheetml/2006/main" count="934" uniqueCount="502">
  <si>
    <t>Battery power, kW</t>
  </si>
  <si>
    <t>Cells per battery</t>
  </si>
  <si>
    <t>Battery 1</t>
  </si>
  <si>
    <t>Battery 2</t>
  </si>
  <si>
    <t>Battery 3</t>
  </si>
  <si>
    <t>Battery 4</t>
  </si>
  <si>
    <t>Battery 5</t>
  </si>
  <si>
    <t>Positive Electrode</t>
  </si>
  <si>
    <t>Active material</t>
  </si>
  <si>
    <t>Density</t>
  </si>
  <si>
    <t>Weight %</t>
  </si>
  <si>
    <t>Vol. %</t>
  </si>
  <si>
    <t>Carbon</t>
  </si>
  <si>
    <t>Binder</t>
  </si>
  <si>
    <t>Void</t>
  </si>
  <si>
    <t>Total</t>
  </si>
  <si>
    <r>
      <t>Electrode system ASI for power, ohm-cm</t>
    </r>
    <r>
      <rPr>
        <vertAlign val="superscript"/>
        <sz val="10"/>
        <rFont val="Arial"/>
        <family val="2"/>
      </rPr>
      <t>2</t>
    </r>
  </si>
  <si>
    <t>System Chemistry Input</t>
  </si>
  <si>
    <t>Battery weight, kg</t>
  </si>
  <si>
    <t>Battery volume, L</t>
  </si>
  <si>
    <t>Excess negative area, %</t>
  </si>
  <si>
    <r>
      <t>Electrode system ASI for energy, ohm-cm</t>
    </r>
    <r>
      <rPr>
        <vertAlign val="superscript"/>
        <sz val="10"/>
        <rFont val="Arial"/>
        <family val="2"/>
      </rPr>
      <t>2</t>
    </r>
  </si>
  <si>
    <t>Capacity at C/3, Ah</t>
  </si>
  <si>
    <t>Finished Cell Materials</t>
  </si>
  <si>
    <t>Positive Electrode, g</t>
  </si>
  <si>
    <t>Carbon 1</t>
  </si>
  <si>
    <t>SFG6</t>
  </si>
  <si>
    <r>
      <t xml:space="preserve">Thick.,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</t>
    </r>
  </si>
  <si>
    <r>
      <t>Positive foil, m</t>
    </r>
    <r>
      <rPr>
        <vertAlign val="superscript"/>
        <sz val="10"/>
        <rFont val="Arial"/>
        <family val="2"/>
      </rPr>
      <t>2</t>
    </r>
  </si>
  <si>
    <r>
      <t>Negative foil, m</t>
    </r>
    <r>
      <rPr>
        <vertAlign val="superscript"/>
        <sz val="10"/>
        <rFont val="Arial"/>
        <family val="2"/>
      </rPr>
      <t>2</t>
    </r>
  </si>
  <si>
    <r>
      <t>Separator, m</t>
    </r>
    <r>
      <rPr>
        <vertAlign val="superscript"/>
        <sz val="10"/>
        <rFont val="Arial"/>
        <family val="2"/>
      </rPr>
      <t>2</t>
    </r>
  </si>
  <si>
    <t>Electrolyte , L</t>
  </si>
  <si>
    <t>Positive active material capacity, mAh/g:</t>
  </si>
  <si>
    <r>
      <t>Positive electrode capacity, Ah/cm</t>
    </r>
    <r>
      <rPr>
        <vertAlign val="superscript"/>
        <sz val="10"/>
        <rFont val="Arial"/>
        <family val="2"/>
      </rPr>
      <t>3</t>
    </r>
  </si>
  <si>
    <t>Negative active material capacity, mAh/g:</t>
  </si>
  <si>
    <r>
      <t>Negative electrode capacity, Ah/cm</t>
    </r>
    <r>
      <rPr>
        <vertAlign val="superscript"/>
        <sz val="10"/>
        <rFont val="Arial"/>
        <family val="2"/>
      </rPr>
      <t>3</t>
    </r>
  </si>
  <si>
    <t>Cell Capacity Parameters</t>
  </si>
  <si>
    <t>Cell Voltage and Resistance Parameters</t>
  </si>
  <si>
    <t>Cell mass, g</t>
  </si>
  <si>
    <t>Cell container, g</t>
  </si>
  <si>
    <t>Positive terminal assembly, g</t>
  </si>
  <si>
    <t>Negative terminal assembly, g</t>
  </si>
  <si>
    <t>Battery Input Parameters</t>
  </si>
  <si>
    <t>Balance of Cell</t>
  </si>
  <si>
    <t>Calculated Battery Parameters</t>
  </si>
  <si>
    <r>
      <t>Total cell ASI for energy (C/3 rate), ohm-cm</t>
    </r>
    <r>
      <rPr>
        <vertAlign val="superscript"/>
        <sz val="10"/>
        <rFont val="Arial"/>
        <family val="2"/>
      </rPr>
      <t>2</t>
    </r>
  </si>
  <si>
    <t>Battery energy storage, kWh</t>
  </si>
  <si>
    <t>Balance of module materials</t>
  </si>
  <si>
    <t>Number of batteries manufactured per year</t>
  </si>
  <si>
    <t>Cell yield, %</t>
  </si>
  <si>
    <t>Unit Cell Materials Cost</t>
  </si>
  <si>
    <t>Baseline</t>
  </si>
  <si>
    <t>Positive Electrode, $/kg</t>
  </si>
  <si>
    <t>p</t>
  </si>
  <si>
    <t>Cost per</t>
  </si>
  <si>
    <t>Plus Cost</t>
  </si>
  <si>
    <t xml:space="preserve">     Active Material</t>
  </si>
  <si>
    <t>Mass, $/kg</t>
  </si>
  <si>
    <t>per Cell, $</t>
  </si>
  <si>
    <t>Positive terminal</t>
  </si>
  <si>
    <t xml:space="preserve">     Carbon Black</t>
  </si>
  <si>
    <t>Negative terminal</t>
  </si>
  <si>
    <t xml:space="preserve">     Binder PVDF</t>
  </si>
  <si>
    <t>Cell Container</t>
  </si>
  <si>
    <t xml:space="preserve">     Binder Solvent (NMP)</t>
  </si>
  <si>
    <t>Module and Battery Materials Cost</t>
  </si>
  <si>
    <t>Negative electrode material, $/kg</t>
  </si>
  <si>
    <t>Module state-of-charge regulator</t>
  </si>
  <si>
    <t xml:space="preserve">     Cost per cell, $</t>
  </si>
  <si>
    <t xml:space="preserve">     Plus cost per Capacity, $/Ah</t>
  </si>
  <si>
    <t xml:space="preserve">     Cost per Mass, $/kg</t>
  </si>
  <si>
    <t xml:space="preserve">     Plus cost per module, $</t>
  </si>
  <si>
    <r>
      <t>Separators, $/m</t>
    </r>
    <r>
      <rPr>
        <vertAlign val="superscript"/>
        <sz val="10"/>
        <rFont val="Arial"/>
        <family val="2"/>
      </rPr>
      <t>2</t>
    </r>
  </si>
  <si>
    <t>Insulators, $kg</t>
  </si>
  <si>
    <t>Electrolyte, $/L</t>
  </si>
  <si>
    <t xml:space="preserve">     Plus cost per battery, $</t>
  </si>
  <si>
    <t xml:space="preserve">     Plus cost of air cooling</t>
  </si>
  <si>
    <t>Battery Assembly Costs</t>
  </si>
  <si>
    <t>Operation</t>
  </si>
  <si>
    <t>Plant</t>
  </si>
  <si>
    <t>Receiving</t>
  </si>
  <si>
    <t xml:space="preserve">     Pertinent volume: energy/year</t>
  </si>
  <si>
    <t xml:space="preserve">        Direct Labor, hours/year</t>
  </si>
  <si>
    <t xml:space="preserve">     Pertinent volume: cell area/year</t>
  </si>
  <si>
    <t xml:space="preserve">        Capital Equipment, million$</t>
  </si>
  <si>
    <t xml:space="preserve">        Plant Area, square meters</t>
  </si>
  <si>
    <t>Electrode Processing</t>
  </si>
  <si>
    <t>Materials preparation</t>
  </si>
  <si>
    <t xml:space="preserve">     Positive materials</t>
  </si>
  <si>
    <t xml:space="preserve">     Pertinent volume: positive active mass/year</t>
  </si>
  <si>
    <t xml:space="preserve">     Pertinent volume: number of cells/year</t>
  </si>
  <si>
    <t xml:space="preserve">     Negative materials</t>
  </si>
  <si>
    <t xml:space="preserve">     Pertinent volume: negative active mass/year</t>
  </si>
  <si>
    <t>Current collector welding</t>
  </si>
  <si>
    <t>Electrode coating</t>
  </si>
  <si>
    <t>Electrolyte filling, and cell sealing</t>
  </si>
  <si>
    <t>Formation Cycling</t>
  </si>
  <si>
    <t>Module Assembly</t>
  </si>
  <si>
    <t>Rejected Cell and Scrap Recycle</t>
  </si>
  <si>
    <t>Shipping</t>
  </si>
  <si>
    <t>Investment Costs</t>
  </si>
  <si>
    <t>Launch Cost rates</t>
  </si>
  <si>
    <t xml:space="preserve">     Percent of direct annual materials cost, %</t>
  </si>
  <si>
    <t xml:space="preserve">     Percent of direct labor plus variable overhead, %</t>
  </si>
  <si>
    <t>Working capital, percent of annual variable cost, %</t>
  </si>
  <si>
    <t>Unit Cost of Battery Pack</t>
  </si>
  <si>
    <t>Variable Cost</t>
  </si>
  <si>
    <t>Direct labor rate, $/hr</t>
  </si>
  <si>
    <t>Variable overhead rate, % of direct labor</t>
  </si>
  <si>
    <t>Fixed Expenses</t>
  </si>
  <si>
    <t>General, Sales, Administration rates</t>
  </si>
  <si>
    <t xml:space="preserve">     Percent of depreciation, %</t>
  </si>
  <si>
    <t>Research and Development rate, % of depreciation</t>
  </si>
  <si>
    <t>Depreciation rates</t>
  </si>
  <si>
    <t xml:space="preserve">     Percent of capital equipment investment, %</t>
  </si>
  <si>
    <r>
      <t xml:space="preserve">Profits After Taxes, </t>
    </r>
    <r>
      <rPr>
        <sz val="10"/>
        <rFont val="Arial"/>
        <family val="2"/>
      </rPr>
      <t>% of investment</t>
    </r>
  </si>
  <si>
    <t>Annual Processing Rates</t>
  </si>
  <si>
    <t>Number of accepted cells per year</t>
  </si>
  <si>
    <t>Number of cells adjusted for yield</t>
  </si>
  <si>
    <t>Direct Materials Costs</t>
  </si>
  <si>
    <t>Yield, %</t>
  </si>
  <si>
    <t xml:space="preserve">     Total</t>
  </si>
  <si>
    <r>
      <t>Positive current collector (aluminum foil), m</t>
    </r>
    <r>
      <rPr>
        <vertAlign val="superscript"/>
        <sz val="10"/>
        <rFont val="Arial"/>
        <family val="2"/>
      </rPr>
      <t>2</t>
    </r>
  </si>
  <si>
    <r>
      <t>Negative current collector (copper foil), m</t>
    </r>
    <r>
      <rPr>
        <vertAlign val="superscript"/>
        <sz val="10"/>
        <rFont val="Arial"/>
        <family val="2"/>
      </rPr>
      <t>2</t>
    </r>
  </si>
  <si>
    <r>
      <t>Separators, m</t>
    </r>
    <r>
      <rPr>
        <vertAlign val="superscript"/>
        <sz val="10"/>
        <rFont val="Arial"/>
        <family val="2"/>
      </rPr>
      <t>2</t>
    </r>
  </si>
  <si>
    <t>Electrolyte, L</t>
  </si>
  <si>
    <t>Annual Cell Materials Rates</t>
  </si>
  <si>
    <t xml:space="preserve">     Active Material, kg</t>
  </si>
  <si>
    <t xml:space="preserve">     Carbon Black, kg</t>
  </si>
  <si>
    <t xml:space="preserve">     Binder PVDF, kg</t>
  </si>
  <si>
    <t>Negative Electrode Material, kg</t>
  </si>
  <si>
    <t xml:space="preserve">     Active Material (graphite), kg</t>
  </si>
  <si>
    <t>Positive terminal assemblies</t>
  </si>
  <si>
    <t>Negative terminal assemblies</t>
  </si>
  <si>
    <t>Cell Containers</t>
  </si>
  <si>
    <t>Unit Cell Materials Costs</t>
  </si>
  <si>
    <t>Baseline Costs, $/unit</t>
  </si>
  <si>
    <t xml:space="preserve">     Positive terminal assembly</t>
  </si>
  <si>
    <t xml:space="preserve">     Negative terminal assembly</t>
  </si>
  <si>
    <t xml:space="preserve">     Cell Container</t>
  </si>
  <si>
    <t>Cell Materials Cost, $</t>
  </si>
  <si>
    <t>Positive Electrode (dry)</t>
  </si>
  <si>
    <t>Negative electrode material (dry)</t>
  </si>
  <si>
    <t>Positive current collector (aluminum foil)</t>
  </si>
  <si>
    <t>Negative current collector (copper foil)</t>
  </si>
  <si>
    <t>Separators</t>
  </si>
  <si>
    <t>Electrolyte</t>
  </si>
  <si>
    <t>Positive terminal assembly, $/unit</t>
  </si>
  <si>
    <t>Negative terminal assembly, $/unit</t>
  </si>
  <si>
    <t>Cell Container, $/unit</t>
  </si>
  <si>
    <t>Total cost of cell winding materials, $</t>
  </si>
  <si>
    <t>Total cost of cell materials, $</t>
  </si>
  <si>
    <t>Cost of Materials,$</t>
  </si>
  <si>
    <t xml:space="preserve">     Module state-of-charge regulator</t>
  </si>
  <si>
    <t xml:space="preserve">     Balance of module materials</t>
  </si>
  <si>
    <t>Battery enclosure and cooling system</t>
  </si>
  <si>
    <t>Total cost of materials for cells and battery, $</t>
  </si>
  <si>
    <t>Operation (Pertinent rate)</t>
  </si>
  <si>
    <t xml:space="preserve">     Volume ratio (volume/baseline volume)</t>
  </si>
  <si>
    <t xml:space="preserve">     Positive materials (positive mass/yr)</t>
  </si>
  <si>
    <t xml:space="preserve">     Negative materials (negative mass/yr)</t>
  </si>
  <si>
    <t xml:space="preserve">     Positive materials (area/yr)</t>
  </si>
  <si>
    <t xml:space="preserve">     Negative materials area/yr)</t>
  </si>
  <si>
    <t>Electrode Slitting (area/yr)</t>
  </si>
  <si>
    <t>Current collector welding (number of cells/yr)</t>
  </si>
  <si>
    <t>Electrolyte filling, and cell sealing (number of cells/yr)</t>
  </si>
  <si>
    <t>Formation Cycling (number of cells/yr)</t>
  </si>
  <si>
    <t>Module Assembly (number of cells/yr)</t>
  </si>
  <si>
    <t xml:space="preserve">Rejected Cell and Scrap Recycle (number of cells/yr) </t>
  </si>
  <si>
    <t>Shipping (energy/yr)</t>
  </si>
  <si>
    <r>
      <t xml:space="preserve">     Area, m</t>
    </r>
    <r>
      <rPr>
        <vertAlign val="superscript"/>
        <sz val="10"/>
        <rFont val="Arial"/>
        <family val="2"/>
      </rPr>
      <t>2</t>
    </r>
  </si>
  <si>
    <t>Launch Costs</t>
  </si>
  <si>
    <t xml:space="preserve">     Rate: 5% of direct annual materials + 10% of other annual costs</t>
  </si>
  <si>
    <t xml:space="preserve">     Total, million$</t>
  </si>
  <si>
    <t xml:space="preserve">Materials and Purchased Items </t>
  </si>
  <si>
    <t xml:space="preserve">     Cell materials</t>
  </si>
  <si>
    <t xml:space="preserve">     Cell purchased Items</t>
  </si>
  <si>
    <t xml:space="preserve">     Module and battery</t>
  </si>
  <si>
    <t>Direct Labor</t>
  </si>
  <si>
    <t xml:space="preserve">     Electrode processing</t>
  </si>
  <si>
    <t xml:space="preserve">     Cell assembly</t>
  </si>
  <si>
    <t xml:space="preserve">     Module and battery assembly</t>
  </si>
  <si>
    <t xml:space="preserve">     Rejection and recycling</t>
  </si>
  <si>
    <t xml:space="preserve">     Receiving and shipping</t>
  </si>
  <si>
    <t xml:space="preserve">    Total</t>
  </si>
  <si>
    <t>Variable Overhead</t>
  </si>
  <si>
    <t>Total Variable Cost</t>
  </si>
  <si>
    <t>General, Sales, Administration</t>
  </si>
  <si>
    <t>Research and Development</t>
  </si>
  <si>
    <t>Depreciation</t>
  </si>
  <si>
    <t>Total Fixed Expenses</t>
  </si>
  <si>
    <t>Profits after taxes</t>
  </si>
  <si>
    <t xml:space="preserve">Direct Labor                     </t>
  </si>
  <si>
    <t xml:space="preserve">Variable Overhead  </t>
  </si>
  <si>
    <t xml:space="preserve">Profit     </t>
  </si>
  <si>
    <r>
      <t>Positive current collector foil, $/m</t>
    </r>
    <r>
      <rPr>
        <vertAlign val="superscript"/>
        <sz val="10"/>
        <rFont val="Arial"/>
        <family val="2"/>
      </rPr>
      <t>2</t>
    </r>
  </si>
  <si>
    <r>
      <t>Negative current collector foil, $/m</t>
    </r>
    <r>
      <rPr>
        <vertAlign val="superscript"/>
        <sz val="10"/>
        <rFont val="Arial"/>
        <family val="2"/>
      </rPr>
      <t>2</t>
    </r>
  </si>
  <si>
    <t>Negative Electrode, g</t>
  </si>
  <si>
    <t>Unit Cell Hardware Costs</t>
  </si>
  <si>
    <r>
      <t xml:space="preserve">     Cost, $/m</t>
    </r>
    <r>
      <rPr>
        <vertAlign val="superscript"/>
        <sz val="10"/>
        <rFont val="Arial"/>
        <family val="2"/>
      </rPr>
      <t>2</t>
    </r>
  </si>
  <si>
    <t>Capital equipment cost including installation, mil$</t>
  </si>
  <si>
    <t>Working capital (30% of annual variable costs), mil$</t>
  </si>
  <si>
    <t>Unit Cost of Battery Pack, $</t>
  </si>
  <si>
    <t>Summary of Unit Costs, $</t>
  </si>
  <si>
    <t>Negative-to-positive capacity ratio after formation</t>
  </si>
  <si>
    <t>Summary of Results</t>
  </si>
  <si>
    <t>Manufacturing Cost Calculations</t>
  </si>
  <si>
    <t>Cost Rates for Manufacturing</t>
  </si>
  <si>
    <t>Building, Land and Utilities</t>
  </si>
  <si>
    <t xml:space="preserve">     Building investment, mil$</t>
  </si>
  <si>
    <r>
      <t>Cost of building (including land and utilities), $/m</t>
    </r>
    <r>
      <rPr>
        <vertAlign val="superscript"/>
        <sz val="10"/>
        <rFont val="Arial"/>
        <family val="2"/>
      </rPr>
      <t>2</t>
    </r>
  </si>
  <si>
    <t xml:space="preserve">     Percent of building investment, % </t>
  </si>
  <si>
    <t>Total investment, mil$</t>
  </si>
  <si>
    <t xml:space="preserve">     Total cost per module</t>
  </si>
  <si>
    <t>Nominal battery voltage (OCV at 50% SOC)</t>
  </si>
  <si>
    <t>Target % OCV at full power</t>
  </si>
  <si>
    <t>Maximum current at full power, A</t>
  </si>
  <si>
    <t>% OCV at full power adjusted for thickness limit</t>
  </si>
  <si>
    <t>Cell Area Calculation</t>
  </si>
  <si>
    <t>Electrode Thickness calculation</t>
  </si>
  <si>
    <t>ASI Calculation</t>
  </si>
  <si>
    <r>
      <t>Cell area based on total ASI for power, cm</t>
    </r>
    <r>
      <rPr>
        <vertAlign val="superscript"/>
        <sz val="10"/>
        <rFont val="Arial"/>
        <family val="2"/>
      </rPr>
      <t>2</t>
    </r>
  </si>
  <si>
    <r>
      <t xml:space="preserve">Positive electrode thickness at adjusted % OCV,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</t>
    </r>
  </si>
  <si>
    <r>
      <t xml:space="preserve">Negative electrode thickness at adjusted % OCV,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</t>
    </r>
  </si>
  <si>
    <r>
      <t xml:space="preserve">Thickness of negative electrode at target % OCV, </t>
    </r>
    <r>
      <rPr>
        <sz val="10"/>
        <rFont val="Symbol"/>
        <family val="1"/>
        <charset val="2"/>
      </rPr>
      <t>m</t>
    </r>
    <r>
      <rPr>
        <sz val="10"/>
        <rFont val="Arial"/>
      </rPr>
      <t>m</t>
    </r>
  </si>
  <si>
    <t>Calculated Cell Parameters</t>
  </si>
  <si>
    <r>
      <t xml:space="preserve">Maximum allowable electrode coating thickness,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</t>
    </r>
  </si>
  <si>
    <t>Baseline Manufacturing Rates</t>
  </si>
  <si>
    <t>Balance of module materials, g</t>
  </si>
  <si>
    <t>Cost inputs that vary with cell chemistry</t>
  </si>
  <si>
    <t>Cost inputs that are do not vary with chemistry</t>
  </si>
  <si>
    <t>Area determined at target % OCV</t>
  </si>
  <si>
    <t xml:space="preserve">Area limited by max. allowed electrode thickness, </t>
  </si>
  <si>
    <t>Cell Chemistry Input</t>
  </si>
  <si>
    <t>Battery Performance and Design Input</t>
  </si>
  <si>
    <r>
      <t xml:space="preserve">Thickness of positive electrode at target %OCV, </t>
    </r>
    <r>
      <rPr>
        <sz val="10"/>
        <rFont val="Symbol"/>
        <family val="1"/>
        <charset val="2"/>
      </rPr>
      <t>m</t>
    </r>
    <r>
      <rPr>
        <sz val="10"/>
        <rFont val="Arial"/>
      </rPr>
      <t>m</t>
    </r>
  </si>
  <si>
    <t>Capacity, Ah</t>
  </si>
  <si>
    <t>Number of cells</t>
  </si>
  <si>
    <t>Vehicle Electric Range</t>
  </si>
  <si>
    <t>Energy requirement, Wh/mile</t>
  </si>
  <si>
    <t>Available battery energy, % of total</t>
  </si>
  <si>
    <t>Vehicle electric range, miles</t>
  </si>
  <si>
    <t>Cell Chemistry</t>
  </si>
  <si>
    <r>
      <t>Density, g/cm</t>
    </r>
    <r>
      <rPr>
        <u/>
        <vertAlign val="superscript"/>
        <sz val="10"/>
        <rFont val="Arial"/>
        <family val="2"/>
      </rPr>
      <t>3</t>
    </r>
  </si>
  <si>
    <t>Negative Electrode</t>
  </si>
  <si>
    <t>Positive Foil</t>
  </si>
  <si>
    <t>Material</t>
  </si>
  <si>
    <t>Negative Foil</t>
  </si>
  <si>
    <r>
      <t xml:space="preserve">Thickness, </t>
    </r>
    <r>
      <rPr>
        <sz val="10"/>
        <rFont val="Symbol"/>
        <family val="1"/>
        <charset val="2"/>
      </rPr>
      <t>m</t>
    </r>
    <r>
      <rPr>
        <sz val="10"/>
        <rFont val="Arial"/>
      </rPr>
      <t>m</t>
    </r>
  </si>
  <si>
    <t>Separator</t>
  </si>
  <si>
    <t>Aluminum</t>
  </si>
  <si>
    <t>N/P capacity ratio after formation</t>
  </si>
  <si>
    <t>Active material capacity, mAh/g:</t>
  </si>
  <si>
    <r>
      <t xml:space="preserve">Maximum electrode coating thickness,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</t>
    </r>
  </si>
  <si>
    <t>Default Values</t>
  </si>
  <si>
    <t>NCA-G</t>
  </si>
  <si>
    <t>Other</t>
  </si>
  <si>
    <t>LFP-G</t>
  </si>
  <si>
    <t>Values</t>
  </si>
  <si>
    <t>Selected System:</t>
  </si>
  <si>
    <t>Cell Materials Costs</t>
  </si>
  <si>
    <t>Copper</t>
  </si>
  <si>
    <t xml:space="preserve">     Active material</t>
  </si>
  <si>
    <t xml:space="preserve">     Carbon 1</t>
  </si>
  <si>
    <t>Override</t>
  </si>
  <si>
    <t>Vehicle range, miles</t>
  </si>
  <si>
    <t>Override Values</t>
  </si>
  <si>
    <t>LMO-G</t>
  </si>
  <si>
    <t>LMO-TiO</t>
  </si>
  <si>
    <t>Material Yields</t>
  </si>
  <si>
    <t>Positive Electrode Materials (dry), g</t>
  </si>
  <si>
    <t>Negative Electrode Materials (dry), g</t>
  </si>
  <si>
    <t>Binder solvent recovery, %</t>
  </si>
  <si>
    <t>Effective full days of operation per year</t>
  </si>
  <si>
    <t>Operating hours per day</t>
  </si>
  <si>
    <t>Receiving (Energy/yr)</t>
  </si>
  <si>
    <t>Number of annual 8-h shifts</t>
  </si>
  <si>
    <t xml:space="preserve">     Binder Solvent (NMP) makeup, kg</t>
  </si>
  <si>
    <t>Purchased Items</t>
  </si>
  <si>
    <t>Materials</t>
  </si>
  <si>
    <t>Calendering</t>
  </si>
  <si>
    <t>Slitting</t>
  </si>
  <si>
    <t>Materials preparation and delivery to coating</t>
  </si>
  <si>
    <t>Inserting cell in container</t>
  </si>
  <si>
    <t>Battery Pack Assembly and Testing</t>
  </si>
  <si>
    <t>Inter-process materials handling (area/yr)</t>
  </si>
  <si>
    <t>Inserting cell in container (number of cell/yr)</t>
  </si>
  <si>
    <t xml:space="preserve">        Cell Capacity, Ah</t>
  </si>
  <si>
    <t xml:space="preserve">        Baseline Cell Capacity, Ah</t>
  </si>
  <si>
    <t>Energy, kWh per year</t>
  </si>
  <si>
    <r>
      <t>Electrode area,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per year</t>
    </r>
  </si>
  <si>
    <t>Positive active material, kg per year</t>
  </si>
  <si>
    <t>Negative active material, kg per year</t>
  </si>
  <si>
    <t>Binder solvent, kg per year</t>
  </si>
  <si>
    <t xml:space="preserve">     Pertinent volume: NMP mass/year</t>
  </si>
  <si>
    <t>Mixing</t>
  </si>
  <si>
    <t>Coating</t>
  </si>
  <si>
    <t>Electrode</t>
  </si>
  <si>
    <t>Filling</t>
  </si>
  <si>
    <t>Materials Yields During Processing</t>
  </si>
  <si>
    <t>Total Cell Materials per Accepted Cell</t>
  </si>
  <si>
    <t>Positive electrode material (dry)</t>
  </si>
  <si>
    <t>Materials yield per accepted cell, %</t>
  </si>
  <si>
    <t>Cost Input</t>
  </si>
  <si>
    <t>Thickness</t>
  </si>
  <si>
    <t>Weight</t>
  </si>
  <si>
    <t>Volume</t>
  </si>
  <si>
    <t>Cost</t>
  </si>
  <si>
    <t>Open circuit voltage average for discharge, V</t>
  </si>
  <si>
    <t>Cell Area</t>
  </si>
  <si>
    <t>Chart Values</t>
  </si>
  <si>
    <t>Voltage (%OCV)</t>
  </si>
  <si>
    <t>Range</t>
  </si>
  <si>
    <r>
      <t>LiNi</t>
    </r>
    <r>
      <rPr>
        <b/>
        <vertAlign val="subscript"/>
        <sz val="12"/>
        <rFont val="Arial"/>
        <family val="2"/>
      </rPr>
      <t>0.80</t>
    </r>
    <r>
      <rPr>
        <b/>
        <sz val="12"/>
        <rFont val="Arial"/>
        <family val="2"/>
      </rPr>
      <t>Co</t>
    </r>
    <r>
      <rPr>
        <b/>
        <vertAlign val="subscript"/>
        <sz val="12"/>
        <rFont val="Arial"/>
        <family val="2"/>
      </rPr>
      <t>0.15</t>
    </r>
    <r>
      <rPr>
        <b/>
        <sz val="12"/>
        <rFont val="Arial"/>
        <family val="2"/>
      </rPr>
      <t>Al</t>
    </r>
    <r>
      <rPr>
        <b/>
        <vertAlign val="subscript"/>
        <sz val="12"/>
        <rFont val="Arial"/>
        <family val="2"/>
      </rPr>
      <t>0.05</t>
    </r>
    <r>
      <rPr>
        <b/>
        <sz val="12"/>
        <rFont val="Arial"/>
        <family val="2"/>
      </rPr>
      <t>-Graphite Battery Packs</t>
    </r>
  </si>
  <si>
    <t>Cell thickness, mm</t>
  </si>
  <si>
    <t>Cell container thickness, µm</t>
  </si>
  <si>
    <r>
      <t>Electrolyte density, g/cm</t>
    </r>
    <r>
      <rPr>
        <b/>
        <vertAlign val="superscript"/>
        <sz val="10"/>
        <rFont val="Arial"/>
        <family val="2"/>
      </rPr>
      <t>3</t>
    </r>
  </si>
  <si>
    <t>Cell Dimensions</t>
  </si>
  <si>
    <t>Length-to-width ratio of positive electrode</t>
  </si>
  <si>
    <t>Width of cell, mm</t>
  </si>
  <si>
    <t>Length of cell, mm</t>
  </si>
  <si>
    <t>Width of positive electrode, mm</t>
  </si>
  <si>
    <r>
      <t>Cell container density, g/cm</t>
    </r>
    <r>
      <rPr>
        <vertAlign val="superscript"/>
        <sz val="10"/>
        <rFont val="Arial"/>
        <family val="2"/>
      </rPr>
      <t>3</t>
    </r>
  </si>
  <si>
    <t>Length of positive electrode, mm</t>
  </si>
  <si>
    <r>
      <t>Total cell hardware and battery resistance, ohm-cm</t>
    </r>
    <r>
      <rPr>
        <vertAlign val="superscript"/>
        <sz val="10"/>
        <rFont val="Arial"/>
        <family val="2"/>
      </rPr>
      <t>2</t>
    </r>
  </si>
  <si>
    <t>Required battery power, kW</t>
  </si>
  <si>
    <t>Battery power at 80 % OCV, kW</t>
  </si>
  <si>
    <r>
      <t>Limiting current density, mA/cm</t>
    </r>
    <r>
      <rPr>
        <vertAlign val="superscript"/>
        <sz val="10"/>
        <rFont val="Arial"/>
        <family val="2"/>
      </rPr>
      <t>2</t>
    </r>
  </si>
  <si>
    <t>Limiting C-rate, A/Ah</t>
  </si>
  <si>
    <t>C-rate at full power, A/Ah</t>
  </si>
  <si>
    <r>
      <t>Volume of cell, cm</t>
    </r>
    <r>
      <rPr>
        <vertAlign val="superscript"/>
        <sz val="10"/>
        <rFont val="Arial"/>
        <family val="2"/>
      </rPr>
      <t>3</t>
    </r>
  </si>
  <si>
    <t>Capacity holding</t>
  </si>
  <si>
    <t>Convergence parameter</t>
  </si>
  <si>
    <t>Positive electrode thickness</t>
  </si>
  <si>
    <t>Positive electrode thickness holding</t>
  </si>
  <si>
    <r>
      <t>Negative electrode 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/cm</t>
    </r>
    <r>
      <rPr>
        <vertAlign val="superscript"/>
        <sz val="10"/>
        <rFont val="Arial"/>
        <family val="2"/>
      </rPr>
      <t>3</t>
    </r>
  </si>
  <si>
    <r>
      <t>Positive electrode 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/cm</t>
    </r>
    <r>
      <rPr>
        <vertAlign val="superscript"/>
        <sz val="10"/>
        <rFont val="Arial"/>
        <family val="2"/>
      </rPr>
      <t>3</t>
    </r>
  </si>
  <si>
    <t>Width of terminals, mm</t>
  </si>
  <si>
    <t>Open circuit voltage at 50% SOC, V</t>
  </si>
  <si>
    <t>Solid state diffusion limiting C-rate (10-s), A/Ah</t>
  </si>
  <si>
    <t>Duration of power burst (10 or 2), s</t>
  </si>
  <si>
    <t xml:space="preserve">     At 50% SOC, 2-sec burst</t>
  </si>
  <si>
    <t xml:space="preserve">     At 50% SOC, 10-sec burst</t>
  </si>
  <si>
    <t xml:space="preserve">ASI correction factor for limiting current, % </t>
  </si>
  <si>
    <r>
      <t>Density, g/cm</t>
    </r>
    <r>
      <rPr>
        <vertAlign val="superscript"/>
        <sz val="10"/>
        <rFont val="Arial"/>
        <family val="2"/>
      </rPr>
      <t>3</t>
    </r>
  </si>
  <si>
    <t>Module length, mm</t>
  </si>
  <si>
    <t>Module width, mm</t>
  </si>
  <si>
    <t>Module height, mm</t>
  </si>
  <si>
    <t>Modules</t>
  </si>
  <si>
    <t xml:space="preserve">     Carbon</t>
  </si>
  <si>
    <t xml:space="preserve">     Carbon, kg</t>
  </si>
  <si>
    <t>Module weight, kg</t>
  </si>
  <si>
    <t xml:space="preserve">Number of cells per module </t>
  </si>
  <si>
    <t>Number of modules in row</t>
  </si>
  <si>
    <t>Number of rows of modules</t>
  </si>
  <si>
    <t>Number of modules per battery</t>
  </si>
  <si>
    <t>Battery pack length, mm</t>
  </si>
  <si>
    <t>Battery pack width, mm</t>
  </si>
  <si>
    <t>Battery pack height, mm</t>
  </si>
  <si>
    <t>Battery pack insulation thickness, mm</t>
  </si>
  <si>
    <t>Battery jacket total thickness, mm</t>
  </si>
  <si>
    <r>
      <t>Battery jacket weight parameter, g/cm</t>
    </r>
    <r>
      <rPr>
        <vertAlign val="superscript"/>
        <sz val="10"/>
        <rFont val="Arial"/>
        <family val="2"/>
      </rPr>
      <t>2</t>
    </r>
  </si>
  <si>
    <t>Solvent recovery</t>
  </si>
  <si>
    <t>Binder solvent (NMP) recovery (kg/yr)</t>
  </si>
  <si>
    <t>Binder solvent</t>
  </si>
  <si>
    <t>NMP</t>
  </si>
  <si>
    <t>Water</t>
  </si>
  <si>
    <t>Cell stacking (number of cells)</t>
  </si>
  <si>
    <t xml:space="preserve">     Binder Solvent</t>
  </si>
  <si>
    <t>Cell stacking</t>
  </si>
  <si>
    <t>Cells</t>
  </si>
  <si>
    <t>Positive Active  Material</t>
  </si>
  <si>
    <t>Negative Active  Material</t>
  </si>
  <si>
    <t>Carbon and Binders</t>
  </si>
  <si>
    <t>Positive Current Collector</t>
  </si>
  <si>
    <t>Negative Current Collector</t>
  </si>
  <si>
    <t>Cell Hardware</t>
  </si>
  <si>
    <t>Module Hardware</t>
  </si>
  <si>
    <t>Battery Enclosure and Cooling System</t>
  </si>
  <si>
    <t xml:space="preserve">     Binder Solvent (water)</t>
  </si>
  <si>
    <r>
      <t>Positive current collector, $/m</t>
    </r>
    <r>
      <rPr>
        <vertAlign val="superscript"/>
        <sz val="10"/>
        <rFont val="Arial"/>
        <family val="2"/>
      </rPr>
      <t>2</t>
    </r>
  </si>
  <si>
    <r>
      <t>Negative current collector, $/m</t>
    </r>
    <r>
      <rPr>
        <vertAlign val="superscript"/>
        <sz val="10"/>
        <rFont val="Arial"/>
        <family val="2"/>
      </rPr>
      <t>2</t>
    </r>
  </si>
  <si>
    <t>Positive current collector</t>
  </si>
  <si>
    <t>Negative current collector</t>
  </si>
  <si>
    <t xml:space="preserve">     Total (dry)</t>
  </si>
  <si>
    <t>Cell Assembly in Dry Room</t>
  </si>
  <si>
    <t xml:space="preserve">     Pertinent volume: dry room operating area, sq. meters</t>
  </si>
  <si>
    <t>Final Cell sealing</t>
  </si>
  <si>
    <t>Charge-Retention Testing</t>
  </si>
  <si>
    <t>Inter-process Materials Handling</t>
  </si>
  <si>
    <t>Electrode Slitting (positive and negative)</t>
  </si>
  <si>
    <t>Vacuum Drying of Electrodes</t>
  </si>
  <si>
    <t>Control Laboratory</t>
  </si>
  <si>
    <r>
      <t>Dry room operating area, m</t>
    </r>
    <r>
      <rPr>
        <vertAlign val="superscript"/>
        <sz val="10"/>
        <rFont val="Arial"/>
        <family val="2"/>
      </rPr>
      <t>2</t>
    </r>
  </si>
  <si>
    <t xml:space="preserve">     Binder</t>
  </si>
  <si>
    <t>Dry Room Control (operating area, sq. meters)</t>
  </si>
  <si>
    <t>Final Cell Sealing</t>
  </si>
  <si>
    <t>Charge Retention Testing</t>
  </si>
  <si>
    <t>Warranty Cost, % added to price</t>
  </si>
  <si>
    <t>Dry room airlocks and management</t>
  </si>
  <si>
    <t>Length of terminal material, mm</t>
  </si>
  <si>
    <t>Thickness of terminal material, mm</t>
  </si>
  <si>
    <t>Length-to-width ratio for positive electrode</t>
  </si>
  <si>
    <r>
      <t>Total cell ASI for power, ohm-cm</t>
    </r>
    <r>
      <rPr>
        <vertAlign val="superscript"/>
        <sz val="10"/>
        <rFont val="Arial"/>
        <family val="2"/>
      </rPr>
      <t>2</t>
    </r>
  </si>
  <si>
    <t>Current collector resistance parameter, ohms</t>
  </si>
  <si>
    <t>Length of current collector tabs, mm</t>
  </si>
  <si>
    <r>
      <t>Current collector ASI, ohms-cm</t>
    </r>
    <r>
      <rPr>
        <vertAlign val="superscript"/>
        <sz val="10"/>
        <rFont val="Arial"/>
        <family val="2"/>
      </rPr>
      <t>2</t>
    </r>
  </si>
  <si>
    <t>Number of bicell layers (97% packing density)</t>
  </si>
  <si>
    <t>Cell and battery terminal connections, ohms</t>
  </si>
  <si>
    <t>Module state-of-charge regulator assembly, g</t>
  </si>
  <si>
    <t>Module volume, L</t>
  </si>
  <si>
    <t>Top of positive electrode to top of terminal, mm</t>
  </si>
  <si>
    <t>OCV at full power (at SOC for power rating), V</t>
  </si>
  <si>
    <t>Cell Capacity Calculation</t>
  </si>
  <si>
    <t>Warranty</t>
  </si>
  <si>
    <t xml:space="preserve">     At bottom of SOC range, 10-sec burst</t>
  </si>
  <si>
    <t>Chart Data</t>
  </si>
  <si>
    <t xml:space="preserve">     Selected ASI value</t>
  </si>
  <si>
    <t>Select capacity, battery energy, or vehicle range, but only one.</t>
  </si>
  <si>
    <t>Module Parameters</t>
  </si>
  <si>
    <t>Weight of module inter-connects (each 3-cm long), g</t>
  </si>
  <si>
    <t xml:space="preserve">Battery terminals (each 3.0-cm long), g </t>
  </si>
  <si>
    <t>Module terminals, if more than one module (each 2.0-cm long), g</t>
  </si>
  <si>
    <t>Cell terminal contact voltage loss, % of cell OCV</t>
  </si>
  <si>
    <r>
      <t xml:space="preserve">Rate of terminal temperature rise at full power, 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C/sec</t>
    </r>
  </si>
  <si>
    <r>
      <t>Total cell terminal ASI, ohms-cm</t>
    </r>
    <r>
      <rPr>
        <vertAlign val="superscript"/>
        <sz val="10"/>
        <rFont val="Arial"/>
        <family val="2"/>
      </rPr>
      <t>2</t>
    </r>
  </si>
  <si>
    <t>Module terminal resistance both terminals, ohms</t>
  </si>
  <si>
    <t>Resistance of module interconnects if more than one module, ohms</t>
  </si>
  <si>
    <t>Resistance of battery terminals</t>
  </si>
  <si>
    <t xml:space="preserve">Terminal heating factor, W/g </t>
  </si>
  <si>
    <t xml:space="preserve">   Capacity (Ah)</t>
  </si>
  <si>
    <t xml:space="preserve">   Battery energy (kWh)</t>
  </si>
  <si>
    <t xml:space="preserve">   Vehicle range (miles)</t>
  </si>
  <si>
    <t>Program for Calculating Performance and Materials Requirements</t>
  </si>
  <si>
    <t>Restart (0/1)</t>
  </si>
  <si>
    <r>
      <t>Maximum current density at full power, mA/cm</t>
    </r>
    <r>
      <rPr>
        <vertAlign val="superscript"/>
        <sz val="10"/>
        <rFont val="Arial"/>
        <family val="2"/>
      </rPr>
      <t>2</t>
    </r>
  </si>
  <si>
    <t>NMC-G</t>
  </si>
  <si>
    <t>PHEV</t>
  </si>
  <si>
    <t>Price</t>
  </si>
  <si>
    <r>
      <t>Dry room, enclosed operating area, m</t>
    </r>
    <r>
      <rPr>
        <vertAlign val="subscript"/>
        <sz val="10"/>
        <rFont val="Arial"/>
        <family val="2"/>
      </rPr>
      <t>2</t>
    </r>
  </si>
  <si>
    <t xml:space="preserve">     Formation cycling, testing and sealing</t>
  </si>
  <si>
    <t xml:space="preserve">     Control laboratory</t>
  </si>
  <si>
    <t>Void, Vol% %</t>
  </si>
  <si>
    <t>Total unit cost per battery not including warranty, $</t>
  </si>
  <si>
    <t xml:space="preserve">     PHEV</t>
  </si>
  <si>
    <t xml:space="preserve">     EV</t>
  </si>
  <si>
    <t xml:space="preserve">     Selected % energy</t>
  </si>
  <si>
    <t>Price, $</t>
  </si>
  <si>
    <t>Number of cells in parallel</t>
  </si>
  <si>
    <t>OCV at full power, V</t>
  </si>
  <si>
    <t>Cell capacity</t>
  </si>
  <si>
    <t>Cell group capacity</t>
  </si>
  <si>
    <t>Weight of each cell group interconnect (copper), g</t>
  </si>
  <si>
    <t>Module terminals</t>
  </si>
  <si>
    <t>Terminal resistance factor, A-ohms/cm</t>
  </si>
  <si>
    <t xml:space="preserve">     Module terminals</t>
  </si>
  <si>
    <t xml:space="preserve">     Cell group interconnects (copper)</t>
  </si>
  <si>
    <t xml:space="preserve">Number of cells in parallel </t>
  </si>
  <si>
    <t>Air flow space above and below modules and at end of jacket, mm</t>
  </si>
  <si>
    <t xml:space="preserve">        Number of modules per pack</t>
  </si>
  <si>
    <t>Battery jacket weight, kg</t>
  </si>
  <si>
    <t>Cell</t>
  </si>
  <si>
    <t>Stacking</t>
  </si>
  <si>
    <t xml:space="preserve">     Cost per battery jacket weight, $/kg</t>
  </si>
  <si>
    <t xml:space="preserve">        Number of modules per Pack</t>
  </si>
  <si>
    <t>Module wall thickness (aluminum), mm</t>
  </si>
  <si>
    <t>Thickness of module compression plates (steel), mm</t>
  </si>
  <si>
    <t>Weight of module compression plates and steel straps, g</t>
  </si>
  <si>
    <t>Positive binder solvent evaporated, kg</t>
  </si>
  <si>
    <t>Negative binder solvent evaporated, kg</t>
  </si>
  <si>
    <t xml:space="preserve">     Solvent evaporated, kg</t>
  </si>
  <si>
    <t xml:space="preserve">     Baseline solvent evaporated, kg</t>
  </si>
  <si>
    <t>Positive binder solvent evaporated, kg per year</t>
  </si>
  <si>
    <t>Negative binder solvent evaporated, kg per year</t>
  </si>
  <si>
    <t xml:space="preserve">     Module</t>
  </si>
  <si>
    <t>Unit Cost of Modules for One Battery Pack, $</t>
  </si>
  <si>
    <t>Battery Pack Assembly and Testing, 100,000 Battery Packs per year</t>
  </si>
  <si>
    <t xml:space="preserve">     Module assembly and testing</t>
  </si>
  <si>
    <t>Summary for Battery Pack</t>
  </si>
  <si>
    <t>Price to OEM, $</t>
  </si>
  <si>
    <t>Price to OEM for Modules for One Pack, $</t>
  </si>
  <si>
    <t>Price for Modules Only</t>
  </si>
  <si>
    <t>Price of Enclosing Pack in Jacket, $</t>
  </si>
  <si>
    <t>LMO-LTO</t>
  </si>
  <si>
    <t>Total Direct Labor, hours/year</t>
  </si>
  <si>
    <t>Total Plant Area, square meters</t>
  </si>
  <si>
    <t>Total Capital Equipment, million$</t>
  </si>
  <si>
    <t xml:space="preserve"> Cost,$</t>
  </si>
  <si>
    <t>Materials and Purchased Items for Battery 1</t>
  </si>
  <si>
    <t>Summary for Cost of Modules Only</t>
  </si>
  <si>
    <t>Vehicle type (microHEV, HEV-HP, PHEV, EV)</t>
  </si>
  <si>
    <t xml:space="preserve">     microHEV and HEV-HP</t>
  </si>
  <si>
    <t>Based off of the 2020 Model Rev 10</t>
  </si>
  <si>
    <t>Paul Nelson, Kevin Gallagher, and Ira Bloom</t>
  </si>
  <si>
    <t>Chemical Science and Engineering Division</t>
  </si>
  <si>
    <t>Argonne National Laboratory</t>
  </si>
  <si>
    <t>9700 S. Cass Ave, Lemont, IL 60439</t>
  </si>
  <si>
    <t>www.cse.anl.gov</t>
  </si>
  <si>
    <t>This model was created by:</t>
  </si>
  <si>
    <t>January 15th, 2011</t>
  </si>
  <si>
    <t>Total battery energy storage, kWh</t>
  </si>
  <si>
    <t>Useable battery energy storage, kWh</t>
  </si>
</sst>
</file>

<file path=xl/styles.xml><?xml version="1.0" encoding="utf-8"?>
<styleSheet xmlns="http://schemas.openxmlformats.org/spreadsheetml/2006/main">
  <numFmts count="17">
    <numFmt numFmtId="43" formatCode="_(* #,##0.00_);_(* \(#,##0.00\);_(* &quot;-&quot;??_);_(@_)"/>
    <numFmt numFmtId="165" formatCode="#,##0.0"/>
    <numFmt numFmtId="169" formatCode="0.0"/>
    <numFmt numFmtId="170" formatCode="0.000"/>
    <numFmt numFmtId="172" formatCode="0.00000"/>
    <numFmt numFmtId="173" formatCode="_(* #,##0.0_);_(* \(#,##0.0\);_(* &quot;-&quot;??_);_(@_)"/>
    <numFmt numFmtId="174" formatCode="_(* #,##0_);_(* \(#,##0\);_(* &quot;-&quot;??_);_(@_)"/>
    <numFmt numFmtId="177" formatCode="#,##0.000_);[Red]\(#,##0.000\)"/>
    <numFmt numFmtId="178" formatCode="_(* #,##0.000_);_(* \(#,##0.000\);_(* &quot;-&quot;??_);_(@_)"/>
    <numFmt numFmtId="179" formatCode="_(* #,##0.0000_);_(* \(#,##0.0000\);_(* &quot;-&quot;??_);_(@_)"/>
    <numFmt numFmtId="185" formatCode="#,##0.0_);[Red]\(#,##0.0\)"/>
    <numFmt numFmtId="186" formatCode="0.0000000"/>
    <numFmt numFmtId="187" formatCode="0.000000"/>
    <numFmt numFmtId="194" formatCode="0.0E+00"/>
    <numFmt numFmtId="199" formatCode="_(* #,##0.000000_);_(* \(#,##0.000000\);_(* &quot;-&quot;??_);_(@_)"/>
    <numFmt numFmtId="217" formatCode="#,##0.000"/>
    <numFmt numFmtId="221" formatCode="#,##0.0000000"/>
  </numFmts>
  <fonts count="26">
    <font>
      <sz val="10"/>
      <name val="Arial"/>
    </font>
    <font>
      <sz val="10"/>
      <name val="Arial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  <font>
      <sz val="10"/>
      <name val="Symbol"/>
      <family val="1"/>
      <charset val="2"/>
    </font>
    <font>
      <sz val="9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u/>
      <sz val="10"/>
      <color indexed="12"/>
      <name val="Arial"/>
    </font>
    <font>
      <sz val="8"/>
      <color indexed="81"/>
      <name val="Tahoma"/>
    </font>
    <font>
      <b/>
      <sz val="8"/>
      <color indexed="81"/>
      <name val="Tahoma"/>
    </font>
    <font>
      <u/>
      <vertAlign val="superscript"/>
      <sz val="10"/>
      <name val="Arial"/>
      <family val="2"/>
    </font>
    <font>
      <b/>
      <sz val="14"/>
      <name val="Arial"/>
      <family val="2"/>
    </font>
    <font>
      <u/>
      <sz val="10"/>
      <name val="Arial"/>
    </font>
    <font>
      <b/>
      <vertAlign val="subscript"/>
      <sz val="12"/>
      <name val="Arial"/>
      <family val="2"/>
    </font>
    <font>
      <b/>
      <sz val="10"/>
      <color indexed="10"/>
      <name val="Arial"/>
      <family val="2"/>
    </font>
    <font>
      <b/>
      <vertAlign val="superscript"/>
      <sz val="10"/>
      <name val="Arial"/>
      <family val="2"/>
    </font>
    <font>
      <sz val="10"/>
      <color indexed="10"/>
      <name val="Arial"/>
    </font>
    <font>
      <b/>
      <sz val="10"/>
      <color indexed="12"/>
      <name val="Arial"/>
      <family val="2"/>
    </font>
    <font>
      <sz val="10"/>
      <color indexed="12"/>
      <name val="Arial"/>
    </font>
    <font>
      <b/>
      <sz val="10"/>
      <color indexed="21"/>
      <name val="Arial"/>
      <family val="2"/>
    </font>
    <font>
      <vertAlign val="subscript"/>
      <sz val="10"/>
      <name val="Arial"/>
      <family val="2"/>
    </font>
    <font>
      <b/>
      <sz val="10"/>
      <color indexed="1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bgColor indexed="42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7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/>
    <xf numFmtId="169" fontId="0" fillId="0" borderId="0" xfId="0" applyNumberForma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8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" fontId="4" fillId="0" borderId="0" xfId="3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2" fillId="0" borderId="0" xfId="0" applyFont="1"/>
    <xf numFmtId="0" fontId="9" fillId="0" borderId="0" xfId="0" applyFont="1"/>
    <xf numFmtId="2" fontId="0" fillId="0" borderId="0" xfId="0" applyNumberFormat="1" applyAlignment="1">
      <alignment horizontal="center"/>
    </xf>
    <xf numFmtId="170" fontId="0" fillId="0" borderId="0" xfId="0" applyNumberForma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70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3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2" fontId="8" fillId="0" borderId="0" xfId="0" applyNumberFormat="1" applyFont="1" applyBorder="1" applyAlignment="1">
      <alignment horizontal="left"/>
    </xf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0" applyNumberFormat="1"/>
    <xf numFmtId="43" fontId="0" fillId="0" borderId="1" xfId="0" applyNumberFormat="1" applyBorder="1"/>
    <xf numFmtId="43" fontId="1" fillId="0" borderId="0" xfId="1" applyFont="1" applyBorder="1" applyAlignment="1">
      <alignment horizontal="left"/>
    </xf>
    <xf numFmtId="43" fontId="1" fillId="0" borderId="0" xfId="0" applyNumberFormat="1" applyFont="1" applyBorder="1" applyAlignment="1">
      <alignment horizontal="left"/>
    </xf>
    <xf numFmtId="43" fontId="1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0" applyFont="1" applyBorder="1"/>
    <xf numFmtId="0" fontId="4" fillId="0" borderId="0" xfId="0" applyFont="1" applyBorder="1"/>
    <xf numFmtId="0" fontId="1" fillId="0" borderId="1" xfId="0" applyFont="1" applyFill="1" applyBorder="1" applyAlignment="1">
      <alignment horizontal="left"/>
    </xf>
    <xf numFmtId="170" fontId="0" fillId="0" borderId="1" xfId="0" applyNumberFormat="1" applyBorder="1" applyAlignment="1">
      <alignment horizontal="center"/>
    </xf>
    <xf numFmtId="178" fontId="1" fillId="0" borderId="0" xfId="0" applyNumberFormat="1" applyFont="1" applyBorder="1" applyAlignment="1">
      <alignment horizontal="left"/>
    </xf>
    <xf numFmtId="179" fontId="1" fillId="0" borderId="0" xfId="0" applyNumberFormat="1" applyFont="1" applyBorder="1" applyAlignment="1">
      <alignment horizontal="left"/>
    </xf>
    <xf numFmtId="0" fontId="4" fillId="0" borderId="0" xfId="0" applyFont="1" applyFill="1" applyBorder="1"/>
    <xf numFmtId="173" fontId="1" fillId="0" borderId="0" xfId="0" applyNumberFormat="1" applyFont="1" applyBorder="1" applyAlignment="1">
      <alignment horizontal="left"/>
    </xf>
    <xf numFmtId="174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77" fontId="0" fillId="0" borderId="0" xfId="1" applyNumberFormat="1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8" fontId="4" fillId="0" borderId="0" xfId="1" applyNumberFormat="1" applyFont="1" applyBorder="1" applyAlignment="1">
      <alignment horizontal="center"/>
    </xf>
    <xf numFmtId="38" fontId="4" fillId="0" borderId="0" xfId="1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2" fontId="0" fillId="0" borderId="0" xfId="0" applyNumberFormat="1" applyAlignment="1"/>
    <xf numFmtId="0" fontId="9" fillId="0" borderId="0" xfId="0" applyFont="1" applyAlignment="1">
      <alignment horizontal="center"/>
    </xf>
    <xf numFmtId="170" fontId="0" fillId="0" borderId="0" xfId="0" applyNumberFormat="1" applyAlignment="1">
      <alignment horizontal="center"/>
    </xf>
    <xf numFmtId="174" fontId="6" fillId="0" borderId="0" xfId="1" applyNumberFormat="1" applyFont="1" applyAlignment="1">
      <alignment horizontal="center"/>
    </xf>
    <xf numFmtId="0" fontId="6" fillId="0" borderId="0" xfId="0" applyFont="1" applyBorder="1" applyAlignment="1"/>
    <xf numFmtId="0" fontId="6" fillId="0" borderId="1" xfId="0" applyFont="1" applyBorder="1" applyAlignment="1">
      <alignment horizontal="left"/>
    </xf>
    <xf numFmtId="174" fontId="6" fillId="0" borderId="1" xfId="1" applyNumberFormat="1" applyFont="1" applyBorder="1" applyAlignment="1">
      <alignment horizontal="center"/>
    </xf>
    <xf numFmtId="174" fontId="4" fillId="0" borderId="0" xfId="1" applyNumberFormat="1" applyFont="1" applyBorder="1" applyAlignment="1">
      <alignment horizontal="center"/>
    </xf>
    <xf numFmtId="174" fontId="4" fillId="0" borderId="0" xfId="1" applyNumberFormat="1" applyFont="1" applyAlignment="1">
      <alignment horizontal="center"/>
    </xf>
    <xf numFmtId="38" fontId="4" fillId="0" borderId="0" xfId="1" applyNumberFormat="1" applyFont="1" applyAlignment="1">
      <alignment horizontal="right"/>
    </xf>
    <xf numFmtId="185" fontId="4" fillId="0" borderId="0" xfId="1" applyNumberFormat="1" applyFont="1" applyAlignment="1">
      <alignment horizontal="right"/>
    </xf>
    <xf numFmtId="0" fontId="10" fillId="0" borderId="0" xfId="0" applyFont="1"/>
    <xf numFmtId="0" fontId="6" fillId="0" borderId="0" xfId="0" applyFont="1" applyFill="1" applyBorder="1"/>
    <xf numFmtId="185" fontId="0" fillId="0" borderId="0" xfId="1" applyNumberFormat="1" applyFont="1"/>
    <xf numFmtId="170" fontId="0" fillId="0" borderId="0" xfId="0" applyNumberFormat="1"/>
    <xf numFmtId="38" fontId="0" fillId="0" borderId="0" xfId="1" applyNumberFormat="1" applyFont="1" applyAlignment="1">
      <alignment horizontal="right"/>
    </xf>
    <xf numFmtId="38" fontId="0" fillId="0" borderId="0" xfId="1" applyNumberFormat="1" applyFont="1" applyAlignment="1">
      <alignment horizontal="center"/>
    </xf>
    <xf numFmtId="40" fontId="0" fillId="0" borderId="0" xfId="1" applyNumberFormat="1" applyFont="1" applyAlignment="1">
      <alignment horizontal="right"/>
    </xf>
    <xf numFmtId="40" fontId="0" fillId="0" borderId="0" xfId="1" applyNumberFormat="1" applyFont="1" applyAlignment="1">
      <alignment horizontal="center"/>
    </xf>
    <xf numFmtId="2" fontId="6" fillId="0" borderId="0" xfId="0" applyNumberFormat="1" applyFont="1" applyBorder="1" applyAlignment="1">
      <alignment horizontal="center"/>
    </xf>
    <xf numFmtId="185" fontId="4" fillId="2" borderId="0" xfId="1" applyNumberFormat="1" applyFont="1" applyFill="1" applyAlignment="1">
      <alignment horizontal="right"/>
    </xf>
    <xf numFmtId="2" fontId="0" fillId="0" borderId="1" xfId="0" applyNumberFormat="1" applyBorder="1" applyAlignment="1">
      <alignment horizontal="center"/>
    </xf>
    <xf numFmtId="173" fontId="4" fillId="0" borderId="0" xfId="1" applyNumberFormat="1" applyFont="1" applyBorder="1" applyAlignment="1">
      <alignment horizontal="center"/>
    </xf>
    <xf numFmtId="178" fontId="4" fillId="0" borderId="0" xfId="1" applyNumberFormat="1" applyFont="1" applyBorder="1" applyAlignment="1">
      <alignment horizontal="center"/>
    </xf>
    <xf numFmtId="178" fontId="0" fillId="0" borderId="0" xfId="0" applyNumberFormat="1"/>
    <xf numFmtId="178" fontId="4" fillId="0" borderId="0" xfId="1" applyNumberFormat="1" applyFont="1" applyAlignment="1">
      <alignment horizontal="center"/>
    </xf>
    <xf numFmtId="2" fontId="0" fillId="0" borderId="0" xfId="0" applyNumberFormat="1"/>
    <xf numFmtId="43" fontId="4" fillId="0" borderId="0" xfId="1" applyFont="1" applyBorder="1" applyAlignment="1">
      <alignment horizontal="center"/>
    </xf>
    <xf numFmtId="174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/>
    </xf>
    <xf numFmtId="38" fontId="0" fillId="0" borderId="0" xfId="1" applyNumberFormat="1" applyFont="1"/>
    <xf numFmtId="38" fontId="0" fillId="0" borderId="0" xfId="0" applyNumberFormat="1"/>
    <xf numFmtId="174" fontId="0" fillId="0" borderId="0" xfId="0" applyNumberFormat="1"/>
    <xf numFmtId="174" fontId="0" fillId="0" borderId="1" xfId="0" applyNumberFormat="1" applyBorder="1"/>
    <xf numFmtId="40" fontId="0" fillId="0" borderId="0" xfId="0" applyNumberFormat="1"/>
    <xf numFmtId="3" fontId="4" fillId="2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170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38" fontId="4" fillId="2" borderId="0" xfId="1" applyNumberFormat="1" applyFont="1" applyFill="1" applyAlignment="1">
      <alignment horizontal="right"/>
    </xf>
    <xf numFmtId="174" fontId="4" fillId="2" borderId="0" xfId="1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169" fontId="4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0" xfId="0" applyFill="1"/>
    <xf numFmtId="1" fontId="4" fillId="3" borderId="0" xfId="3" applyNumberFormat="1" applyFont="1" applyFill="1" applyAlignment="1">
      <alignment horizontal="center"/>
    </xf>
    <xf numFmtId="1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3" borderId="0" xfId="3" applyNumberFormat="1" applyFont="1" applyFill="1" applyBorder="1" applyAlignment="1">
      <alignment horizontal="center"/>
    </xf>
    <xf numFmtId="169" fontId="0" fillId="3" borderId="0" xfId="0" applyNumberFormat="1" applyFill="1" applyAlignment="1">
      <alignment horizontal="center"/>
    </xf>
    <xf numFmtId="0" fontId="4" fillId="0" borderId="2" xfId="0" applyFont="1" applyFill="1" applyBorder="1"/>
    <xf numFmtId="0" fontId="0" fillId="0" borderId="2" xfId="0" applyFill="1" applyBorder="1"/>
    <xf numFmtId="0" fontId="4" fillId="0" borderId="3" xfId="0" applyFont="1" applyBorder="1"/>
    <xf numFmtId="0" fontId="0" fillId="0" borderId="3" xfId="0" applyBorder="1"/>
    <xf numFmtId="0" fontId="0" fillId="2" borderId="4" xfId="0" applyFill="1" applyBorder="1"/>
    <xf numFmtId="0" fontId="6" fillId="0" borderId="5" xfId="0" applyFont="1" applyFill="1" applyBorder="1"/>
    <xf numFmtId="0" fontId="6" fillId="0" borderId="6" xfId="0" applyFont="1" applyFill="1" applyBorder="1"/>
    <xf numFmtId="2" fontId="1" fillId="0" borderId="0" xfId="0" applyNumberFormat="1" applyFont="1" applyFill="1" applyBorder="1" applyAlignment="1">
      <alignment horizontal="center"/>
    </xf>
    <xf numFmtId="178" fontId="4" fillId="0" borderId="0" xfId="1" applyNumberFormat="1" applyFont="1" applyAlignment="1">
      <alignment horizontal="right"/>
    </xf>
    <xf numFmtId="2" fontId="0" fillId="4" borderId="0" xfId="0" applyNumberFormat="1" applyFill="1" applyAlignment="1"/>
    <xf numFmtId="2" fontId="0" fillId="4" borderId="0" xfId="0" applyNumberFormat="1" applyFill="1" applyAlignment="1">
      <alignment horizontal="center"/>
    </xf>
    <xf numFmtId="0" fontId="0" fillId="4" borderId="7" xfId="0" applyFill="1" applyBorder="1"/>
    <xf numFmtId="174" fontId="0" fillId="0" borderId="0" xfId="1" applyNumberFormat="1" applyFont="1"/>
    <xf numFmtId="40" fontId="4" fillId="0" borderId="0" xfId="1" applyNumberFormat="1" applyFont="1" applyAlignment="1">
      <alignment horizontal="right"/>
    </xf>
    <xf numFmtId="173" fontId="0" fillId="0" borderId="0" xfId="1" applyNumberFormat="1" applyFont="1" applyAlignment="1">
      <alignment horizontal="right"/>
    </xf>
    <xf numFmtId="174" fontId="0" fillId="0" borderId="0" xfId="1" applyNumberFormat="1" applyFont="1" applyAlignment="1">
      <alignment horizontal="right"/>
    </xf>
    <xf numFmtId="185" fontId="0" fillId="0" borderId="0" xfId="0" applyNumberFormat="1"/>
    <xf numFmtId="173" fontId="0" fillId="0" borderId="0" xfId="0" applyNumberFormat="1"/>
    <xf numFmtId="177" fontId="0" fillId="0" borderId="0" xfId="0" applyNumberFormat="1"/>
    <xf numFmtId="3" fontId="0" fillId="0" borderId="0" xfId="0" applyNumberFormat="1"/>
    <xf numFmtId="173" fontId="4" fillId="2" borderId="0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9" fontId="0" fillId="0" borderId="0" xfId="0" applyNumberFormat="1" applyFill="1" applyAlignment="1">
      <alignment horizontal="center"/>
    </xf>
    <xf numFmtId="169" fontId="0" fillId="0" borderId="0" xfId="0" applyNumberFormat="1"/>
    <xf numFmtId="2" fontId="6" fillId="0" borderId="0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0" fillId="5" borderId="0" xfId="0" applyFill="1" applyAlignment="1">
      <alignment horizontal="center"/>
    </xf>
    <xf numFmtId="0" fontId="6" fillId="0" borderId="6" xfId="0" applyFont="1" applyBorder="1"/>
    <xf numFmtId="0" fontId="0" fillId="5" borderId="4" xfId="0" applyFill="1" applyBorder="1"/>
    <xf numFmtId="0" fontId="6" fillId="0" borderId="5" xfId="0" applyFont="1" applyBorder="1"/>
    <xf numFmtId="0" fontId="0" fillId="0" borderId="2" xfId="0" applyBorder="1"/>
    <xf numFmtId="0" fontId="0" fillId="3" borderId="7" xfId="0" applyFill="1" applyBorder="1"/>
    <xf numFmtId="0" fontId="0" fillId="0" borderId="3" xfId="0" applyFill="1" applyBorder="1"/>
    <xf numFmtId="1" fontId="4" fillId="5" borderId="0" xfId="0" applyNumberFormat="1" applyFont="1" applyFill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1" fontId="4" fillId="0" borderId="0" xfId="3" applyNumberFormat="1" applyFont="1" applyFill="1" applyAlignment="1">
      <alignment horizontal="center"/>
    </xf>
    <xf numFmtId="0" fontId="1" fillId="0" borderId="0" xfId="0" applyFont="1" applyFill="1" applyBorder="1"/>
    <xf numFmtId="2" fontId="4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Alignment="1"/>
    <xf numFmtId="2" fontId="0" fillId="0" borderId="0" xfId="1" applyNumberFormat="1" applyFont="1" applyFill="1" applyAlignment="1"/>
    <xf numFmtId="2" fontId="4" fillId="0" borderId="0" xfId="0" applyNumberFormat="1" applyFont="1" applyFill="1" applyAlignment="1"/>
    <xf numFmtId="2" fontId="0" fillId="0" borderId="0" xfId="0" applyNumberFormat="1" applyFill="1" applyAlignment="1">
      <alignment horizontal="right"/>
    </xf>
    <xf numFmtId="1" fontId="4" fillId="3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15" fillId="0" borderId="0" xfId="0" applyFont="1" applyAlignment="1"/>
    <xf numFmtId="174" fontId="4" fillId="2" borderId="0" xfId="1" applyNumberFormat="1" applyFont="1" applyFill="1" applyAlignment="1">
      <alignment horizontal="left"/>
    </xf>
    <xf numFmtId="2" fontId="4" fillId="2" borderId="0" xfId="1" applyNumberFormat="1" applyFont="1" applyFill="1" applyBorder="1" applyAlignment="1">
      <alignment horizontal="center"/>
    </xf>
    <xf numFmtId="174" fontId="4" fillId="0" borderId="0" xfId="1" applyNumberFormat="1" applyFont="1" applyFill="1" applyBorder="1" applyAlignment="1">
      <alignment horizontal="center"/>
    </xf>
    <xf numFmtId="38" fontId="6" fillId="0" borderId="0" xfId="1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3" fontId="0" fillId="0" borderId="0" xfId="0" applyNumberFormat="1" applyFill="1"/>
    <xf numFmtId="1" fontId="4" fillId="0" borderId="0" xfId="1" applyNumberFormat="1" applyFont="1" applyBorder="1" applyAlignment="1">
      <alignment horizontal="center"/>
    </xf>
    <xf numFmtId="169" fontId="0" fillId="2" borderId="0" xfId="0" applyNumberFormat="1" applyFill="1" applyAlignment="1">
      <alignment horizontal="center"/>
    </xf>
    <xf numFmtId="169" fontId="4" fillId="0" borderId="0" xfId="1" applyNumberFormat="1" applyFont="1" applyBorder="1" applyAlignment="1">
      <alignment horizontal="center"/>
    </xf>
    <xf numFmtId="185" fontId="0" fillId="0" borderId="0" xfId="1" applyNumberFormat="1" applyFont="1" applyFill="1"/>
    <xf numFmtId="1" fontId="0" fillId="0" borderId="0" xfId="0" applyNumberFormat="1" applyFill="1" applyAlignment="1">
      <alignment horizontal="right"/>
    </xf>
    <xf numFmtId="1" fontId="0" fillId="0" borderId="0" xfId="0" applyNumberFormat="1" applyAlignment="1">
      <alignment horizontal="right"/>
    </xf>
    <xf numFmtId="170" fontId="0" fillId="0" borderId="0" xfId="0" applyNumberFormat="1" applyFill="1" applyAlignment="1">
      <alignment horizontal="center"/>
    </xf>
    <xf numFmtId="170" fontId="0" fillId="3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169" fontId="0" fillId="0" borderId="0" xfId="0" applyNumberFormat="1" applyAlignment="1">
      <alignment horizontal="right"/>
    </xf>
    <xf numFmtId="1" fontId="18" fillId="0" borderId="0" xfId="0" applyNumberFormat="1" applyFont="1" applyBorder="1" applyAlignment="1">
      <alignment horizontal="center"/>
    </xf>
    <xf numFmtId="0" fontId="0" fillId="3" borderId="0" xfId="0" applyFill="1"/>
    <xf numFmtId="1" fontId="0" fillId="5" borderId="0" xfId="0" applyNumberFormat="1" applyFill="1" applyAlignment="1">
      <alignment horizontal="center"/>
    </xf>
    <xf numFmtId="1" fontId="0" fillId="0" borderId="0" xfId="1" applyNumberFormat="1" applyFont="1" applyAlignment="1">
      <alignment horizontal="center"/>
    </xf>
    <xf numFmtId="1" fontId="0" fillId="0" borderId="0" xfId="0" applyNumberFormat="1"/>
    <xf numFmtId="174" fontId="1" fillId="3" borderId="0" xfId="0" applyNumberFormat="1" applyFont="1" applyFill="1" applyBorder="1" applyAlignment="1">
      <alignment horizontal="left"/>
    </xf>
    <xf numFmtId="169" fontId="18" fillId="0" borderId="0" xfId="0" applyNumberFormat="1" applyFont="1" applyAlignment="1">
      <alignment horizontal="center"/>
    </xf>
    <xf numFmtId="194" fontId="0" fillId="0" borderId="0" xfId="0" applyNumberFormat="1"/>
    <xf numFmtId="169" fontId="0" fillId="0" borderId="0" xfId="0" applyNumberFormat="1" applyFill="1" applyAlignment="1">
      <alignment horizontal="right"/>
    </xf>
    <xf numFmtId="170" fontId="0" fillId="0" borderId="0" xfId="0" applyNumberFormat="1" applyFill="1"/>
    <xf numFmtId="1" fontId="0" fillId="0" borderId="0" xfId="0" applyNumberFormat="1" applyFill="1"/>
    <xf numFmtId="169" fontId="0" fillId="0" borderId="0" xfId="0" applyNumberFormat="1" applyFill="1"/>
    <xf numFmtId="194" fontId="0" fillId="0" borderId="0" xfId="0" applyNumberFormat="1" applyFill="1"/>
    <xf numFmtId="0" fontId="6" fillId="0" borderId="0" xfId="0" applyFont="1" applyFill="1" applyAlignment="1">
      <alignment horizontal="center"/>
    </xf>
    <xf numFmtId="0" fontId="4" fillId="0" borderId="0" xfId="0" applyFont="1" applyFill="1"/>
    <xf numFmtId="4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43" fontId="4" fillId="0" borderId="0" xfId="1" applyNumberFormat="1" applyFont="1" applyBorder="1" applyAlignment="1">
      <alignment horizontal="center"/>
    </xf>
    <xf numFmtId="0" fontId="20" fillId="0" borderId="0" xfId="0" applyFont="1"/>
    <xf numFmtId="2" fontId="0" fillId="0" borderId="1" xfId="0" applyNumberFormat="1" applyBorder="1"/>
    <xf numFmtId="173" fontId="0" fillId="0" borderId="0" xfId="0" applyNumberFormat="1" applyBorder="1"/>
    <xf numFmtId="40" fontId="4" fillId="2" borderId="0" xfId="1" applyNumberFormat="1" applyFont="1" applyFill="1" applyAlignment="1">
      <alignment horizontal="center"/>
    </xf>
    <xf numFmtId="43" fontId="4" fillId="2" borderId="0" xfId="1" applyNumberFormat="1" applyFont="1" applyFill="1" applyBorder="1" applyAlignment="1">
      <alignment horizontal="center"/>
    </xf>
    <xf numFmtId="173" fontId="1" fillId="5" borderId="0" xfId="1" applyNumberFormat="1" applyFont="1" applyFill="1" applyBorder="1" applyAlignment="1">
      <alignment horizontal="right"/>
    </xf>
    <xf numFmtId="43" fontId="1" fillId="5" borderId="0" xfId="1" applyFont="1" applyFill="1" applyBorder="1" applyAlignment="1">
      <alignment horizontal="left"/>
    </xf>
    <xf numFmtId="43" fontId="0" fillId="5" borderId="0" xfId="1" applyFont="1" applyFill="1" applyAlignment="1">
      <alignment horizontal="center"/>
    </xf>
    <xf numFmtId="187" fontId="4" fillId="0" borderId="0" xfId="0" applyNumberFormat="1" applyFont="1" applyAlignment="1">
      <alignment horizontal="center"/>
    </xf>
    <xf numFmtId="170" fontId="4" fillId="0" borderId="0" xfId="1" applyNumberFormat="1" applyFont="1" applyAlignment="1">
      <alignment horizontal="center"/>
    </xf>
    <xf numFmtId="0" fontId="18" fillId="0" borderId="0" xfId="0" applyFont="1"/>
    <xf numFmtId="174" fontId="0" fillId="5" borderId="0" xfId="1" applyNumberFormat="1" applyFont="1" applyFill="1" applyAlignment="1">
      <alignment horizontal="center"/>
    </xf>
    <xf numFmtId="174" fontId="0" fillId="0" borderId="0" xfId="0" applyNumberFormat="1" applyBorder="1"/>
    <xf numFmtId="0" fontId="22" fillId="0" borderId="0" xfId="0" applyFont="1" applyFill="1"/>
    <xf numFmtId="169" fontId="21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right"/>
    </xf>
    <xf numFmtId="1" fontId="4" fillId="0" borderId="0" xfId="0" applyNumberFormat="1" applyFont="1" applyAlignment="1">
      <alignment horizontal="center"/>
    </xf>
    <xf numFmtId="199" fontId="4" fillId="0" borderId="0" xfId="0" applyNumberFormat="1" applyFont="1" applyAlignment="1">
      <alignment horizontal="center"/>
    </xf>
    <xf numFmtId="217" fontId="0" fillId="0" borderId="0" xfId="0" applyNumberFormat="1" applyAlignment="1">
      <alignment horizontal="center"/>
    </xf>
    <xf numFmtId="221" fontId="0" fillId="0" borderId="0" xfId="0" applyNumberFormat="1" applyAlignment="1">
      <alignment horizontal="center"/>
    </xf>
    <xf numFmtId="186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/>
    </xf>
    <xf numFmtId="174" fontId="4" fillId="0" borderId="0" xfId="1" applyNumberFormat="1" applyFont="1" applyBorder="1"/>
    <xf numFmtId="174" fontId="4" fillId="2" borderId="0" xfId="1" applyNumberFormat="1" applyFont="1" applyFill="1" applyBorder="1" applyAlignment="1">
      <alignment horizontal="right"/>
    </xf>
    <xf numFmtId="174" fontId="0" fillId="2" borderId="0" xfId="1" applyNumberFormat="1" applyFont="1" applyFill="1"/>
    <xf numFmtId="174" fontId="6" fillId="2" borderId="0" xfId="1" applyNumberFormat="1" applyFont="1" applyFill="1" applyBorder="1" applyAlignment="1">
      <alignment horizontal="right"/>
    </xf>
    <xf numFmtId="169" fontId="23" fillId="5" borderId="0" xfId="0" applyNumberFormat="1" applyFont="1" applyFill="1" applyAlignment="1">
      <alignment horizontal="center"/>
    </xf>
    <xf numFmtId="169" fontId="21" fillId="5" borderId="0" xfId="0" applyNumberFormat="1" applyFont="1" applyFill="1" applyAlignment="1">
      <alignment horizontal="center"/>
    </xf>
    <xf numFmtId="169" fontId="18" fillId="5" borderId="0" xfId="0" applyNumberFormat="1" applyFont="1" applyFill="1" applyAlignment="1">
      <alignment horizontal="center"/>
    </xf>
    <xf numFmtId="43" fontId="0" fillId="0" borderId="0" xfId="0" applyNumberFormat="1" applyAlignment="1">
      <alignment horizontal="center"/>
    </xf>
    <xf numFmtId="38" fontId="0" fillId="0" borderId="0" xfId="0" applyNumberFormat="1" applyAlignment="1">
      <alignment horizontal="center"/>
    </xf>
    <xf numFmtId="38" fontId="0" fillId="2" borderId="0" xfId="0" applyNumberFormat="1" applyFill="1"/>
    <xf numFmtId="174" fontId="0" fillId="0" borderId="0" xfId="0" applyNumberFormat="1" applyBorder="1" applyAlignment="1"/>
    <xf numFmtId="0" fontId="18" fillId="0" borderId="0" xfId="0" applyFont="1" applyBorder="1"/>
    <xf numFmtId="174" fontId="0" fillId="2" borderId="0" xfId="0" applyNumberFormat="1" applyFill="1"/>
    <xf numFmtId="38" fontId="18" fillId="0" borderId="0" xfId="1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/>
    <xf numFmtId="174" fontId="6" fillId="0" borderId="0" xfId="1" applyNumberFormat="1" applyFont="1" applyFill="1" applyBorder="1" applyAlignment="1">
      <alignment horizontal="right"/>
    </xf>
    <xf numFmtId="2" fontId="0" fillId="0" borderId="0" xfId="0" applyNumberFormat="1" applyFill="1" applyBorder="1"/>
    <xf numFmtId="0" fontId="25" fillId="0" borderId="0" xfId="0" applyFont="1"/>
    <xf numFmtId="38" fontId="25" fillId="0" borderId="0" xfId="0" applyNumberFormat="1" applyFont="1"/>
    <xf numFmtId="165" fontId="4" fillId="2" borderId="0" xfId="0" applyNumberFormat="1" applyFont="1" applyFill="1" applyBorder="1" applyAlignment="1">
      <alignment horizontal="center"/>
    </xf>
    <xf numFmtId="38" fontId="6" fillId="0" borderId="0" xfId="0" applyNumberFormat="1" applyFont="1"/>
    <xf numFmtId="40" fontId="6" fillId="0" borderId="0" xfId="0" applyNumberFormat="1" applyFont="1"/>
    <xf numFmtId="0" fontId="0" fillId="0" borderId="0" xfId="0" applyAlignment="1">
      <alignment vertical="top" wrapText="1"/>
    </xf>
    <xf numFmtId="0" fontId="11" fillId="0" borderId="0" xfId="2" applyAlignment="1" applyProtection="1"/>
    <xf numFmtId="169" fontId="18" fillId="0" borderId="0" xfId="0" applyNumberFormat="1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/>
    </xf>
    <xf numFmtId="40" fontId="6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8206181766364635"/>
          <c:y val="7.5170926434063604E-2"/>
          <c:w val="0.60508780576447163"/>
          <c:h val="0.72437438200097659"/>
        </c:manualLayout>
      </c:layout>
      <c:scatterChart>
        <c:scatterStyle val="smoothMarker"/>
        <c:ser>
          <c:idx val="2"/>
          <c:order val="2"/>
          <c:tx>
            <c:strRef>
              <c:f>'Battery Design'!$E$156</c:f>
              <c:strCache>
                <c:ptCount val="1"/>
                <c:pt idx="0">
                  <c:v>Price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'Battery Design'!$F$152:$J$152</c:f>
              <c:numCache>
                <c:formatCode>0</c:formatCode>
                <c:ptCount val="5"/>
                <c:pt idx="0">
                  <c:v>10.000000000003736</c:v>
                </c:pt>
                <c:pt idx="1">
                  <c:v>20.000000000000046</c:v>
                </c:pt>
                <c:pt idx="2">
                  <c:v>29.99999999999995</c:v>
                </c:pt>
                <c:pt idx="3">
                  <c:v>39.999999999999957</c:v>
                </c:pt>
                <c:pt idx="4">
                  <c:v>49.999999999999957</c:v>
                </c:pt>
              </c:numCache>
            </c:numRef>
          </c:xVal>
          <c:yVal>
            <c:numRef>
              <c:f>'Battery Design'!$F$156:$J$156</c:f>
              <c:numCache>
                <c:formatCode>0</c:formatCode>
                <c:ptCount val="5"/>
                <c:pt idx="0">
                  <c:v>2437.582966498454</c:v>
                </c:pt>
                <c:pt idx="1">
                  <c:v>2602.8642143865945</c:v>
                </c:pt>
                <c:pt idx="2">
                  <c:v>3037.8110201051813</c:v>
                </c:pt>
                <c:pt idx="3">
                  <c:v>3488.1954862483999</c:v>
                </c:pt>
                <c:pt idx="4">
                  <c:v>3962.2027481771283</c:v>
                </c:pt>
              </c:numCache>
            </c:numRef>
          </c:yVal>
          <c:smooth val="1"/>
        </c:ser>
        <c:axId val="99281536"/>
        <c:axId val="99284480"/>
      </c:scatterChart>
      <c:scatterChart>
        <c:scatterStyle val="lineMarker"/>
        <c:ser>
          <c:idx val="1"/>
          <c:order val="0"/>
          <c:tx>
            <c:strRef>
              <c:f>'Battery Design'!$E$155</c:f>
              <c:strCache>
                <c:ptCount val="1"/>
                <c:pt idx="0">
                  <c:v>Weight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'Battery Design'!$F$152:$J$152</c:f>
              <c:numCache>
                <c:formatCode>0</c:formatCode>
                <c:ptCount val="5"/>
                <c:pt idx="0">
                  <c:v>10.000000000003736</c:v>
                </c:pt>
                <c:pt idx="1">
                  <c:v>20.000000000000046</c:v>
                </c:pt>
                <c:pt idx="2">
                  <c:v>29.99999999999995</c:v>
                </c:pt>
                <c:pt idx="3">
                  <c:v>39.999999999999957</c:v>
                </c:pt>
                <c:pt idx="4">
                  <c:v>49.999999999999957</c:v>
                </c:pt>
              </c:numCache>
            </c:numRef>
          </c:xVal>
          <c:yVal>
            <c:numRef>
              <c:f>'Battery Design'!$F$155:$J$155</c:f>
              <c:numCache>
                <c:formatCode>0</c:formatCode>
                <c:ptCount val="5"/>
                <c:pt idx="0">
                  <c:v>42.321152061886941</c:v>
                </c:pt>
                <c:pt idx="1">
                  <c:v>53.41322381269562</c:v>
                </c:pt>
                <c:pt idx="2">
                  <c:v>69.29045826319566</c:v>
                </c:pt>
                <c:pt idx="3">
                  <c:v>85.679590579112897</c:v>
                </c:pt>
                <c:pt idx="4">
                  <c:v>104.98622067065907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'Battery Design'!$E$154</c:f>
              <c:strCache>
                <c:ptCount val="1"/>
                <c:pt idx="0">
                  <c:v>Volume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'Battery Design'!$F$152:$J$152</c:f>
              <c:numCache>
                <c:formatCode>0</c:formatCode>
                <c:ptCount val="5"/>
                <c:pt idx="0">
                  <c:v>10.000000000003736</c:v>
                </c:pt>
                <c:pt idx="1">
                  <c:v>20.000000000000046</c:v>
                </c:pt>
                <c:pt idx="2">
                  <c:v>29.99999999999995</c:v>
                </c:pt>
                <c:pt idx="3">
                  <c:v>39.999999999999957</c:v>
                </c:pt>
                <c:pt idx="4">
                  <c:v>49.999999999999957</c:v>
                </c:pt>
              </c:numCache>
            </c:numRef>
          </c:xVal>
          <c:yVal>
            <c:numRef>
              <c:f>'Battery Design'!$F$154:$J$154</c:f>
              <c:numCache>
                <c:formatCode>0</c:formatCode>
                <c:ptCount val="5"/>
                <c:pt idx="0">
                  <c:v>27.69801672525486</c:v>
                </c:pt>
                <c:pt idx="1">
                  <c:v>34.876356322625838</c:v>
                </c:pt>
                <c:pt idx="2">
                  <c:v>44.056505076666276</c:v>
                </c:pt>
                <c:pt idx="3">
                  <c:v>53.23614354540625</c:v>
                </c:pt>
                <c:pt idx="4">
                  <c:v>63.416502137670605</c:v>
                </c:pt>
              </c:numCache>
            </c:numRef>
          </c:yVal>
          <c:smooth val="1"/>
        </c:ser>
        <c:axId val="99286016"/>
        <c:axId val="99701504"/>
      </c:scatterChart>
      <c:valAx>
        <c:axId val="9928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Vehicle Range, miles</a:t>
                </a:r>
              </a:p>
            </c:rich>
          </c:tx>
          <c:layout>
            <c:manualLayout>
              <c:xMode val="edge"/>
              <c:yMode val="edge"/>
              <c:x val="0.34136588348143226"/>
              <c:y val="0.9066068791514955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84480"/>
        <c:crosses val="autoZero"/>
        <c:crossBetween val="midCat"/>
      </c:valAx>
      <c:valAx>
        <c:axId val="99284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81536"/>
        <c:crosses val="autoZero"/>
        <c:crossBetween val="midCat"/>
      </c:valAx>
      <c:valAx>
        <c:axId val="99286016"/>
        <c:scaling>
          <c:orientation val="minMax"/>
        </c:scaling>
        <c:delete val="1"/>
        <c:axPos val="b"/>
        <c:numFmt formatCode="0" sourceLinked="1"/>
        <c:tickLblPos val="none"/>
        <c:crossAx val="99701504"/>
        <c:crosses val="autoZero"/>
        <c:crossBetween val="midCat"/>
      </c:valAx>
      <c:valAx>
        <c:axId val="99701504"/>
        <c:scaling>
          <c:orientation val="minMax"/>
        </c:scaling>
        <c:axPos val="r"/>
        <c:numFmt formatCode="0" sourceLinked="1"/>
        <c:majorTickMark val="cross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86016"/>
        <c:crosses val="max"/>
        <c:crossBetween val="midCat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1445867459338666"/>
          <c:y val="0.56492099079870139"/>
          <c:w val="0.7817949663922531"/>
          <c:h val="0.779044236782475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51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56758464854944"/>
          <c:y val="0.22741502207159656"/>
          <c:w val="0.30851117248305299"/>
          <c:h val="0.54205772384188766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</c:dLbls>
          <c:cat>
            <c:strRef>
              <c:f>'Summary of Results'!$A$50:$A$58</c:f>
              <c:strCache>
                <c:ptCount val="9"/>
                <c:pt idx="0">
                  <c:v>Materials</c:v>
                </c:pt>
                <c:pt idx="1">
                  <c:v>Purchased Items</c:v>
                </c:pt>
                <c:pt idx="2">
                  <c:v>Direct Labor                     </c:v>
                </c:pt>
                <c:pt idx="3">
                  <c:v>Variable Overhead  </c:v>
                </c:pt>
                <c:pt idx="4">
                  <c:v>General, Sales, Administration</c:v>
                </c:pt>
                <c:pt idx="5">
                  <c:v>Research and Development</c:v>
                </c:pt>
                <c:pt idx="6">
                  <c:v>Depreciation</c:v>
                </c:pt>
                <c:pt idx="7">
                  <c:v>Profit     </c:v>
                </c:pt>
                <c:pt idx="8">
                  <c:v>Warranty</c:v>
                </c:pt>
              </c:strCache>
            </c:strRef>
          </c:cat>
          <c:val>
            <c:numRef>
              <c:f>'Summary of Results'!$F$50:$F$58</c:f>
              <c:numCache>
                <c:formatCode>_(* #,##0_);_(* \(#,##0\);_(* "-"??_);_(@_)</c:formatCode>
                <c:ptCount val="9"/>
                <c:pt idx="0">
                  <c:v>1191.4690387262885</c:v>
                </c:pt>
                <c:pt idx="1">
                  <c:v>365.41278813473093</c:v>
                </c:pt>
                <c:pt idx="2">
                  <c:v>144.47982719157989</c:v>
                </c:pt>
                <c:pt idx="3">
                  <c:v>86.687896314947935</c:v>
                </c:pt>
                <c:pt idx="4">
                  <c:v>126.01232031274765</c:v>
                </c:pt>
                <c:pt idx="5">
                  <c:v>97.457699194450996</c:v>
                </c:pt>
                <c:pt idx="6">
                  <c:v>194.9153983891577</c:v>
                </c:pt>
                <c:pt idx="7">
                  <c:v>101.88223486761764</c:v>
                </c:pt>
                <c:pt idx="8">
                  <c:v>129.26576337536517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3368887399713338"/>
          <c:y val="1.5576323987538941E-2"/>
          <c:w val="0.98581727815937903"/>
          <c:h val="0.97508082517722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'Manufacturing Cost Calculations'!#REF!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numFmt formatCode="0.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'Manufacturing Cost Calculations'!#REF!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'Manufacturing Cost Calculations'!#REF!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strRef>
              <c:f>'Manufacturing Cost Calculations'!#REF!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'Manufacturing Cost Calculations'!#REF!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'Manufacturing Cost Calculations'!#REF!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0695424"/>
        <c:axId val="98557952"/>
      </c:scatterChart>
      <c:valAx>
        <c:axId val="100695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57952"/>
        <c:crosses val="autoZero"/>
        <c:crossBetween val="midCat"/>
      </c:valAx>
      <c:valAx>
        <c:axId val="98557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954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29780780192019"/>
          <c:y val="0.22405686179897299"/>
          <c:w val="0.35725217471685256"/>
          <c:h val="0.55188742801010193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'Manufacturing Cost Calculations'!$A$244:$A$253</c:f>
              <c:strCache>
                <c:ptCount val="10"/>
                <c:pt idx="0">
                  <c:v>Positive Active  Material</c:v>
                </c:pt>
                <c:pt idx="1">
                  <c:v>Negative Active  Material</c:v>
                </c:pt>
                <c:pt idx="2">
                  <c:v>Carbon and Binders</c:v>
                </c:pt>
                <c:pt idx="3">
                  <c:v>Positive Current Collector</c:v>
                </c:pt>
                <c:pt idx="4">
                  <c:v>Negative Current Collector</c:v>
                </c:pt>
                <c:pt idx="5">
                  <c:v>Separators</c:v>
                </c:pt>
                <c:pt idx="6">
                  <c:v>Electrolyte</c:v>
                </c:pt>
                <c:pt idx="7">
                  <c:v>Cell Hardware</c:v>
                </c:pt>
                <c:pt idx="8">
                  <c:v>Module Hardware</c:v>
                </c:pt>
                <c:pt idx="9">
                  <c:v>Battery Enclosure and Cooling System</c:v>
                </c:pt>
              </c:strCache>
            </c:strRef>
          </c:cat>
          <c:val>
            <c:numRef>
              <c:f>'Manufacturing Cost Calculations'!$F$244:$F$253</c:f>
              <c:numCache>
                <c:formatCode>0.00</c:formatCode>
                <c:ptCount val="10"/>
                <c:pt idx="0">
                  <c:v>261.79969223788794</c:v>
                </c:pt>
                <c:pt idx="1">
                  <c:v>98.732543616240932</c:v>
                </c:pt>
                <c:pt idx="2">
                  <c:v>9.8583274169163992</c:v>
                </c:pt>
                <c:pt idx="3">
                  <c:v>80.694562554181402</c:v>
                </c:pt>
                <c:pt idx="4">
                  <c:v>317.99077698415294</c:v>
                </c:pt>
                <c:pt idx="5">
                  <c:v>354.48417448525618</c:v>
                </c:pt>
                <c:pt idx="6">
                  <c:v>67.908961431652642</c:v>
                </c:pt>
                <c:pt idx="7">
                  <c:v>93.11522439550069</c:v>
                </c:pt>
                <c:pt idx="8">
                  <c:v>191.55098308833402</c:v>
                </c:pt>
                <c:pt idx="9">
                  <c:v>80.74658065089622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0763406864218317"/>
          <c:y val="1.8867924528301886E-2"/>
          <c:w val="0.99389393119753167"/>
          <c:h val="0.936321745159213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159</xdr:row>
      <xdr:rowOff>95250</xdr:rowOff>
    </xdr:from>
    <xdr:to>
      <xdr:col>9</xdr:col>
      <xdr:colOff>542925</xdr:colOff>
      <xdr:row>185</xdr:row>
      <xdr:rowOff>66675</xdr:rowOff>
    </xdr:to>
    <xdr:graphicFrame macro="">
      <xdr:nvGraphicFramePr>
        <xdr:cNvPr id="54028" name="Chart 15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0.84976</cdr:x>
      <cdr:y>0.10176</cdr:y>
    </cdr:from>
    <cdr:to>
      <cdr:x>0.98616</cdr:x>
      <cdr:y>0.85573</cdr:y>
    </cdr:to>
    <cdr:sp macro="" textlink="">
      <cdr:nvSpPr>
        <cdr:cNvPr id="133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7465" y="429657"/>
          <a:ext cx="971821" cy="3159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50" b="1" i="0" strike="noStrike">
              <a:solidFill>
                <a:srgbClr val="000000"/>
              </a:solidFill>
              <a:latin typeface="Arial"/>
              <a:cs typeface="Arial"/>
            </a:rPr>
            <a:t>Battery Pack Weight (kg)</a:t>
          </a:r>
        </a:p>
        <a:p xmlns:a="http://schemas.openxmlformats.org/drawingml/2006/main">
          <a:pPr algn="ctr" rtl="0">
            <a:defRPr sz="1000"/>
          </a:pPr>
          <a:r>
            <a:rPr lang="en-US" sz="1650" b="1" i="0" strike="noStrike">
              <a:solidFill>
                <a:srgbClr val="000000"/>
              </a:solidFill>
              <a:latin typeface="Arial"/>
              <a:cs typeface="Arial"/>
            </a:rPr>
            <a:t>and Volume (L)</a:t>
          </a:r>
        </a:p>
      </cdr:txBody>
    </cdr:sp>
  </cdr:relSizeAnchor>
  <cdr:relSizeAnchor xmlns:cdr="http://schemas.openxmlformats.org/drawingml/2006/chartDrawing">
    <cdr:from>
      <cdr:x>0.02148</cdr:x>
      <cdr:y>0.17261</cdr:y>
    </cdr:from>
    <cdr:to>
      <cdr:x>0.0866</cdr:x>
      <cdr:y>0.74872</cdr:y>
    </cdr:to>
    <cdr:sp macro="" textlink="">
      <cdr:nvSpPr>
        <cdr:cNvPr id="133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42" y="726599"/>
          <a:ext cx="463943" cy="24144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50" b="1" i="0" strike="noStrike">
              <a:solidFill>
                <a:srgbClr val="000000"/>
              </a:solidFill>
              <a:latin typeface="Arial"/>
              <a:cs typeface="Arial"/>
            </a:rPr>
            <a:t>Price to OEM, ($)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73</xdr:row>
      <xdr:rowOff>28575</xdr:rowOff>
    </xdr:from>
    <xdr:to>
      <xdr:col>9</xdr:col>
      <xdr:colOff>428625</xdr:colOff>
      <xdr:row>92</xdr:row>
      <xdr:rowOff>9525</xdr:rowOff>
    </xdr:to>
    <xdr:graphicFrame macro="">
      <xdr:nvGraphicFramePr>
        <xdr:cNvPr id="4176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3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254</xdr:row>
      <xdr:rowOff>152400</xdr:rowOff>
    </xdr:from>
    <xdr:to>
      <xdr:col>9</xdr:col>
      <xdr:colOff>628650</xdr:colOff>
      <xdr:row>279</xdr:row>
      <xdr:rowOff>142875</xdr:rowOff>
    </xdr:to>
    <xdr:graphicFrame macro="">
      <xdr:nvGraphicFramePr>
        <xdr:cNvPr id="1357" name="Chart 2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114300</xdr:rowOff>
    </xdr:from>
    <xdr:to>
      <xdr:col>18</xdr:col>
      <xdr:colOff>114300</xdr:colOff>
      <xdr:row>47</xdr:row>
      <xdr:rowOff>104775</xdr:rowOff>
    </xdr:to>
    <xdr:grpSp>
      <xdr:nvGrpSpPr>
        <xdr:cNvPr id="119169" name="Group 1"/>
        <xdr:cNvGrpSpPr>
          <a:grpSpLocks/>
        </xdr:cNvGrpSpPr>
      </xdr:nvGrpSpPr>
      <xdr:grpSpPr bwMode="auto">
        <a:xfrm>
          <a:off x="47625" y="114300"/>
          <a:ext cx="11039475" cy="7600950"/>
          <a:chOff x="5" y="63"/>
          <a:chExt cx="1159" cy="798"/>
        </a:xfrm>
      </xdr:grpSpPr>
      <xdr:sp macro="" textlink="">
        <xdr:nvSpPr>
          <xdr:cNvPr id="119353" name="Rectangle 2"/>
          <xdr:cNvSpPr>
            <a:spLocks noChangeArrowheads="1"/>
          </xdr:cNvSpPr>
        </xdr:nvSpPr>
        <xdr:spPr bwMode="auto">
          <a:xfrm>
            <a:off x="258" y="92"/>
            <a:ext cx="39" cy="473"/>
          </a:xfrm>
          <a:prstGeom prst="rect">
            <a:avLst/>
          </a:prstGeom>
          <a:solidFill>
            <a:srgbClr val="69FFFF"/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354" name="AutoShape 3"/>
          <xdr:cNvSpPr>
            <a:spLocks noChangeArrowheads="1"/>
          </xdr:cNvSpPr>
        </xdr:nvSpPr>
        <xdr:spPr bwMode="auto">
          <a:xfrm>
            <a:off x="848" y="310"/>
            <a:ext cx="291" cy="295"/>
          </a:xfrm>
          <a:prstGeom prst="roundRect">
            <a:avLst>
              <a:gd name="adj" fmla="val 7745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55" name="Freeform 4"/>
          <xdr:cNvSpPr>
            <a:spLocks/>
          </xdr:cNvSpPr>
        </xdr:nvSpPr>
        <xdr:spPr bwMode="auto">
          <a:xfrm>
            <a:off x="689" y="315"/>
            <a:ext cx="167" cy="166"/>
          </a:xfrm>
          <a:custGeom>
            <a:avLst/>
            <a:gdLst>
              <a:gd name="T0" fmla="*/ 0 w 167"/>
              <a:gd name="T1" fmla="*/ 166 h 166"/>
              <a:gd name="T2" fmla="*/ 167 w 167"/>
              <a:gd name="T3" fmla="*/ 0 h 166"/>
              <a:gd name="T4" fmla="*/ 0 60000 65536"/>
              <a:gd name="T5" fmla="*/ 0 60000 65536"/>
              <a:gd name="T6" fmla="*/ 0 w 167"/>
              <a:gd name="T7" fmla="*/ 0 h 166"/>
              <a:gd name="T8" fmla="*/ 167 w 167"/>
              <a:gd name="T9" fmla="*/ 166 h 16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7" h="166">
                <a:moveTo>
                  <a:pt x="0" y="166"/>
                </a:moveTo>
                <a:lnTo>
                  <a:pt x="167" y="0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56" name="Freeform 5"/>
          <xdr:cNvSpPr>
            <a:spLocks/>
          </xdr:cNvSpPr>
        </xdr:nvSpPr>
        <xdr:spPr bwMode="auto">
          <a:xfrm>
            <a:off x="968" y="599"/>
            <a:ext cx="165" cy="163"/>
          </a:xfrm>
          <a:custGeom>
            <a:avLst/>
            <a:gdLst>
              <a:gd name="T0" fmla="*/ 0 w 165"/>
              <a:gd name="T1" fmla="*/ 163 h 163"/>
              <a:gd name="T2" fmla="*/ 165 w 165"/>
              <a:gd name="T3" fmla="*/ 0 h 163"/>
              <a:gd name="T4" fmla="*/ 0 60000 65536"/>
              <a:gd name="T5" fmla="*/ 0 60000 65536"/>
              <a:gd name="T6" fmla="*/ 0 w 165"/>
              <a:gd name="T7" fmla="*/ 0 h 163"/>
              <a:gd name="T8" fmla="*/ 165 w 165"/>
              <a:gd name="T9" fmla="*/ 163 h 163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5" h="163">
                <a:moveTo>
                  <a:pt x="0" y="163"/>
                </a:moveTo>
                <a:lnTo>
                  <a:pt x="165" y="0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57" name="AutoShape 6"/>
          <xdr:cNvSpPr>
            <a:spLocks noChangeArrowheads="1"/>
          </xdr:cNvSpPr>
        </xdr:nvSpPr>
        <xdr:spPr bwMode="auto">
          <a:xfrm>
            <a:off x="853" y="304"/>
            <a:ext cx="291" cy="295"/>
          </a:xfrm>
          <a:prstGeom prst="roundRect">
            <a:avLst>
              <a:gd name="adj" fmla="val 7745"/>
            </a:avLst>
          </a:prstGeom>
          <a:solidFill>
            <a:srgbClr val="66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58" name="Freeform 7"/>
          <xdr:cNvSpPr>
            <a:spLocks/>
          </xdr:cNvSpPr>
        </xdr:nvSpPr>
        <xdr:spPr bwMode="auto">
          <a:xfrm>
            <a:off x="712" y="430"/>
            <a:ext cx="205" cy="184"/>
          </a:xfrm>
          <a:custGeom>
            <a:avLst/>
            <a:gdLst>
              <a:gd name="T0" fmla="*/ 0 w 205"/>
              <a:gd name="T1" fmla="*/ 183 h 184"/>
              <a:gd name="T2" fmla="*/ 183 w 205"/>
              <a:gd name="T3" fmla="*/ 0 h 184"/>
              <a:gd name="T4" fmla="*/ 205 w 205"/>
              <a:gd name="T5" fmla="*/ 0 h 184"/>
              <a:gd name="T6" fmla="*/ 23 w 205"/>
              <a:gd name="T7" fmla="*/ 184 h 184"/>
              <a:gd name="T8" fmla="*/ 0 w 205"/>
              <a:gd name="T9" fmla="*/ 183 h 18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05"/>
              <a:gd name="T16" fmla="*/ 0 h 184"/>
              <a:gd name="T17" fmla="*/ 205 w 205"/>
              <a:gd name="T18" fmla="*/ 184 h 18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05" h="184">
                <a:moveTo>
                  <a:pt x="0" y="183"/>
                </a:moveTo>
                <a:lnTo>
                  <a:pt x="183" y="0"/>
                </a:lnTo>
                <a:lnTo>
                  <a:pt x="205" y="0"/>
                </a:lnTo>
                <a:lnTo>
                  <a:pt x="23" y="184"/>
                </a:lnTo>
                <a:lnTo>
                  <a:pt x="0" y="183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59" name="Freeform 8"/>
          <xdr:cNvSpPr>
            <a:spLocks/>
          </xdr:cNvSpPr>
        </xdr:nvSpPr>
        <xdr:spPr bwMode="auto">
          <a:xfrm>
            <a:off x="744" y="430"/>
            <a:ext cx="205" cy="184"/>
          </a:xfrm>
          <a:custGeom>
            <a:avLst/>
            <a:gdLst>
              <a:gd name="T0" fmla="*/ 0 w 205"/>
              <a:gd name="T1" fmla="*/ 183 h 184"/>
              <a:gd name="T2" fmla="*/ 183 w 205"/>
              <a:gd name="T3" fmla="*/ 0 h 184"/>
              <a:gd name="T4" fmla="*/ 205 w 205"/>
              <a:gd name="T5" fmla="*/ 0 h 184"/>
              <a:gd name="T6" fmla="*/ 23 w 205"/>
              <a:gd name="T7" fmla="*/ 184 h 184"/>
              <a:gd name="T8" fmla="*/ 0 w 205"/>
              <a:gd name="T9" fmla="*/ 183 h 18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05"/>
              <a:gd name="T16" fmla="*/ 0 h 184"/>
              <a:gd name="T17" fmla="*/ 205 w 205"/>
              <a:gd name="T18" fmla="*/ 184 h 18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05" h="184">
                <a:moveTo>
                  <a:pt x="0" y="183"/>
                </a:moveTo>
                <a:lnTo>
                  <a:pt x="183" y="0"/>
                </a:lnTo>
                <a:lnTo>
                  <a:pt x="205" y="0"/>
                </a:lnTo>
                <a:lnTo>
                  <a:pt x="23" y="184"/>
                </a:lnTo>
                <a:lnTo>
                  <a:pt x="0" y="183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0" name="Freeform 9"/>
          <xdr:cNvSpPr>
            <a:spLocks/>
          </xdr:cNvSpPr>
        </xdr:nvSpPr>
        <xdr:spPr bwMode="auto">
          <a:xfrm>
            <a:off x="692" y="310"/>
            <a:ext cx="447" cy="449"/>
          </a:xfrm>
          <a:custGeom>
            <a:avLst/>
            <a:gdLst>
              <a:gd name="T0" fmla="*/ 0 w 447"/>
              <a:gd name="T1" fmla="*/ 206 h 449"/>
              <a:gd name="T2" fmla="*/ 44 w 447"/>
              <a:gd name="T3" fmla="*/ 194 h 449"/>
              <a:gd name="T4" fmla="*/ 12 w 447"/>
              <a:gd name="T5" fmla="*/ 179 h 449"/>
              <a:gd name="T6" fmla="*/ 5 w 447"/>
              <a:gd name="T7" fmla="*/ 164 h 449"/>
              <a:gd name="T8" fmla="*/ 16 w 447"/>
              <a:gd name="T9" fmla="*/ 153 h 449"/>
              <a:gd name="T10" fmla="*/ 24 w 447"/>
              <a:gd name="T11" fmla="*/ 145 h 449"/>
              <a:gd name="T12" fmla="*/ 52 w 447"/>
              <a:gd name="T13" fmla="*/ 117 h 449"/>
              <a:gd name="T14" fmla="*/ 77 w 447"/>
              <a:gd name="T15" fmla="*/ 92 h 449"/>
              <a:gd name="T16" fmla="*/ 95 w 447"/>
              <a:gd name="T17" fmla="*/ 74 h 449"/>
              <a:gd name="T18" fmla="*/ 110 w 447"/>
              <a:gd name="T19" fmla="*/ 59 h 449"/>
              <a:gd name="T20" fmla="*/ 131 w 447"/>
              <a:gd name="T21" fmla="*/ 38 h 449"/>
              <a:gd name="T22" fmla="*/ 144 w 447"/>
              <a:gd name="T23" fmla="*/ 25 h 449"/>
              <a:gd name="T24" fmla="*/ 153 w 447"/>
              <a:gd name="T25" fmla="*/ 16 h 449"/>
              <a:gd name="T26" fmla="*/ 164 w 447"/>
              <a:gd name="T27" fmla="*/ 5 h 449"/>
              <a:gd name="T28" fmla="*/ 174 w 447"/>
              <a:gd name="T29" fmla="*/ 0 h 449"/>
              <a:gd name="T30" fmla="*/ 188 w 447"/>
              <a:gd name="T31" fmla="*/ 0 h 449"/>
              <a:gd name="T32" fmla="*/ 290 w 447"/>
              <a:gd name="T33" fmla="*/ 0 h 449"/>
              <a:gd name="T34" fmla="*/ 386 w 447"/>
              <a:gd name="T35" fmla="*/ 0 h 449"/>
              <a:gd name="T36" fmla="*/ 425 w 447"/>
              <a:gd name="T37" fmla="*/ 0 h 449"/>
              <a:gd name="T38" fmla="*/ 435 w 447"/>
              <a:gd name="T39" fmla="*/ 3 h 449"/>
              <a:gd name="T40" fmla="*/ 442 w 447"/>
              <a:gd name="T41" fmla="*/ 7 h 449"/>
              <a:gd name="T42" fmla="*/ 445 w 447"/>
              <a:gd name="T43" fmla="*/ 14 h 449"/>
              <a:gd name="T44" fmla="*/ 447 w 447"/>
              <a:gd name="T45" fmla="*/ 21 h 449"/>
              <a:gd name="T46" fmla="*/ 447 w 447"/>
              <a:gd name="T47" fmla="*/ 64 h 449"/>
              <a:gd name="T48" fmla="*/ 447 w 447"/>
              <a:gd name="T49" fmla="*/ 174 h 449"/>
              <a:gd name="T50" fmla="*/ 447 w 447"/>
              <a:gd name="T51" fmla="*/ 252 h 449"/>
              <a:gd name="T52" fmla="*/ 447 w 447"/>
              <a:gd name="T53" fmla="*/ 267 h 449"/>
              <a:gd name="T54" fmla="*/ 446 w 447"/>
              <a:gd name="T55" fmla="*/ 280 h 449"/>
              <a:gd name="T56" fmla="*/ 440 w 447"/>
              <a:gd name="T57" fmla="*/ 290 h 449"/>
              <a:gd name="T58" fmla="*/ 435 w 447"/>
              <a:gd name="T59" fmla="*/ 295 h 449"/>
              <a:gd name="T60" fmla="*/ 360 w 447"/>
              <a:gd name="T61" fmla="*/ 370 h 449"/>
              <a:gd name="T62" fmla="*/ 327 w 447"/>
              <a:gd name="T63" fmla="*/ 401 h 449"/>
              <a:gd name="T64" fmla="*/ 316 w 447"/>
              <a:gd name="T65" fmla="*/ 412 h 449"/>
              <a:gd name="T66" fmla="*/ 309 w 447"/>
              <a:gd name="T67" fmla="*/ 419 h 449"/>
              <a:gd name="T68" fmla="*/ 278 w 447"/>
              <a:gd name="T69" fmla="*/ 449 h 449"/>
              <a:gd name="T70" fmla="*/ 191 w 447"/>
              <a:gd name="T71" fmla="*/ 442 h 449"/>
              <a:gd name="T72" fmla="*/ 169 w 447"/>
              <a:gd name="T73" fmla="*/ 426 h 449"/>
              <a:gd name="T74" fmla="*/ 144 w 447"/>
              <a:gd name="T75" fmla="*/ 371 h 449"/>
              <a:gd name="T76" fmla="*/ 144 w 447"/>
              <a:gd name="T77" fmla="*/ 342 h 449"/>
              <a:gd name="T78" fmla="*/ 144 w 447"/>
              <a:gd name="T79" fmla="*/ 322 h 449"/>
              <a:gd name="T80" fmla="*/ 142 w 447"/>
              <a:gd name="T81" fmla="*/ 313 h 449"/>
              <a:gd name="T82" fmla="*/ 134 w 447"/>
              <a:gd name="T83" fmla="*/ 306 h 449"/>
              <a:gd name="T84" fmla="*/ 128 w 447"/>
              <a:gd name="T85" fmla="*/ 302 h 449"/>
              <a:gd name="T86" fmla="*/ 120 w 447"/>
              <a:gd name="T87" fmla="*/ 303 h 449"/>
              <a:gd name="T88" fmla="*/ 112 w 447"/>
              <a:gd name="T89" fmla="*/ 301 h 449"/>
              <a:gd name="T90" fmla="*/ 99 w 447"/>
              <a:gd name="T91" fmla="*/ 302 h 449"/>
              <a:gd name="T92" fmla="*/ 78 w 447"/>
              <a:gd name="T93" fmla="*/ 302 h 449"/>
              <a:gd name="T94" fmla="*/ 25 w 447"/>
              <a:gd name="T95" fmla="*/ 302 h 449"/>
              <a:gd name="T96" fmla="*/ 34 w 447"/>
              <a:gd name="T97" fmla="*/ 311 h 449"/>
              <a:gd name="T98" fmla="*/ 25 w 447"/>
              <a:gd name="T99" fmla="*/ 307 h 449"/>
              <a:gd name="T100" fmla="*/ 8 w 447"/>
              <a:gd name="T101" fmla="*/ 293 h 449"/>
              <a:gd name="T102" fmla="*/ 5 w 447"/>
              <a:gd name="T103" fmla="*/ 276 h 449"/>
              <a:gd name="T104" fmla="*/ 1 w 447"/>
              <a:gd name="T105" fmla="*/ 281 h 449"/>
              <a:gd name="T106" fmla="*/ 7 w 447"/>
              <a:gd name="T107" fmla="*/ 270 h 449"/>
              <a:gd name="T108" fmla="*/ 0 w 447"/>
              <a:gd name="T109" fmla="*/ 206 h 449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w 447"/>
              <a:gd name="T166" fmla="*/ 0 h 449"/>
              <a:gd name="T167" fmla="*/ 447 w 447"/>
              <a:gd name="T168" fmla="*/ 449 h 449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T165" t="T166" r="T167" b="T168"/>
            <a:pathLst>
              <a:path w="447" h="449">
                <a:moveTo>
                  <a:pt x="0" y="206"/>
                </a:moveTo>
                <a:lnTo>
                  <a:pt x="44" y="194"/>
                </a:lnTo>
                <a:lnTo>
                  <a:pt x="12" y="179"/>
                </a:lnTo>
                <a:lnTo>
                  <a:pt x="5" y="164"/>
                </a:lnTo>
                <a:lnTo>
                  <a:pt x="16" y="153"/>
                </a:lnTo>
                <a:lnTo>
                  <a:pt x="24" y="145"/>
                </a:lnTo>
                <a:lnTo>
                  <a:pt x="52" y="117"/>
                </a:lnTo>
                <a:lnTo>
                  <a:pt x="77" y="92"/>
                </a:lnTo>
                <a:lnTo>
                  <a:pt x="95" y="74"/>
                </a:lnTo>
                <a:lnTo>
                  <a:pt x="110" y="59"/>
                </a:lnTo>
                <a:lnTo>
                  <a:pt x="131" y="38"/>
                </a:lnTo>
                <a:lnTo>
                  <a:pt x="144" y="25"/>
                </a:lnTo>
                <a:lnTo>
                  <a:pt x="153" y="16"/>
                </a:lnTo>
                <a:lnTo>
                  <a:pt x="164" y="5"/>
                </a:lnTo>
                <a:lnTo>
                  <a:pt x="174" y="0"/>
                </a:lnTo>
                <a:lnTo>
                  <a:pt x="188" y="0"/>
                </a:lnTo>
                <a:lnTo>
                  <a:pt x="290" y="0"/>
                </a:lnTo>
                <a:lnTo>
                  <a:pt x="386" y="0"/>
                </a:lnTo>
                <a:lnTo>
                  <a:pt x="425" y="0"/>
                </a:lnTo>
                <a:lnTo>
                  <a:pt x="435" y="3"/>
                </a:lnTo>
                <a:lnTo>
                  <a:pt x="442" y="7"/>
                </a:lnTo>
                <a:lnTo>
                  <a:pt x="445" y="14"/>
                </a:lnTo>
                <a:lnTo>
                  <a:pt x="447" y="21"/>
                </a:lnTo>
                <a:lnTo>
                  <a:pt x="447" y="64"/>
                </a:lnTo>
                <a:lnTo>
                  <a:pt x="447" y="174"/>
                </a:lnTo>
                <a:lnTo>
                  <a:pt x="447" y="252"/>
                </a:lnTo>
                <a:lnTo>
                  <a:pt x="447" y="267"/>
                </a:lnTo>
                <a:lnTo>
                  <a:pt x="446" y="280"/>
                </a:lnTo>
                <a:lnTo>
                  <a:pt x="440" y="290"/>
                </a:lnTo>
                <a:lnTo>
                  <a:pt x="435" y="295"/>
                </a:lnTo>
                <a:lnTo>
                  <a:pt x="360" y="370"/>
                </a:lnTo>
                <a:lnTo>
                  <a:pt x="327" y="401"/>
                </a:lnTo>
                <a:lnTo>
                  <a:pt x="316" y="412"/>
                </a:lnTo>
                <a:lnTo>
                  <a:pt x="309" y="419"/>
                </a:lnTo>
                <a:lnTo>
                  <a:pt x="278" y="449"/>
                </a:lnTo>
                <a:lnTo>
                  <a:pt x="191" y="442"/>
                </a:lnTo>
                <a:lnTo>
                  <a:pt x="169" y="426"/>
                </a:lnTo>
                <a:lnTo>
                  <a:pt x="144" y="371"/>
                </a:lnTo>
                <a:lnTo>
                  <a:pt x="144" y="342"/>
                </a:lnTo>
                <a:lnTo>
                  <a:pt x="144" y="322"/>
                </a:lnTo>
                <a:lnTo>
                  <a:pt x="142" y="313"/>
                </a:lnTo>
                <a:cubicBezTo>
                  <a:pt x="135" y="307"/>
                  <a:pt x="137" y="309"/>
                  <a:pt x="134" y="306"/>
                </a:cubicBezTo>
                <a:lnTo>
                  <a:pt x="128" y="302"/>
                </a:lnTo>
                <a:lnTo>
                  <a:pt x="120" y="303"/>
                </a:lnTo>
                <a:lnTo>
                  <a:pt x="112" y="301"/>
                </a:lnTo>
                <a:lnTo>
                  <a:pt x="99" y="302"/>
                </a:lnTo>
                <a:lnTo>
                  <a:pt x="78" y="302"/>
                </a:lnTo>
                <a:lnTo>
                  <a:pt x="25" y="302"/>
                </a:lnTo>
                <a:lnTo>
                  <a:pt x="34" y="311"/>
                </a:lnTo>
                <a:lnTo>
                  <a:pt x="25" y="307"/>
                </a:lnTo>
                <a:lnTo>
                  <a:pt x="8" y="293"/>
                </a:lnTo>
                <a:lnTo>
                  <a:pt x="5" y="276"/>
                </a:lnTo>
                <a:lnTo>
                  <a:pt x="1" y="281"/>
                </a:lnTo>
                <a:lnTo>
                  <a:pt x="7" y="270"/>
                </a:lnTo>
                <a:lnTo>
                  <a:pt x="0" y="206"/>
                </a:lnTo>
                <a:close/>
              </a:path>
            </a:pathLst>
          </a:custGeom>
          <a:gradFill rotWithShape="1">
            <a:gsLst>
              <a:gs pos="0">
                <a:srgbClr val="69FFFF"/>
              </a:gs>
              <a:gs pos="100000">
                <a:srgbClr val="CCFFCC"/>
              </a:gs>
            </a:gsLst>
            <a:lin ang="189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1" name="AutoShape 10"/>
          <xdr:cNvSpPr>
            <a:spLocks noChangeArrowheads="1"/>
          </xdr:cNvSpPr>
        </xdr:nvSpPr>
        <xdr:spPr bwMode="auto">
          <a:xfrm>
            <a:off x="717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62" name="Group 11"/>
          <xdr:cNvGrpSpPr>
            <a:grpSpLocks/>
          </xdr:cNvGrpSpPr>
        </xdr:nvGrpSpPr>
        <xdr:grpSpPr bwMode="auto">
          <a:xfrm flipV="1">
            <a:off x="721" y="757"/>
            <a:ext cx="23" cy="9"/>
            <a:chOff x="146" y="875"/>
            <a:chExt cx="23" cy="9"/>
          </a:xfrm>
        </xdr:grpSpPr>
        <xdr:sp macro="" textlink="">
          <xdr:nvSpPr>
            <xdr:cNvPr id="119528" name="Line 12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29" name="Line 13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19363" name="Group 14"/>
          <xdr:cNvGrpSpPr>
            <a:grpSpLocks/>
          </xdr:cNvGrpSpPr>
        </xdr:nvGrpSpPr>
        <xdr:grpSpPr bwMode="auto">
          <a:xfrm>
            <a:off x="909" y="476"/>
            <a:ext cx="32" cy="290"/>
            <a:chOff x="141" y="875"/>
            <a:chExt cx="32" cy="290"/>
          </a:xfrm>
        </xdr:grpSpPr>
        <xdr:sp macro="" textlink="">
          <xdr:nvSpPr>
            <xdr:cNvPr id="119521" name="AutoShape 15"/>
            <xdr:cNvSpPr>
              <a:spLocks noChangeArrowheads="1"/>
            </xdr:cNvSpPr>
          </xdr:nvSpPr>
          <xdr:spPr bwMode="auto">
            <a:xfrm>
              <a:off x="141" y="884"/>
              <a:ext cx="32" cy="272"/>
            </a:xfrm>
            <a:prstGeom prst="roundRect">
              <a:avLst>
                <a:gd name="adj" fmla="val 1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grpSp>
          <xdr:nvGrpSpPr>
            <xdr:cNvPr id="119522" name="Group 16"/>
            <xdr:cNvGrpSpPr>
              <a:grpSpLocks/>
            </xdr:cNvGrpSpPr>
          </xdr:nvGrpSpPr>
          <xdr:grpSpPr bwMode="auto">
            <a:xfrm>
              <a:off x="146" y="875"/>
              <a:ext cx="23" cy="9"/>
              <a:chOff x="146" y="875"/>
              <a:chExt cx="23" cy="9"/>
            </a:xfrm>
          </xdr:grpSpPr>
          <xdr:sp macro="" textlink="">
            <xdr:nvSpPr>
              <xdr:cNvPr id="119526" name="Line 17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527" name="Line 18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19523" name="Group 19"/>
            <xdr:cNvGrpSpPr>
              <a:grpSpLocks/>
            </xdr:cNvGrpSpPr>
          </xdr:nvGrpSpPr>
          <xdr:grpSpPr bwMode="auto">
            <a:xfrm flipV="1">
              <a:off x="145" y="1156"/>
              <a:ext cx="23" cy="9"/>
              <a:chOff x="146" y="875"/>
              <a:chExt cx="23" cy="9"/>
            </a:xfrm>
          </xdr:grpSpPr>
          <xdr:sp macro="" textlink="">
            <xdr:nvSpPr>
              <xdr:cNvPr id="119524" name="Line 20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525" name="Line 21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19364" name="AutoShape 22"/>
          <xdr:cNvSpPr>
            <a:spLocks noChangeArrowheads="1"/>
          </xdr:cNvSpPr>
        </xdr:nvSpPr>
        <xdr:spPr bwMode="auto">
          <a:xfrm>
            <a:off x="941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5" name="Line 23"/>
          <xdr:cNvSpPr>
            <a:spLocks noChangeShapeType="1"/>
          </xdr:cNvSpPr>
        </xdr:nvSpPr>
        <xdr:spPr bwMode="auto">
          <a:xfrm flipV="1">
            <a:off x="957" y="479"/>
            <a:ext cx="0" cy="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6" name="Line 24"/>
          <xdr:cNvSpPr>
            <a:spLocks noChangeShapeType="1"/>
          </xdr:cNvSpPr>
        </xdr:nvSpPr>
        <xdr:spPr bwMode="auto">
          <a:xfrm>
            <a:off x="946" y="476"/>
            <a:ext cx="23" cy="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7" name="Line 25"/>
          <xdr:cNvSpPr>
            <a:spLocks noChangeShapeType="1"/>
          </xdr:cNvSpPr>
        </xdr:nvSpPr>
        <xdr:spPr bwMode="auto">
          <a:xfrm>
            <a:off x="956" y="757"/>
            <a:ext cx="1" cy="5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8" name="Line 26"/>
          <xdr:cNvSpPr>
            <a:spLocks noChangeShapeType="1"/>
          </xdr:cNvSpPr>
        </xdr:nvSpPr>
        <xdr:spPr bwMode="auto">
          <a:xfrm flipV="1">
            <a:off x="945" y="761"/>
            <a:ext cx="23" cy="5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69" name="AutoShape 27"/>
          <xdr:cNvSpPr>
            <a:spLocks noChangeArrowheads="1"/>
          </xdr:cNvSpPr>
        </xdr:nvSpPr>
        <xdr:spPr bwMode="auto">
          <a:xfrm>
            <a:off x="686" y="494"/>
            <a:ext cx="31" cy="253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70" name="AutoShape 28"/>
          <xdr:cNvSpPr>
            <a:spLocks noChangeArrowheads="1"/>
          </xdr:cNvSpPr>
        </xdr:nvSpPr>
        <xdr:spPr bwMode="auto">
          <a:xfrm>
            <a:off x="688" y="470"/>
            <a:ext cx="291" cy="295"/>
          </a:xfrm>
          <a:prstGeom prst="roundRect">
            <a:avLst>
              <a:gd name="adj" fmla="val 7745"/>
            </a:avLst>
          </a:prstGeom>
          <a:solidFill>
            <a:srgbClr val="66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71" name="AutoShape 29"/>
          <xdr:cNvSpPr>
            <a:spLocks noChangeArrowheads="1"/>
          </xdr:cNvSpPr>
        </xdr:nvSpPr>
        <xdr:spPr bwMode="auto">
          <a:xfrm>
            <a:off x="781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72" name="Group 30"/>
          <xdr:cNvGrpSpPr>
            <a:grpSpLocks/>
          </xdr:cNvGrpSpPr>
        </xdr:nvGrpSpPr>
        <xdr:grpSpPr bwMode="auto">
          <a:xfrm flipV="1">
            <a:off x="785" y="757"/>
            <a:ext cx="23" cy="9"/>
            <a:chOff x="146" y="875"/>
            <a:chExt cx="23" cy="9"/>
          </a:xfrm>
        </xdr:grpSpPr>
        <xdr:sp macro="" textlink="">
          <xdr:nvSpPr>
            <xdr:cNvPr id="119519" name="Line 31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20" name="Line 32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373" name="AutoShape 33"/>
          <xdr:cNvSpPr>
            <a:spLocks noChangeArrowheads="1"/>
          </xdr:cNvSpPr>
        </xdr:nvSpPr>
        <xdr:spPr bwMode="auto">
          <a:xfrm>
            <a:off x="813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74" name="Group 34"/>
          <xdr:cNvGrpSpPr>
            <a:grpSpLocks/>
          </xdr:cNvGrpSpPr>
        </xdr:nvGrpSpPr>
        <xdr:grpSpPr bwMode="auto">
          <a:xfrm flipV="1">
            <a:off x="817" y="757"/>
            <a:ext cx="23" cy="9"/>
            <a:chOff x="146" y="875"/>
            <a:chExt cx="23" cy="9"/>
          </a:xfrm>
        </xdr:grpSpPr>
        <xdr:sp macro="" textlink="">
          <xdr:nvSpPr>
            <xdr:cNvPr id="119517" name="Line 35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18" name="Line 36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375" name="AutoShape 37"/>
          <xdr:cNvSpPr>
            <a:spLocks noChangeArrowheads="1"/>
          </xdr:cNvSpPr>
        </xdr:nvSpPr>
        <xdr:spPr bwMode="auto">
          <a:xfrm>
            <a:off x="845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76" name="Group 38"/>
          <xdr:cNvGrpSpPr>
            <a:grpSpLocks/>
          </xdr:cNvGrpSpPr>
        </xdr:nvGrpSpPr>
        <xdr:grpSpPr bwMode="auto">
          <a:xfrm flipV="1">
            <a:off x="849" y="757"/>
            <a:ext cx="23" cy="9"/>
            <a:chOff x="146" y="875"/>
            <a:chExt cx="23" cy="9"/>
          </a:xfrm>
        </xdr:grpSpPr>
        <xdr:sp macro="" textlink="">
          <xdr:nvSpPr>
            <xdr:cNvPr id="119515" name="Line 39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16" name="Line 40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19377" name="Group 41"/>
          <xdr:cNvGrpSpPr>
            <a:grpSpLocks/>
          </xdr:cNvGrpSpPr>
        </xdr:nvGrpSpPr>
        <xdr:grpSpPr bwMode="auto">
          <a:xfrm>
            <a:off x="877" y="476"/>
            <a:ext cx="32" cy="290"/>
            <a:chOff x="141" y="875"/>
            <a:chExt cx="32" cy="290"/>
          </a:xfrm>
        </xdr:grpSpPr>
        <xdr:sp macro="" textlink="">
          <xdr:nvSpPr>
            <xdr:cNvPr id="119508" name="AutoShape 42"/>
            <xdr:cNvSpPr>
              <a:spLocks noChangeArrowheads="1"/>
            </xdr:cNvSpPr>
          </xdr:nvSpPr>
          <xdr:spPr bwMode="auto">
            <a:xfrm>
              <a:off x="141" y="884"/>
              <a:ext cx="32" cy="272"/>
            </a:xfrm>
            <a:prstGeom prst="roundRect">
              <a:avLst>
                <a:gd name="adj" fmla="val 1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grpSp>
          <xdr:nvGrpSpPr>
            <xdr:cNvPr id="119509" name="Group 43"/>
            <xdr:cNvGrpSpPr>
              <a:grpSpLocks/>
            </xdr:cNvGrpSpPr>
          </xdr:nvGrpSpPr>
          <xdr:grpSpPr bwMode="auto">
            <a:xfrm>
              <a:off x="146" y="875"/>
              <a:ext cx="23" cy="9"/>
              <a:chOff x="146" y="875"/>
              <a:chExt cx="23" cy="9"/>
            </a:xfrm>
          </xdr:grpSpPr>
          <xdr:sp macro="" textlink="">
            <xdr:nvSpPr>
              <xdr:cNvPr id="119513" name="Line 44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514" name="Line 45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19510" name="Group 46"/>
            <xdr:cNvGrpSpPr>
              <a:grpSpLocks/>
            </xdr:cNvGrpSpPr>
          </xdr:nvGrpSpPr>
          <xdr:grpSpPr bwMode="auto">
            <a:xfrm flipV="1">
              <a:off x="145" y="1156"/>
              <a:ext cx="23" cy="9"/>
              <a:chOff x="146" y="875"/>
              <a:chExt cx="23" cy="9"/>
            </a:xfrm>
          </xdr:grpSpPr>
          <xdr:sp macro="" textlink="">
            <xdr:nvSpPr>
              <xdr:cNvPr id="119511" name="Line 47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512" name="Line 48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19378" name="AutoShape 49"/>
          <xdr:cNvSpPr>
            <a:spLocks noChangeArrowheads="1"/>
          </xdr:cNvSpPr>
        </xdr:nvSpPr>
        <xdr:spPr bwMode="auto">
          <a:xfrm>
            <a:off x="749" y="485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79" name="Group 50"/>
          <xdr:cNvGrpSpPr>
            <a:grpSpLocks/>
          </xdr:cNvGrpSpPr>
        </xdr:nvGrpSpPr>
        <xdr:grpSpPr bwMode="auto">
          <a:xfrm flipV="1">
            <a:off x="753" y="757"/>
            <a:ext cx="23" cy="9"/>
            <a:chOff x="146" y="875"/>
            <a:chExt cx="23" cy="9"/>
          </a:xfrm>
        </xdr:grpSpPr>
        <xdr:sp macro="" textlink="">
          <xdr:nvSpPr>
            <xdr:cNvPr id="119506" name="Line 51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7" name="Line 52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380" name="Rectangle 53"/>
          <xdr:cNvSpPr>
            <a:spLocks noChangeArrowheads="1"/>
          </xdr:cNvSpPr>
        </xdr:nvSpPr>
        <xdr:spPr bwMode="auto">
          <a:xfrm>
            <a:off x="762" y="495"/>
            <a:ext cx="22" cy="252"/>
          </a:xfrm>
          <a:prstGeom prst="rect">
            <a:avLst/>
          </a:prstGeom>
          <a:gradFill rotWithShape="1">
            <a:gsLst>
              <a:gs pos="0">
                <a:srgbClr val="C0C0C0"/>
              </a:gs>
              <a:gs pos="5000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381" name="Rectangle 54"/>
          <xdr:cNvSpPr>
            <a:spLocks noChangeArrowheads="1"/>
          </xdr:cNvSpPr>
        </xdr:nvSpPr>
        <xdr:spPr bwMode="auto">
          <a:xfrm>
            <a:off x="824" y="495"/>
            <a:ext cx="22" cy="252"/>
          </a:xfrm>
          <a:prstGeom prst="rect">
            <a:avLst/>
          </a:prstGeom>
          <a:gradFill rotWithShape="1">
            <a:gsLst>
              <a:gs pos="0">
                <a:srgbClr val="C0C0C0"/>
              </a:gs>
              <a:gs pos="5000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382" name="AutoShape 55"/>
          <xdr:cNvSpPr>
            <a:spLocks noChangeArrowheads="1"/>
          </xdr:cNvSpPr>
        </xdr:nvSpPr>
        <xdr:spPr bwMode="auto">
          <a:xfrm>
            <a:off x="683" y="604"/>
            <a:ext cx="291" cy="166"/>
          </a:xfrm>
          <a:prstGeom prst="roundRect">
            <a:avLst>
              <a:gd name="adj" fmla="val 7745"/>
            </a:avLst>
          </a:pr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383" name="Freeform 56"/>
          <xdr:cNvSpPr>
            <a:spLocks/>
          </xdr:cNvSpPr>
        </xdr:nvSpPr>
        <xdr:spPr bwMode="auto">
          <a:xfrm>
            <a:off x="683" y="474"/>
            <a:ext cx="75" cy="160"/>
          </a:xfrm>
          <a:custGeom>
            <a:avLst/>
            <a:gdLst>
              <a:gd name="T0" fmla="*/ 79 w 79"/>
              <a:gd name="T1" fmla="*/ 1 h 131"/>
              <a:gd name="T2" fmla="*/ 79 w 79"/>
              <a:gd name="T3" fmla="*/ 117 h 131"/>
              <a:gd name="T4" fmla="*/ 0 w 79"/>
              <a:gd name="T5" fmla="*/ 131 h 131"/>
              <a:gd name="T6" fmla="*/ 0 w 79"/>
              <a:gd name="T7" fmla="*/ 67 h 131"/>
              <a:gd name="T8" fmla="*/ 0 w 79"/>
              <a:gd name="T9" fmla="*/ 34 h 131"/>
              <a:gd name="T10" fmla="*/ 0 w 79"/>
              <a:gd name="T11" fmla="*/ 19 h 131"/>
              <a:gd name="T12" fmla="*/ 3 w 79"/>
              <a:gd name="T13" fmla="*/ 12 h 131"/>
              <a:gd name="T14" fmla="*/ 10 w 79"/>
              <a:gd name="T15" fmla="*/ 3 h 131"/>
              <a:gd name="T16" fmla="*/ 18 w 79"/>
              <a:gd name="T17" fmla="*/ 0 h 131"/>
              <a:gd name="T18" fmla="*/ 30 w 79"/>
              <a:gd name="T19" fmla="*/ 0 h 131"/>
              <a:gd name="T20" fmla="*/ 79 w 79"/>
              <a:gd name="T21" fmla="*/ 1 h 131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79"/>
              <a:gd name="T34" fmla="*/ 0 h 131"/>
              <a:gd name="T35" fmla="*/ 79 w 79"/>
              <a:gd name="T36" fmla="*/ 131 h 131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79" h="131">
                <a:moveTo>
                  <a:pt x="79" y="1"/>
                </a:moveTo>
                <a:lnTo>
                  <a:pt x="79" y="117"/>
                </a:lnTo>
                <a:lnTo>
                  <a:pt x="0" y="131"/>
                </a:lnTo>
                <a:lnTo>
                  <a:pt x="0" y="67"/>
                </a:lnTo>
                <a:lnTo>
                  <a:pt x="0" y="34"/>
                </a:lnTo>
                <a:lnTo>
                  <a:pt x="0" y="19"/>
                </a:lnTo>
                <a:lnTo>
                  <a:pt x="3" y="12"/>
                </a:lnTo>
                <a:lnTo>
                  <a:pt x="10" y="3"/>
                </a:lnTo>
                <a:lnTo>
                  <a:pt x="18" y="0"/>
                </a:lnTo>
                <a:lnTo>
                  <a:pt x="30" y="0"/>
                </a:lnTo>
                <a:lnTo>
                  <a:pt x="79" y="1"/>
                </a:lnTo>
                <a:close/>
              </a:path>
            </a:pathLst>
          </a:cu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grpSp>
        <xdr:nvGrpSpPr>
          <xdr:cNvPr id="119384" name="Group 57"/>
          <xdr:cNvGrpSpPr>
            <a:grpSpLocks/>
          </xdr:cNvGrpSpPr>
        </xdr:nvGrpSpPr>
        <xdr:grpSpPr bwMode="auto">
          <a:xfrm>
            <a:off x="690" y="517"/>
            <a:ext cx="60" cy="54"/>
            <a:chOff x="73" y="1039"/>
            <a:chExt cx="60" cy="54"/>
          </a:xfrm>
        </xdr:grpSpPr>
        <xdr:sp macro="" textlink="">
          <xdr:nvSpPr>
            <xdr:cNvPr id="119493" name="AutoShape 58"/>
            <xdr:cNvSpPr>
              <a:spLocks noChangeArrowheads="1"/>
            </xdr:cNvSpPr>
          </xdr:nvSpPr>
          <xdr:spPr bwMode="auto">
            <a:xfrm>
              <a:off x="77" y="1039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494" name="AutoShape 59"/>
            <xdr:cNvSpPr>
              <a:spLocks noChangeArrowheads="1"/>
            </xdr:cNvSpPr>
          </xdr:nvSpPr>
          <xdr:spPr bwMode="auto">
            <a:xfrm>
              <a:off x="73" y="1041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495" name="Oval 60"/>
            <xdr:cNvSpPr>
              <a:spLocks noChangeArrowheads="1"/>
            </xdr:cNvSpPr>
          </xdr:nvSpPr>
          <xdr:spPr bwMode="auto">
            <a:xfrm>
              <a:off x="88" y="105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6" name="Line 61"/>
            <xdr:cNvSpPr>
              <a:spLocks noChangeShapeType="1"/>
            </xdr:cNvSpPr>
          </xdr:nvSpPr>
          <xdr:spPr bwMode="auto">
            <a:xfrm flipV="1">
              <a:off x="77" y="1056"/>
              <a:ext cx="15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7" name="Oval 62"/>
            <xdr:cNvSpPr>
              <a:spLocks noChangeArrowheads="1"/>
            </xdr:cNvSpPr>
          </xdr:nvSpPr>
          <xdr:spPr bwMode="auto">
            <a:xfrm>
              <a:off x="86" y="105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8" name="Oval 63"/>
            <xdr:cNvSpPr>
              <a:spLocks noChangeArrowheads="1"/>
            </xdr:cNvSpPr>
          </xdr:nvSpPr>
          <xdr:spPr bwMode="auto">
            <a:xfrm>
              <a:off x="84" y="105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9" name="Oval 64"/>
            <xdr:cNvSpPr>
              <a:spLocks noChangeArrowheads="1"/>
            </xdr:cNvSpPr>
          </xdr:nvSpPr>
          <xdr:spPr bwMode="auto">
            <a:xfrm>
              <a:off x="82" y="1058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0" name="Oval 65"/>
            <xdr:cNvSpPr>
              <a:spLocks noChangeArrowheads="1"/>
            </xdr:cNvSpPr>
          </xdr:nvSpPr>
          <xdr:spPr bwMode="auto">
            <a:xfrm>
              <a:off x="80" y="1060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1" name="Oval 66"/>
            <xdr:cNvSpPr>
              <a:spLocks noChangeArrowheads="1"/>
            </xdr:cNvSpPr>
          </xdr:nvSpPr>
          <xdr:spPr bwMode="auto">
            <a:xfrm>
              <a:off x="78" y="106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2" name="Oval 67"/>
            <xdr:cNvSpPr>
              <a:spLocks noChangeArrowheads="1"/>
            </xdr:cNvSpPr>
          </xdr:nvSpPr>
          <xdr:spPr bwMode="auto">
            <a:xfrm>
              <a:off x="76" y="106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3" name="Oval 68"/>
            <xdr:cNvSpPr>
              <a:spLocks noChangeArrowheads="1"/>
            </xdr:cNvSpPr>
          </xdr:nvSpPr>
          <xdr:spPr bwMode="auto">
            <a:xfrm>
              <a:off x="74" y="106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4" name="Freeform 69"/>
            <xdr:cNvSpPr>
              <a:spLocks/>
            </xdr:cNvSpPr>
          </xdr:nvSpPr>
          <xdr:spPr bwMode="auto">
            <a:xfrm>
              <a:off x="87" y="1039"/>
              <a:ext cx="32" cy="2"/>
            </a:xfrm>
            <a:custGeom>
              <a:avLst/>
              <a:gdLst>
                <a:gd name="T0" fmla="*/ 0 w 32"/>
                <a:gd name="T1" fmla="*/ 2 h 2"/>
                <a:gd name="T2" fmla="*/ 5 w 32"/>
                <a:gd name="T3" fmla="*/ 0 h 2"/>
                <a:gd name="T4" fmla="*/ 32 w 32"/>
                <a:gd name="T5" fmla="*/ 0 h 2"/>
                <a:gd name="T6" fmla="*/ 28 w 32"/>
                <a:gd name="T7" fmla="*/ 2 h 2"/>
                <a:gd name="T8" fmla="*/ 0 w 32"/>
                <a:gd name="T9" fmla="*/ 2 h 2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32"/>
                <a:gd name="T16" fmla="*/ 0 h 2"/>
                <a:gd name="T17" fmla="*/ 32 w 32"/>
                <a:gd name="T18" fmla="*/ 2 h 2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32" h="2">
                  <a:moveTo>
                    <a:pt x="0" y="2"/>
                  </a:moveTo>
                  <a:lnTo>
                    <a:pt x="5" y="0"/>
                  </a:lnTo>
                  <a:lnTo>
                    <a:pt x="32" y="0"/>
                  </a:lnTo>
                  <a:lnTo>
                    <a:pt x="28" y="2"/>
                  </a:lnTo>
                  <a:lnTo>
                    <a:pt x="0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505" name="Freeform 70"/>
            <xdr:cNvSpPr>
              <a:spLocks/>
            </xdr:cNvSpPr>
          </xdr:nvSpPr>
          <xdr:spPr bwMode="auto">
            <a:xfrm>
              <a:off x="115" y="1063"/>
              <a:ext cx="18" cy="26"/>
            </a:xfrm>
            <a:custGeom>
              <a:avLst/>
              <a:gdLst>
                <a:gd name="T0" fmla="*/ 14 w 18"/>
                <a:gd name="T1" fmla="*/ 2 h 26"/>
                <a:gd name="T2" fmla="*/ 18 w 18"/>
                <a:gd name="T3" fmla="*/ 0 h 26"/>
                <a:gd name="T4" fmla="*/ 4 w 18"/>
                <a:gd name="T5" fmla="*/ 24 h 26"/>
                <a:gd name="T6" fmla="*/ 0 w 18"/>
                <a:gd name="T7" fmla="*/ 26 h 26"/>
                <a:gd name="T8" fmla="*/ 14 w 18"/>
                <a:gd name="T9" fmla="*/ 2 h 26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8"/>
                <a:gd name="T16" fmla="*/ 0 h 26"/>
                <a:gd name="T17" fmla="*/ 18 w 18"/>
                <a:gd name="T18" fmla="*/ 26 h 26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8" h="26">
                  <a:moveTo>
                    <a:pt x="14" y="2"/>
                  </a:moveTo>
                  <a:lnTo>
                    <a:pt x="18" y="0"/>
                  </a:lnTo>
                  <a:lnTo>
                    <a:pt x="4" y="24"/>
                  </a:lnTo>
                  <a:lnTo>
                    <a:pt x="0" y="26"/>
                  </a:lnTo>
                  <a:lnTo>
                    <a:pt x="14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385" name="AutoShape 71"/>
          <xdr:cNvSpPr>
            <a:spLocks noChangeArrowheads="1"/>
          </xdr:cNvSpPr>
        </xdr:nvSpPr>
        <xdr:spPr bwMode="auto">
          <a:xfrm>
            <a:off x="872" y="475"/>
            <a:ext cx="102" cy="167"/>
          </a:xfrm>
          <a:prstGeom prst="roundRect">
            <a:avLst>
              <a:gd name="adj" fmla="val 21569"/>
            </a:avLst>
          </a:pr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386" name="AutoShape 72"/>
          <xdr:cNvSpPr>
            <a:spLocks noChangeArrowheads="1"/>
          </xdr:cNvSpPr>
        </xdr:nvSpPr>
        <xdr:spPr bwMode="auto">
          <a:xfrm>
            <a:off x="683" y="475"/>
            <a:ext cx="291" cy="295"/>
          </a:xfrm>
          <a:prstGeom prst="roundRect">
            <a:avLst>
              <a:gd name="adj" fmla="val 7745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387" name="Group 73"/>
          <xdr:cNvGrpSpPr>
            <a:grpSpLocks/>
          </xdr:cNvGrpSpPr>
        </xdr:nvGrpSpPr>
        <xdr:grpSpPr bwMode="auto">
          <a:xfrm>
            <a:off x="910" y="683"/>
            <a:ext cx="60" cy="54"/>
            <a:chOff x="73" y="1039"/>
            <a:chExt cx="60" cy="54"/>
          </a:xfrm>
        </xdr:grpSpPr>
        <xdr:sp macro="" textlink="">
          <xdr:nvSpPr>
            <xdr:cNvPr id="119480" name="AutoShape 74"/>
            <xdr:cNvSpPr>
              <a:spLocks noChangeArrowheads="1"/>
            </xdr:cNvSpPr>
          </xdr:nvSpPr>
          <xdr:spPr bwMode="auto">
            <a:xfrm>
              <a:off x="77" y="1039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481" name="AutoShape 75"/>
            <xdr:cNvSpPr>
              <a:spLocks noChangeArrowheads="1"/>
            </xdr:cNvSpPr>
          </xdr:nvSpPr>
          <xdr:spPr bwMode="auto">
            <a:xfrm>
              <a:off x="73" y="1041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482" name="Oval 76"/>
            <xdr:cNvSpPr>
              <a:spLocks noChangeArrowheads="1"/>
            </xdr:cNvSpPr>
          </xdr:nvSpPr>
          <xdr:spPr bwMode="auto">
            <a:xfrm>
              <a:off x="88" y="105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3" name="Line 77"/>
            <xdr:cNvSpPr>
              <a:spLocks noChangeShapeType="1"/>
            </xdr:cNvSpPr>
          </xdr:nvSpPr>
          <xdr:spPr bwMode="auto">
            <a:xfrm flipV="1">
              <a:off x="77" y="1056"/>
              <a:ext cx="15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4" name="Oval 78"/>
            <xdr:cNvSpPr>
              <a:spLocks noChangeArrowheads="1"/>
            </xdr:cNvSpPr>
          </xdr:nvSpPr>
          <xdr:spPr bwMode="auto">
            <a:xfrm>
              <a:off x="86" y="105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5" name="Oval 79"/>
            <xdr:cNvSpPr>
              <a:spLocks noChangeArrowheads="1"/>
            </xdr:cNvSpPr>
          </xdr:nvSpPr>
          <xdr:spPr bwMode="auto">
            <a:xfrm>
              <a:off x="84" y="105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6" name="Oval 80"/>
            <xdr:cNvSpPr>
              <a:spLocks noChangeArrowheads="1"/>
            </xdr:cNvSpPr>
          </xdr:nvSpPr>
          <xdr:spPr bwMode="auto">
            <a:xfrm>
              <a:off x="82" y="1058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7" name="Oval 81"/>
            <xdr:cNvSpPr>
              <a:spLocks noChangeArrowheads="1"/>
            </xdr:cNvSpPr>
          </xdr:nvSpPr>
          <xdr:spPr bwMode="auto">
            <a:xfrm>
              <a:off x="80" y="1060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8" name="Oval 82"/>
            <xdr:cNvSpPr>
              <a:spLocks noChangeArrowheads="1"/>
            </xdr:cNvSpPr>
          </xdr:nvSpPr>
          <xdr:spPr bwMode="auto">
            <a:xfrm>
              <a:off x="78" y="106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89" name="Oval 83"/>
            <xdr:cNvSpPr>
              <a:spLocks noChangeArrowheads="1"/>
            </xdr:cNvSpPr>
          </xdr:nvSpPr>
          <xdr:spPr bwMode="auto">
            <a:xfrm>
              <a:off x="76" y="106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0" name="Oval 84"/>
            <xdr:cNvSpPr>
              <a:spLocks noChangeArrowheads="1"/>
            </xdr:cNvSpPr>
          </xdr:nvSpPr>
          <xdr:spPr bwMode="auto">
            <a:xfrm>
              <a:off x="74" y="106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1" name="Freeform 85"/>
            <xdr:cNvSpPr>
              <a:spLocks/>
            </xdr:cNvSpPr>
          </xdr:nvSpPr>
          <xdr:spPr bwMode="auto">
            <a:xfrm>
              <a:off x="87" y="1039"/>
              <a:ext cx="32" cy="2"/>
            </a:xfrm>
            <a:custGeom>
              <a:avLst/>
              <a:gdLst>
                <a:gd name="T0" fmla="*/ 0 w 32"/>
                <a:gd name="T1" fmla="*/ 2 h 2"/>
                <a:gd name="T2" fmla="*/ 5 w 32"/>
                <a:gd name="T3" fmla="*/ 0 h 2"/>
                <a:gd name="T4" fmla="*/ 32 w 32"/>
                <a:gd name="T5" fmla="*/ 0 h 2"/>
                <a:gd name="T6" fmla="*/ 28 w 32"/>
                <a:gd name="T7" fmla="*/ 2 h 2"/>
                <a:gd name="T8" fmla="*/ 0 w 32"/>
                <a:gd name="T9" fmla="*/ 2 h 2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32"/>
                <a:gd name="T16" fmla="*/ 0 h 2"/>
                <a:gd name="T17" fmla="*/ 32 w 32"/>
                <a:gd name="T18" fmla="*/ 2 h 2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32" h="2">
                  <a:moveTo>
                    <a:pt x="0" y="2"/>
                  </a:moveTo>
                  <a:lnTo>
                    <a:pt x="5" y="0"/>
                  </a:lnTo>
                  <a:lnTo>
                    <a:pt x="32" y="0"/>
                  </a:lnTo>
                  <a:lnTo>
                    <a:pt x="28" y="2"/>
                  </a:lnTo>
                  <a:lnTo>
                    <a:pt x="0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92" name="Freeform 86"/>
            <xdr:cNvSpPr>
              <a:spLocks/>
            </xdr:cNvSpPr>
          </xdr:nvSpPr>
          <xdr:spPr bwMode="auto">
            <a:xfrm>
              <a:off x="115" y="1063"/>
              <a:ext cx="18" cy="26"/>
            </a:xfrm>
            <a:custGeom>
              <a:avLst/>
              <a:gdLst>
                <a:gd name="T0" fmla="*/ 14 w 18"/>
                <a:gd name="T1" fmla="*/ 2 h 26"/>
                <a:gd name="T2" fmla="*/ 18 w 18"/>
                <a:gd name="T3" fmla="*/ 0 h 26"/>
                <a:gd name="T4" fmla="*/ 4 w 18"/>
                <a:gd name="T5" fmla="*/ 24 h 26"/>
                <a:gd name="T6" fmla="*/ 0 w 18"/>
                <a:gd name="T7" fmla="*/ 26 h 26"/>
                <a:gd name="T8" fmla="*/ 14 w 18"/>
                <a:gd name="T9" fmla="*/ 2 h 26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8"/>
                <a:gd name="T16" fmla="*/ 0 h 26"/>
                <a:gd name="T17" fmla="*/ 18 w 18"/>
                <a:gd name="T18" fmla="*/ 26 h 26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8" h="26">
                  <a:moveTo>
                    <a:pt x="14" y="2"/>
                  </a:moveTo>
                  <a:lnTo>
                    <a:pt x="18" y="0"/>
                  </a:lnTo>
                  <a:lnTo>
                    <a:pt x="4" y="24"/>
                  </a:lnTo>
                  <a:lnTo>
                    <a:pt x="0" y="26"/>
                  </a:lnTo>
                  <a:lnTo>
                    <a:pt x="14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388" name="Line 87"/>
          <xdr:cNvSpPr>
            <a:spLocks noChangeShapeType="1"/>
          </xdr:cNvSpPr>
        </xdr:nvSpPr>
        <xdr:spPr bwMode="auto">
          <a:xfrm>
            <a:off x="704" y="547"/>
            <a:ext cx="0" cy="21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89" name="Line 88"/>
          <xdr:cNvSpPr>
            <a:spLocks noChangeShapeType="1"/>
          </xdr:cNvSpPr>
        </xdr:nvSpPr>
        <xdr:spPr bwMode="auto">
          <a:xfrm>
            <a:off x="694" y="558"/>
            <a:ext cx="21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390" name="Line 89"/>
          <xdr:cNvSpPr>
            <a:spLocks noChangeShapeType="1"/>
          </xdr:cNvSpPr>
        </xdr:nvSpPr>
        <xdr:spPr bwMode="auto">
          <a:xfrm>
            <a:off x="914" y="724"/>
            <a:ext cx="21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8874" name="Text Box 90"/>
          <xdr:cNvSpPr txBox="1">
            <a:spLocks noChangeArrowheads="1"/>
          </xdr:cNvSpPr>
        </xdr:nvSpPr>
        <xdr:spPr bwMode="auto">
          <a:xfrm>
            <a:off x="422" y="491"/>
            <a:ext cx="219" cy="4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45720" bIns="0" anchor="t" upright="1"/>
          <a:lstStyle/>
          <a:p>
            <a:pPr algn="ctr" rtl="0">
              <a:defRPr sz="1000"/>
            </a:pPr>
            <a:r>
              <a:rPr lang="en-US" sz="2000" b="1" i="0" strike="noStrike">
                <a:solidFill>
                  <a:srgbClr val="000000"/>
                </a:solidFill>
                <a:latin typeface="Arial"/>
                <a:cs typeface="Arial"/>
              </a:rPr>
              <a:t>Terminal Seal</a:t>
            </a:r>
          </a:p>
        </xdr:txBody>
      </xdr:sp>
      <xdr:sp macro="" textlink="">
        <xdr:nvSpPr>
          <xdr:cNvPr id="118875" name="AutoShape 91"/>
          <xdr:cNvSpPr>
            <a:spLocks/>
          </xdr:cNvSpPr>
        </xdr:nvSpPr>
        <xdr:spPr bwMode="auto">
          <a:xfrm>
            <a:off x="612" y="118"/>
            <a:ext cx="168" cy="85"/>
          </a:xfrm>
          <a:prstGeom prst="callout2">
            <a:avLst>
              <a:gd name="adj1" fmla="val 14116"/>
              <a:gd name="adj2" fmla="val -4764"/>
              <a:gd name="adj3" fmla="val 14116"/>
              <a:gd name="adj4" fmla="val -25000"/>
              <a:gd name="adj5" fmla="val 78824"/>
              <a:gd name="adj6" fmla="val -75000"/>
            </a:avLst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Polymer Seal of Cell Container to Terminal </a:t>
            </a:r>
          </a:p>
        </xdr:txBody>
      </xdr:sp>
      <xdr:sp macro="" textlink="">
        <xdr:nvSpPr>
          <xdr:cNvPr id="119393" name="Rectangle 92"/>
          <xdr:cNvSpPr>
            <a:spLocks noChangeArrowheads="1"/>
          </xdr:cNvSpPr>
        </xdr:nvSpPr>
        <xdr:spPr bwMode="auto">
          <a:xfrm>
            <a:off x="470" y="304"/>
            <a:ext cx="135" cy="142"/>
          </a:xfrm>
          <a:prstGeom prst="rect">
            <a:avLst/>
          </a:prstGeom>
          <a:solidFill>
            <a:srgbClr val="E3E3E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394" name="Line 93"/>
          <xdr:cNvSpPr>
            <a:spLocks noChangeShapeType="1"/>
          </xdr:cNvSpPr>
        </xdr:nvSpPr>
        <xdr:spPr bwMode="auto">
          <a:xfrm>
            <a:off x="475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395" name="Line 94"/>
          <xdr:cNvSpPr>
            <a:spLocks noChangeShapeType="1"/>
          </xdr:cNvSpPr>
        </xdr:nvSpPr>
        <xdr:spPr bwMode="auto">
          <a:xfrm>
            <a:off x="482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396" name="Line 95"/>
          <xdr:cNvSpPr>
            <a:spLocks noChangeShapeType="1"/>
          </xdr:cNvSpPr>
        </xdr:nvSpPr>
        <xdr:spPr bwMode="auto">
          <a:xfrm>
            <a:off x="488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397" name="Line 96"/>
          <xdr:cNvSpPr>
            <a:spLocks noChangeShapeType="1"/>
          </xdr:cNvSpPr>
        </xdr:nvSpPr>
        <xdr:spPr bwMode="auto">
          <a:xfrm>
            <a:off x="495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398" name="Line 97"/>
          <xdr:cNvSpPr>
            <a:spLocks noChangeShapeType="1"/>
          </xdr:cNvSpPr>
        </xdr:nvSpPr>
        <xdr:spPr bwMode="auto">
          <a:xfrm>
            <a:off x="502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399" name="Line 98"/>
          <xdr:cNvSpPr>
            <a:spLocks noChangeShapeType="1"/>
          </xdr:cNvSpPr>
        </xdr:nvSpPr>
        <xdr:spPr bwMode="auto">
          <a:xfrm>
            <a:off x="508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0" name="Line 99"/>
          <xdr:cNvSpPr>
            <a:spLocks noChangeShapeType="1"/>
          </xdr:cNvSpPr>
        </xdr:nvSpPr>
        <xdr:spPr bwMode="auto">
          <a:xfrm>
            <a:off x="515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1" name="Line 100"/>
          <xdr:cNvSpPr>
            <a:spLocks noChangeShapeType="1"/>
          </xdr:cNvSpPr>
        </xdr:nvSpPr>
        <xdr:spPr bwMode="auto">
          <a:xfrm>
            <a:off x="521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2" name="Line 101"/>
          <xdr:cNvSpPr>
            <a:spLocks noChangeShapeType="1"/>
          </xdr:cNvSpPr>
        </xdr:nvSpPr>
        <xdr:spPr bwMode="auto">
          <a:xfrm>
            <a:off x="528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3" name="Line 102"/>
          <xdr:cNvSpPr>
            <a:spLocks noChangeShapeType="1"/>
          </xdr:cNvSpPr>
        </xdr:nvSpPr>
        <xdr:spPr bwMode="auto">
          <a:xfrm>
            <a:off x="534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4" name="Line 103"/>
          <xdr:cNvSpPr>
            <a:spLocks noChangeShapeType="1"/>
          </xdr:cNvSpPr>
        </xdr:nvSpPr>
        <xdr:spPr bwMode="auto">
          <a:xfrm flipH="1">
            <a:off x="599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5" name="Line 104"/>
          <xdr:cNvSpPr>
            <a:spLocks noChangeShapeType="1"/>
          </xdr:cNvSpPr>
        </xdr:nvSpPr>
        <xdr:spPr bwMode="auto">
          <a:xfrm flipH="1">
            <a:off x="592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6" name="Line 105"/>
          <xdr:cNvSpPr>
            <a:spLocks noChangeShapeType="1"/>
          </xdr:cNvSpPr>
        </xdr:nvSpPr>
        <xdr:spPr bwMode="auto">
          <a:xfrm flipH="1">
            <a:off x="586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7" name="Line 106"/>
          <xdr:cNvSpPr>
            <a:spLocks noChangeShapeType="1"/>
          </xdr:cNvSpPr>
        </xdr:nvSpPr>
        <xdr:spPr bwMode="auto">
          <a:xfrm flipH="1">
            <a:off x="579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8" name="Line 107"/>
          <xdr:cNvSpPr>
            <a:spLocks noChangeShapeType="1"/>
          </xdr:cNvSpPr>
        </xdr:nvSpPr>
        <xdr:spPr bwMode="auto">
          <a:xfrm flipH="1">
            <a:off x="572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09" name="Line 108"/>
          <xdr:cNvSpPr>
            <a:spLocks noChangeShapeType="1"/>
          </xdr:cNvSpPr>
        </xdr:nvSpPr>
        <xdr:spPr bwMode="auto">
          <a:xfrm flipH="1">
            <a:off x="566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10" name="Line 109"/>
          <xdr:cNvSpPr>
            <a:spLocks noChangeShapeType="1"/>
          </xdr:cNvSpPr>
        </xdr:nvSpPr>
        <xdr:spPr bwMode="auto">
          <a:xfrm flipH="1">
            <a:off x="559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11" name="Line 110"/>
          <xdr:cNvSpPr>
            <a:spLocks noChangeShapeType="1"/>
          </xdr:cNvSpPr>
        </xdr:nvSpPr>
        <xdr:spPr bwMode="auto">
          <a:xfrm flipH="1">
            <a:off x="553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12" name="Line 111"/>
          <xdr:cNvSpPr>
            <a:spLocks noChangeShapeType="1"/>
          </xdr:cNvSpPr>
        </xdr:nvSpPr>
        <xdr:spPr bwMode="auto">
          <a:xfrm flipH="1">
            <a:off x="546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13" name="Line 112"/>
          <xdr:cNvSpPr>
            <a:spLocks noChangeShapeType="1"/>
          </xdr:cNvSpPr>
        </xdr:nvSpPr>
        <xdr:spPr bwMode="auto">
          <a:xfrm flipH="1">
            <a:off x="540" y="300"/>
            <a:ext cx="0" cy="146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8897" name="AutoShape 113"/>
          <xdr:cNvSpPr>
            <a:spLocks/>
          </xdr:cNvSpPr>
        </xdr:nvSpPr>
        <xdr:spPr bwMode="auto">
          <a:xfrm>
            <a:off x="646" y="224"/>
            <a:ext cx="182" cy="89"/>
          </a:xfrm>
          <a:prstGeom prst="callout2">
            <a:avLst>
              <a:gd name="adj1" fmla="val 13481"/>
              <a:gd name="adj2" fmla="val -4394"/>
              <a:gd name="adj3" fmla="val 13481"/>
              <a:gd name="adj4" fmla="val -20880"/>
              <a:gd name="adj5" fmla="val 58426"/>
              <a:gd name="adj6" fmla="val -44505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Ultrasonic Welds</a:t>
            </a:r>
          </a:p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of Terminal to Collector Foils</a:t>
            </a:r>
          </a:p>
        </xdr:txBody>
      </xdr:sp>
      <xdr:sp macro="" textlink="">
        <xdr:nvSpPr>
          <xdr:cNvPr id="119415" name="Freeform 114"/>
          <xdr:cNvSpPr>
            <a:spLocks/>
          </xdr:cNvSpPr>
        </xdr:nvSpPr>
        <xdr:spPr bwMode="auto">
          <a:xfrm>
            <a:off x="483" y="167"/>
            <a:ext cx="124" cy="267"/>
          </a:xfrm>
          <a:custGeom>
            <a:avLst/>
            <a:gdLst>
              <a:gd name="T0" fmla="*/ 123 w 124"/>
              <a:gd name="T1" fmla="*/ 267 h 267"/>
              <a:gd name="T2" fmla="*/ 123 w 124"/>
              <a:gd name="T3" fmla="*/ 172 h 267"/>
              <a:gd name="T4" fmla="*/ 123 w 124"/>
              <a:gd name="T5" fmla="*/ 158 h 267"/>
              <a:gd name="T6" fmla="*/ 123 w 124"/>
              <a:gd name="T7" fmla="*/ 150 h 267"/>
              <a:gd name="T8" fmla="*/ 124 w 124"/>
              <a:gd name="T9" fmla="*/ 144 h 267"/>
              <a:gd name="T10" fmla="*/ 124 w 124"/>
              <a:gd name="T11" fmla="*/ 135 h 267"/>
              <a:gd name="T12" fmla="*/ 123 w 124"/>
              <a:gd name="T13" fmla="*/ 126 h 267"/>
              <a:gd name="T14" fmla="*/ 120 w 124"/>
              <a:gd name="T15" fmla="*/ 116 h 267"/>
              <a:gd name="T16" fmla="*/ 99 w 124"/>
              <a:gd name="T17" fmla="*/ 109 h 267"/>
              <a:gd name="T18" fmla="*/ 83 w 124"/>
              <a:gd name="T19" fmla="*/ 104 h 267"/>
              <a:gd name="T20" fmla="*/ 64 w 124"/>
              <a:gd name="T21" fmla="*/ 99 h 267"/>
              <a:gd name="T22" fmla="*/ 43 w 124"/>
              <a:gd name="T23" fmla="*/ 93 h 267"/>
              <a:gd name="T24" fmla="*/ 26 w 124"/>
              <a:gd name="T25" fmla="*/ 89 h 267"/>
              <a:gd name="T26" fmla="*/ 13 w 124"/>
              <a:gd name="T27" fmla="*/ 88 h 267"/>
              <a:gd name="T28" fmla="*/ 4 w 124"/>
              <a:gd name="T29" fmla="*/ 84 h 267"/>
              <a:gd name="T30" fmla="*/ 2 w 124"/>
              <a:gd name="T31" fmla="*/ 76 h 267"/>
              <a:gd name="T32" fmla="*/ 1 w 124"/>
              <a:gd name="T33" fmla="*/ 70 h 267"/>
              <a:gd name="T34" fmla="*/ 1 w 124"/>
              <a:gd name="T35" fmla="*/ 63 h 267"/>
              <a:gd name="T36" fmla="*/ 0 w 124"/>
              <a:gd name="T37" fmla="*/ 0 h 267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124"/>
              <a:gd name="T58" fmla="*/ 0 h 267"/>
              <a:gd name="T59" fmla="*/ 124 w 124"/>
              <a:gd name="T60" fmla="*/ 267 h 267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124" h="267">
                <a:moveTo>
                  <a:pt x="123" y="267"/>
                </a:moveTo>
                <a:cubicBezTo>
                  <a:pt x="123" y="251"/>
                  <a:pt x="123" y="190"/>
                  <a:pt x="123" y="172"/>
                </a:cubicBezTo>
                <a:cubicBezTo>
                  <a:pt x="123" y="154"/>
                  <a:pt x="123" y="162"/>
                  <a:pt x="123" y="158"/>
                </a:cubicBezTo>
                <a:cubicBezTo>
                  <a:pt x="123" y="154"/>
                  <a:pt x="123" y="152"/>
                  <a:pt x="123" y="150"/>
                </a:cubicBezTo>
                <a:cubicBezTo>
                  <a:pt x="123" y="148"/>
                  <a:pt x="124" y="146"/>
                  <a:pt x="124" y="144"/>
                </a:cubicBezTo>
                <a:cubicBezTo>
                  <a:pt x="124" y="142"/>
                  <a:pt x="124" y="138"/>
                  <a:pt x="124" y="135"/>
                </a:cubicBezTo>
                <a:cubicBezTo>
                  <a:pt x="124" y="132"/>
                  <a:pt x="124" y="129"/>
                  <a:pt x="123" y="126"/>
                </a:cubicBezTo>
                <a:cubicBezTo>
                  <a:pt x="122" y="123"/>
                  <a:pt x="124" y="119"/>
                  <a:pt x="120" y="116"/>
                </a:cubicBezTo>
                <a:cubicBezTo>
                  <a:pt x="116" y="113"/>
                  <a:pt x="105" y="111"/>
                  <a:pt x="99" y="109"/>
                </a:cubicBezTo>
                <a:cubicBezTo>
                  <a:pt x="93" y="107"/>
                  <a:pt x="89" y="106"/>
                  <a:pt x="83" y="104"/>
                </a:cubicBezTo>
                <a:cubicBezTo>
                  <a:pt x="77" y="102"/>
                  <a:pt x="71" y="101"/>
                  <a:pt x="64" y="99"/>
                </a:cubicBezTo>
                <a:cubicBezTo>
                  <a:pt x="57" y="97"/>
                  <a:pt x="49" y="95"/>
                  <a:pt x="43" y="93"/>
                </a:cubicBezTo>
                <a:cubicBezTo>
                  <a:pt x="37" y="91"/>
                  <a:pt x="31" y="90"/>
                  <a:pt x="26" y="89"/>
                </a:cubicBezTo>
                <a:cubicBezTo>
                  <a:pt x="21" y="88"/>
                  <a:pt x="17" y="89"/>
                  <a:pt x="13" y="88"/>
                </a:cubicBezTo>
                <a:cubicBezTo>
                  <a:pt x="9" y="87"/>
                  <a:pt x="6" y="86"/>
                  <a:pt x="4" y="84"/>
                </a:cubicBezTo>
                <a:cubicBezTo>
                  <a:pt x="2" y="82"/>
                  <a:pt x="3" y="78"/>
                  <a:pt x="2" y="76"/>
                </a:cubicBezTo>
                <a:cubicBezTo>
                  <a:pt x="1" y="74"/>
                  <a:pt x="1" y="72"/>
                  <a:pt x="1" y="70"/>
                </a:cubicBezTo>
                <a:cubicBezTo>
                  <a:pt x="1" y="68"/>
                  <a:pt x="1" y="75"/>
                  <a:pt x="1" y="63"/>
                </a:cubicBezTo>
                <a:cubicBezTo>
                  <a:pt x="1" y="51"/>
                  <a:pt x="0" y="13"/>
                  <a:pt x="0" y="0"/>
                </a:cubicBezTo>
              </a:path>
            </a:pathLst>
          </a:cu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16" name="Freeform 115"/>
          <xdr:cNvSpPr>
            <a:spLocks/>
          </xdr:cNvSpPr>
        </xdr:nvSpPr>
        <xdr:spPr bwMode="auto">
          <a:xfrm>
            <a:off x="468" y="167"/>
            <a:ext cx="4" cy="268"/>
          </a:xfrm>
          <a:custGeom>
            <a:avLst/>
            <a:gdLst>
              <a:gd name="T0" fmla="*/ 0 w 4"/>
              <a:gd name="T1" fmla="*/ 268 h 268"/>
              <a:gd name="T2" fmla="*/ 0 w 4"/>
              <a:gd name="T3" fmla="*/ 77 h 268"/>
              <a:gd name="T4" fmla="*/ 4 w 4"/>
              <a:gd name="T5" fmla="*/ 70 h 268"/>
              <a:gd name="T6" fmla="*/ 4 w 4"/>
              <a:gd name="T7" fmla="*/ 0 h 268"/>
              <a:gd name="T8" fmla="*/ 0 60000 65536"/>
              <a:gd name="T9" fmla="*/ 0 60000 65536"/>
              <a:gd name="T10" fmla="*/ 0 60000 65536"/>
              <a:gd name="T11" fmla="*/ 0 60000 65536"/>
              <a:gd name="T12" fmla="*/ 0 w 4"/>
              <a:gd name="T13" fmla="*/ 0 h 268"/>
              <a:gd name="T14" fmla="*/ 4 w 4"/>
              <a:gd name="T15" fmla="*/ 268 h 268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4" h="268">
                <a:moveTo>
                  <a:pt x="0" y="268"/>
                </a:moveTo>
                <a:lnTo>
                  <a:pt x="0" y="77"/>
                </a:lnTo>
                <a:lnTo>
                  <a:pt x="4" y="70"/>
                </a:lnTo>
                <a:lnTo>
                  <a:pt x="4" y="0"/>
                </a:lnTo>
              </a:path>
            </a:pathLst>
          </a:cu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17" name="Line 116"/>
          <xdr:cNvSpPr>
            <a:spLocks noChangeShapeType="1"/>
          </xdr:cNvSpPr>
        </xdr:nvSpPr>
        <xdr:spPr bwMode="auto">
          <a:xfrm>
            <a:off x="97" y="289"/>
            <a:ext cx="0" cy="31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18" name="Line 117"/>
          <xdr:cNvSpPr>
            <a:spLocks noChangeShapeType="1"/>
          </xdr:cNvSpPr>
        </xdr:nvSpPr>
        <xdr:spPr bwMode="auto">
          <a:xfrm>
            <a:off x="50" y="236"/>
            <a:ext cx="0" cy="44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19" name="Line 118"/>
          <xdr:cNvSpPr>
            <a:spLocks noChangeShapeType="1"/>
          </xdr:cNvSpPr>
        </xdr:nvSpPr>
        <xdr:spPr bwMode="auto">
          <a:xfrm flipV="1">
            <a:off x="98" y="176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0" name="Line 119"/>
          <xdr:cNvSpPr>
            <a:spLocks noChangeShapeType="1"/>
          </xdr:cNvSpPr>
        </xdr:nvSpPr>
        <xdr:spPr bwMode="auto">
          <a:xfrm flipV="1">
            <a:off x="97" y="491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1" name="Line 120"/>
          <xdr:cNvSpPr>
            <a:spLocks noChangeShapeType="1"/>
          </xdr:cNvSpPr>
        </xdr:nvSpPr>
        <xdr:spPr bwMode="auto">
          <a:xfrm>
            <a:off x="296" y="176"/>
            <a:ext cx="0" cy="31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2" name="Line 121"/>
          <xdr:cNvSpPr>
            <a:spLocks noChangeShapeType="1"/>
          </xdr:cNvSpPr>
        </xdr:nvSpPr>
        <xdr:spPr bwMode="auto">
          <a:xfrm flipV="1">
            <a:off x="61" y="122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3" name="Line 122"/>
          <xdr:cNvSpPr>
            <a:spLocks noChangeShapeType="1"/>
          </xdr:cNvSpPr>
        </xdr:nvSpPr>
        <xdr:spPr bwMode="auto">
          <a:xfrm flipH="1" flipV="1">
            <a:off x="60" y="237"/>
            <a:ext cx="37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4" name="Line 123"/>
          <xdr:cNvSpPr>
            <a:spLocks noChangeShapeType="1"/>
          </xdr:cNvSpPr>
        </xdr:nvSpPr>
        <xdr:spPr bwMode="auto">
          <a:xfrm flipV="1">
            <a:off x="60" y="208"/>
            <a:ext cx="0" cy="2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5" name="Line 124"/>
          <xdr:cNvSpPr>
            <a:spLocks noChangeShapeType="1"/>
          </xdr:cNvSpPr>
        </xdr:nvSpPr>
        <xdr:spPr bwMode="auto">
          <a:xfrm flipV="1">
            <a:off x="50" y="209"/>
            <a:ext cx="0" cy="2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6" name="Line 125"/>
          <xdr:cNvSpPr>
            <a:spLocks noChangeShapeType="1"/>
          </xdr:cNvSpPr>
        </xdr:nvSpPr>
        <xdr:spPr bwMode="auto">
          <a:xfrm flipV="1">
            <a:off x="61" y="95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7" name="Line 126"/>
          <xdr:cNvSpPr>
            <a:spLocks noChangeShapeType="1"/>
          </xdr:cNvSpPr>
        </xdr:nvSpPr>
        <xdr:spPr bwMode="auto">
          <a:xfrm flipV="1">
            <a:off x="258" y="96"/>
            <a:ext cx="0" cy="2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8" name="Line 127"/>
          <xdr:cNvSpPr>
            <a:spLocks noChangeShapeType="1"/>
          </xdr:cNvSpPr>
        </xdr:nvSpPr>
        <xdr:spPr bwMode="auto">
          <a:xfrm flipV="1">
            <a:off x="59" y="543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29" name="Line 128"/>
          <xdr:cNvSpPr>
            <a:spLocks noChangeShapeType="1"/>
          </xdr:cNvSpPr>
        </xdr:nvSpPr>
        <xdr:spPr bwMode="auto">
          <a:xfrm flipV="1">
            <a:off x="258" y="489"/>
            <a:ext cx="40" cy="5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30" name="Freeform 129"/>
          <xdr:cNvSpPr>
            <a:spLocks/>
          </xdr:cNvSpPr>
        </xdr:nvSpPr>
        <xdr:spPr bwMode="auto">
          <a:xfrm>
            <a:off x="67" y="123"/>
            <a:ext cx="221" cy="125"/>
          </a:xfrm>
          <a:custGeom>
            <a:avLst/>
            <a:gdLst>
              <a:gd name="T0" fmla="*/ 45 w 221"/>
              <a:gd name="T1" fmla="*/ 117 h 125"/>
              <a:gd name="T2" fmla="*/ 198 w 221"/>
              <a:gd name="T3" fmla="*/ 30 h 125"/>
              <a:gd name="T4" fmla="*/ 211 w 221"/>
              <a:gd name="T5" fmla="*/ 23 h 125"/>
              <a:gd name="T6" fmla="*/ 221 w 221"/>
              <a:gd name="T7" fmla="*/ 17 h 125"/>
              <a:gd name="T8" fmla="*/ 212 w 221"/>
              <a:gd name="T9" fmla="*/ 13 h 125"/>
              <a:gd name="T10" fmla="*/ 192 w 221"/>
              <a:gd name="T11" fmla="*/ 8 h 125"/>
              <a:gd name="T12" fmla="*/ 192 w 221"/>
              <a:gd name="T13" fmla="*/ 0 h 125"/>
              <a:gd name="T14" fmla="*/ 0 w 221"/>
              <a:gd name="T15" fmla="*/ 107 h 125"/>
              <a:gd name="T16" fmla="*/ 30 w 221"/>
              <a:gd name="T17" fmla="*/ 125 h 125"/>
              <a:gd name="T18" fmla="*/ 36 w 221"/>
              <a:gd name="T19" fmla="*/ 122 h 125"/>
              <a:gd name="T20" fmla="*/ 45 w 221"/>
              <a:gd name="T21" fmla="*/ 117 h 125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221"/>
              <a:gd name="T34" fmla="*/ 0 h 125"/>
              <a:gd name="T35" fmla="*/ 221 w 221"/>
              <a:gd name="T36" fmla="*/ 125 h 125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221" h="125">
                <a:moveTo>
                  <a:pt x="45" y="117"/>
                </a:moveTo>
                <a:lnTo>
                  <a:pt x="198" y="30"/>
                </a:lnTo>
                <a:lnTo>
                  <a:pt x="211" y="23"/>
                </a:lnTo>
                <a:lnTo>
                  <a:pt x="221" y="17"/>
                </a:lnTo>
                <a:lnTo>
                  <a:pt x="212" y="13"/>
                </a:lnTo>
                <a:lnTo>
                  <a:pt x="192" y="8"/>
                </a:lnTo>
                <a:lnTo>
                  <a:pt x="192" y="0"/>
                </a:lnTo>
                <a:lnTo>
                  <a:pt x="0" y="107"/>
                </a:lnTo>
                <a:lnTo>
                  <a:pt x="30" y="125"/>
                </a:lnTo>
                <a:lnTo>
                  <a:pt x="36" y="122"/>
                </a:lnTo>
                <a:lnTo>
                  <a:pt x="45" y="117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5400000" scaled="1"/>
          </a:gradFill>
          <a:ln w="5715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431" name="Freeform 130"/>
          <xdr:cNvSpPr>
            <a:spLocks/>
          </xdr:cNvSpPr>
        </xdr:nvSpPr>
        <xdr:spPr bwMode="auto">
          <a:xfrm>
            <a:off x="46" y="95"/>
            <a:ext cx="212" cy="134"/>
          </a:xfrm>
          <a:custGeom>
            <a:avLst/>
            <a:gdLst>
              <a:gd name="T0" fmla="*/ 14 w 212"/>
              <a:gd name="T1" fmla="*/ 134 h 134"/>
              <a:gd name="T2" fmla="*/ 38 w 212"/>
              <a:gd name="T3" fmla="*/ 125 h 134"/>
              <a:gd name="T4" fmla="*/ 212 w 212"/>
              <a:gd name="T5" fmla="*/ 27 h 134"/>
              <a:gd name="T6" fmla="*/ 212 w 212"/>
              <a:gd name="T7" fmla="*/ 0 h 134"/>
              <a:gd name="T8" fmla="*/ 0 w 212"/>
              <a:gd name="T9" fmla="*/ 117 h 134"/>
              <a:gd name="T10" fmla="*/ 14 w 212"/>
              <a:gd name="T11" fmla="*/ 134 h 134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212"/>
              <a:gd name="T19" fmla="*/ 0 h 134"/>
              <a:gd name="T20" fmla="*/ 212 w 212"/>
              <a:gd name="T21" fmla="*/ 134 h 134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2" h="134">
                <a:moveTo>
                  <a:pt x="14" y="134"/>
                </a:moveTo>
                <a:lnTo>
                  <a:pt x="38" y="125"/>
                </a:lnTo>
                <a:lnTo>
                  <a:pt x="212" y="27"/>
                </a:lnTo>
                <a:lnTo>
                  <a:pt x="212" y="0"/>
                </a:lnTo>
                <a:lnTo>
                  <a:pt x="0" y="117"/>
                </a:lnTo>
                <a:lnTo>
                  <a:pt x="14" y="134"/>
                </a:lnTo>
                <a:close/>
              </a:path>
            </a:pathLst>
          </a:custGeom>
          <a:gradFill rotWithShape="1">
            <a:gsLst>
              <a:gs pos="0">
                <a:srgbClr val="69FFFF"/>
              </a:gs>
              <a:gs pos="100000">
                <a:srgbClr val="FFFFFF"/>
              </a:gs>
            </a:gsLst>
            <a:lin ang="54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432" name="Freeform 131"/>
          <xdr:cNvSpPr>
            <a:spLocks/>
          </xdr:cNvSpPr>
        </xdr:nvSpPr>
        <xdr:spPr bwMode="auto">
          <a:xfrm>
            <a:off x="79" y="239"/>
            <a:ext cx="17" cy="403"/>
          </a:xfrm>
          <a:custGeom>
            <a:avLst/>
            <a:gdLst>
              <a:gd name="T0" fmla="*/ 15 w 17"/>
              <a:gd name="T1" fmla="*/ 395 h 403"/>
              <a:gd name="T2" fmla="*/ 0 w 17"/>
              <a:gd name="T3" fmla="*/ 403 h 403"/>
              <a:gd name="T4" fmla="*/ 1 w 17"/>
              <a:gd name="T5" fmla="*/ 0 h 403"/>
              <a:gd name="T6" fmla="*/ 17 w 17"/>
              <a:gd name="T7" fmla="*/ 11 h 403"/>
              <a:gd name="T8" fmla="*/ 16 w 17"/>
              <a:gd name="T9" fmla="*/ 60 h 403"/>
              <a:gd name="T10" fmla="*/ 15 w 17"/>
              <a:gd name="T11" fmla="*/ 351 h 403"/>
              <a:gd name="T12" fmla="*/ 15 w 17"/>
              <a:gd name="T13" fmla="*/ 367 h 403"/>
              <a:gd name="T14" fmla="*/ 15 w 17"/>
              <a:gd name="T15" fmla="*/ 395 h 403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17"/>
              <a:gd name="T25" fmla="*/ 0 h 403"/>
              <a:gd name="T26" fmla="*/ 17 w 17"/>
              <a:gd name="T27" fmla="*/ 403 h 403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17" h="403">
                <a:moveTo>
                  <a:pt x="15" y="395"/>
                </a:moveTo>
                <a:lnTo>
                  <a:pt x="0" y="403"/>
                </a:lnTo>
                <a:lnTo>
                  <a:pt x="1" y="0"/>
                </a:lnTo>
                <a:lnTo>
                  <a:pt x="17" y="11"/>
                </a:lnTo>
                <a:lnTo>
                  <a:pt x="16" y="60"/>
                </a:lnTo>
                <a:lnTo>
                  <a:pt x="15" y="351"/>
                </a:lnTo>
                <a:lnTo>
                  <a:pt x="15" y="367"/>
                </a:lnTo>
                <a:lnTo>
                  <a:pt x="15" y="395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189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433" name="Freeform 132"/>
          <xdr:cNvSpPr>
            <a:spLocks/>
          </xdr:cNvSpPr>
        </xdr:nvSpPr>
        <xdr:spPr bwMode="auto">
          <a:xfrm>
            <a:off x="53" y="538"/>
            <a:ext cx="210" cy="145"/>
          </a:xfrm>
          <a:custGeom>
            <a:avLst/>
            <a:gdLst>
              <a:gd name="T0" fmla="*/ 18 w 210"/>
              <a:gd name="T1" fmla="*/ 110 h 145"/>
              <a:gd name="T2" fmla="*/ 210 w 210"/>
              <a:gd name="T3" fmla="*/ 0 h 145"/>
              <a:gd name="T4" fmla="*/ 210 w 210"/>
              <a:gd name="T5" fmla="*/ 29 h 145"/>
              <a:gd name="T6" fmla="*/ 0 w 210"/>
              <a:gd name="T7" fmla="*/ 145 h 145"/>
              <a:gd name="T8" fmla="*/ 18 w 210"/>
              <a:gd name="T9" fmla="*/ 110 h 14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10"/>
              <a:gd name="T16" fmla="*/ 0 h 145"/>
              <a:gd name="T17" fmla="*/ 210 w 210"/>
              <a:gd name="T18" fmla="*/ 145 h 145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10" h="145">
                <a:moveTo>
                  <a:pt x="18" y="110"/>
                </a:moveTo>
                <a:lnTo>
                  <a:pt x="210" y="0"/>
                </a:lnTo>
                <a:lnTo>
                  <a:pt x="210" y="29"/>
                </a:lnTo>
                <a:lnTo>
                  <a:pt x="0" y="145"/>
                </a:lnTo>
                <a:lnTo>
                  <a:pt x="18" y="110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00FFFF"/>
              </a:gs>
            </a:gsLst>
            <a:lin ang="27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434" name="Freeform 133"/>
          <xdr:cNvSpPr>
            <a:spLocks/>
          </xdr:cNvSpPr>
        </xdr:nvSpPr>
        <xdr:spPr bwMode="auto">
          <a:xfrm>
            <a:off x="67" y="594"/>
            <a:ext cx="229" cy="107"/>
          </a:xfrm>
          <a:custGeom>
            <a:avLst/>
            <a:gdLst>
              <a:gd name="T0" fmla="*/ 37 w 229"/>
              <a:gd name="T1" fmla="*/ 107 h 107"/>
              <a:gd name="T2" fmla="*/ 0 w 229"/>
              <a:gd name="T3" fmla="*/ 107 h 107"/>
              <a:gd name="T4" fmla="*/ 192 w 229"/>
              <a:gd name="T5" fmla="*/ 0 h 107"/>
              <a:gd name="T6" fmla="*/ 229 w 229"/>
              <a:gd name="T7" fmla="*/ 0 h 107"/>
              <a:gd name="T8" fmla="*/ 37 w 229"/>
              <a:gd name="T9" fmla="*/ 107 h 10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29"/>
              <a:gd name="T16" fmla="*/ 0 h 107"/>
              <a:gd name="T17" fmla="*/ 229 w 229"/>
              <a:gd name="T18" fmla="*/ 107 h 107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29" h="107">
                <a:moveTo>
                  <a:pt x="37" y="107"/>
                </a:moveTo>
                <a:lnTo>
                  <a:pt x="0" y="107"/>
                </a:lnTo>
                <a:lnTo>
                  <a:pt x="192" y="0"/>
                </a:lnTo>
                <a:lnTo>
                  <a:pt x="229" y="0"/>
                </a:lnTo>
                <a:lnTo>
                  <a:pt x="37" y="107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C0C0C0"/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35" name="Freeform 134"/>
          <xdr:cNvSpPr>
            <a:spLocks/>
          </xdr:cNvSpPr>
        </xdr:nvSpPr>
        <xdr:spPr bwMode="auto">
          <a:xfrm>
            <a:off x="69" y="570"/>
            <a:ext cx="191" cy="130"/>
          </a:xfrm>
          <a:custGeom>
            <a:avLst/>
            <a:gdLst>
              <a:gd name="T0" fmla="*/ 0 w 191"/>
              <a:gd name="T1" fmla="*/ 106 h 130"/>
              <a:gd name="T2" fmla="*/ 191 w 191"/>
              <a:gd name="T3" fmla="*/ 0 h 130"/>
              <a:gd name="T4" fmla="*/ 191 w 191"/>
              <a:gd name="T5" fmla="*/ 24 h 130"/>
              <a:gd name="T6" fmla="*/ 0 w 191"/>
              <a:gd name="T7" fmla="*/ 130 h 130"/>
              <a:gd name="T8" fmla="*/ 0 w 191"/>
              <a:gd name="T9" fmla="*/ 106 h 13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91"/>
              <a:gd name="T16" fmla="*/ 0 h 130"/>
              <a:gd name="T17" fmla="*/ 191 w 191"/>
              <a:gd name="T18" fmla="*/ 130 h 13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91" h="130">
                <a:moveTo>
                  <a:pt x="0" y="106"/>
                </a:moveTo>
                <a:lnTo>
                  <a:pt x="191" y="0"/>
                </a:lnTo>
                <a:lnTo>
                  <a:pt x="191" y="24"/>
                </a:lnTo>
                <a:lnTo>
                  <a:pt x="0" y="130"/>
                </a:lnTo>
                <a:lnTo>
                  <a:pt x="0" y="106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36" name="Freeform 135"/>
          <xdr:cNvSpPr>
            <a:spLocks/>
          </xdr:cNvSpPr>
        </xdr:nvSpPr>
        <xdr:spPr bwMode="auto">
          <a:xfrm>
            <a:off x="104" y="594"/>
            <a:ext cx="192" cy="111"/>
          </a:xfrm>
          <a:custGeom>
            <a:avLst/>
            <a:gdLst>
              <a:gd name="T0" fmla="*/ 0 w 192"/>
              <a:gd name="T1" fmla="*/ 107 h 111"/>
              <a:gd name="T2" fmla="*/ 192 w 192"/>
              <a:gd name="T3" fmla="*/ 0 h 111"/>
              <a:gd name="T4" fmla="*/ 192 w 192"/>
              <a:gd name="T5" fmla="*/ 4 h 111"/>
              <a:gd name="T6" fmla="*/ 0 w 192"/>
              <a:gd name="T7" fmla="*/ 111 h 111"/>
              <a:gd name="T8" fmla="*/ 0 w 192"/>
              <a:gd name="T9" fmla="*/ 107 h 11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92"/>
              <a:gd name="T16" fmla="*/ 0 h 111"/>
              <a:gd name="T17" fmla="*/ 192 w 192"/>
              <a:gd name="T18" fmla="*/ 111 h 11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92" h="111">
                <a:moveTo>
                  <a:pt x="0" y="107"/>
                </a:moveTo>
                <a:lnTo>
                  <a:pt x="192" y="0"/>
                </a:lnTo>
                <a:lnTo>
                  <a:pt x="192" y="4"/>
                </a:lnTo>
                <a:lnTo>
                  <a:pt x="0" y="111"/>
                </a:lnTo>
                <a:lnTo>
                  <a:pt x="0" y="107"/>
                </a:lnTo>
                <a:close/>
              </a:path>
            </a:pathLst>
          </a:custGeom>
          <a:solidFill>
            <a:srgbClr val="969696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37" name="Freeform 136"/>
          <xdr:cNvSpPr>
            <a:spLocks/>
          </xdr:cNvSpPr>
        </xdr:nvSpPr>
        <xdr:spPr bwMode="auto">
          <a:xfrm>
            <a:off x="65" y="677"/>
            <a:ext cx="40" cy="28"/>
          </a:xfrm>
          <a:custGeom>
            <a:avLst/>
            <a:gdLst>
              <a:gd name="T0" fmla="*/ 4 w 40"/>
              <a:gd name="T1" fmla="*/ 0 h 28"/>
              <a:gd name="T2" fmla="*/ 4 w 40"/>
              <a:gd name="T3" fmla="*/ 24 h 28"/>
              <a:gd name="T4" fmla="*/ 40 w 40"/>
              <a:gd name="T5" fmla="*/ 24 h 28"/>
              <a:gd name="T6" fmla="*/ 40 w 40"/>
              <a:gd name="T7" fmla="*/ 28 h 28"/>
              <a:gd name="T8" fmla="*/ 0 w 40"/>
              <a:gd name="T9" fmla="*/ 28 h 28"/>
              <a:gd name="T10" fmla="*/ 0 w 40"/>
              <a:gd name="T11" fmla="*/ 0 h 28"/>
              <a:gd name="T12" fmla="*/ 4 w 40"/>
              <a:gd name="T13" fmla="*/ 0 h 28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40"/>
              <a:gd name="T22" fmla="*/ 0 h 28"/>
              <a:gd name="T23" fmla="*/ 40 w 40"/>
              <a:gd name="T24" fmla="*/ 28 h 28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40" h="28">
                <a:moveTo>
                  <a:pt x="4" y="0"/>
                </a:moveTo>
                <a:lnTo>
                  <a:pt x="4" y="24"/>
                </a:lnTo>
                <a:lnTo>
                  <a:pt x="40" y="24"/>
                </a:lnTo>
                <a:lnTo>
                  <a:pt x="40" y="28"/>
                </a:lnTo>
                <a:lnTo>
                  <a:pt x="0" y="28"/>
                </a:lnTo>
                <a:lnTo>
                  <a:pt x="0" y="0"/>
                </a:lnTo>
                <a:lnTo>
                  <a:pt x="4" y="0"/>
                </a:lnTo>
                <a:close/>
              </a:path>
            </a:pathLst>
          </a:custGeom>
          <a:solidFill>
            <a:srgbClr val="969696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38" name="Rectangle 137"/>
          <xdr:cNvSpPr>
            <a:spLocks noChangeArrowheads="1"/>
          </xdr:cNvSpPr>
        </xdr:nvSpPr>
        <xdr:spPr bwMode="auto">
          <a:xfrm>
            <a:off x="45" y="210"/>
            <a:ext cx="41" cy="473"/>
          </a:xfrm>
          <a:prstGeom prst="rect">
            <a:avLst/>
          </a:prstGeom>
          <a:solidFill>
            <a:srgbClr val="69FFFF"/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8922" name="Text Box 138"/>
          <xdr:cNvSpPr txBox="1">
            <a:spLocks noChangeArrowheads="1"/>
          </xdr:cNvSpPr>
        </xdr:nvSpPr>
        <xdr:spPr bwMode="auto">
          <a:xfrm>
            <a:off x="323" y="807"/>
            <a:ext cx="297" cy="4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45720" bIns="0" anchor="t" upright="1"/>
          <a:lstStyle/>
          <a:p>
            <a:pPr algn="ctr" rtl="0">
              <a:defRPr sz="1000"/>
            </a:pPr>
            <a:r>
              <a:rPr lang="en-US" sz="2000" b="1" i="0" strike="noStrike">
                <a:solidFill>
                  <a:srgbClr val="000000"/>
                </a:solidFill>
                <a:latin typeface="Arial"/>
                <a:cs typeface="Arial"/>
              </a:rPr>
              <a:t>Cell Cross-Section</a:t>
            </a:r>
          </a:p>
        </xdr:txBody>
      </xdr:sp>
      <xdr:sp macro="" textlink="">
        <xdr:nvSpPr>
          <xdr:cNvPr id="119440" name="Line 139"/>
          <xdr:cNvSpPr>
            <a:spLocks noChangeShapeType="1"/>
          </xdr:cNvSpPr>
        </xdr:nvSpPr>
        <xdr:spPr bwMode="auto">
          <a:xfrm flipH="1">
            <a:off x="966" y="745"/>
            <a:ext cx="19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8924" name="Text Box 140"/>
          <xdr:cNvSpPr txBox="1">
            <a:spLocks noChangeArrowheads="1"/>
          </xdr:cNvSpPr>
        </xdr:nvSpPr>
        <xdr:spPr bwMode="auto">
          <a:xfrm>
            <a:off x="731" y="812"/>
            <a:ext cx="239" cy="49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45720" bIns="0" anchor="t" upright="1"/>
          <a:lstStyle/>
          <a:p>
            <a:pPr algn="ctr" rtl="0">
              <a:defRPr sz="1000"/>
            </a:pPr>
            <a:r>
              <a:rPr lang="en-US" sz="2000" b="1" i="0" strike="noStrike">
                <a:solidFill>
                  <a:srgbClr val="000000"/>
                </a:solidFill>
                <a:latin typeface="Arial"/>
                <a:cs typeface="Arial"/>
              </a:rPr>
              <a:t>Battery Module</a:t>
            </a:r>
          </a:p>
        </xdr:txBody>
      </xdr:sp>
      <xdr:sp macro="" textlink="">
        <xdr:nvSpPr>
          <xdr:cNvPr id="119442" name="Rectangle 141"/>
          <xdr:cNvSpPr>
            <a:spLocks noChangeArrowheads="1"/>
          </xdr:cNvSpPr>
        </xdr:nvSpPr>
        <xdr:spPr bwMode="auto">
          <a:xfrm>
            <a:off x="750" y="476"/>
            <a:ext cx="139" cy="5"/>
          </a:xfrm>
          <a:prstGeom prst="rect">
            <a:avLst/>
          </a:prstGeom>
          <a:solidFill>
            <a:srgbClr val="CCFFCC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19443" name="Freeform 142"/>
          <xdr:cNvSpPr>
            <a:spLocks/>
          </xdr:cNvSpPr>
        </xdr:nvSpPr>
        <xdr:spPr bwMode="auto">
          <a:xfrm>
            <a:off x="757" y="595"/>
            <a:ext cx="109" cy="17"/>
          </a:xfrm>
          <a:custGeom>
            <a:avLst/>
            <a:gdLst>
              <a:gd name="T0" fmla="*/ 0 w 109"/>
              <a:gd name="T1" fmla="*/ 0 h 17"/>
              <a:gd name="T2" fmla="*/ 0 w 109"/>
              <a:gd name="T3" fmla="*/ 17 h 17"/>
              <a:gd name="T4" fmla="*/ 109 w 109"/>
              <a:gd name="T5" fmla="*/ 17 h 17"/>
              <a:gd name="T6" fmla="*/ 108 w 109"/>
              <a:gd name="T7" fmla="*/ 9 h 17"/>
              <a:gd name="T8" fmla="*/ 0 w 109"/>
              <a:gd name="T9" fmla="*/ 0 h 1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09"/>
              <a:gd name="T16" fmla="*/ 0 h 17"/>
              <a:gd name="T17" fmla="*/ 109 w 109"/>
              <a:gd name="T18" fmla="*/ 17 h 17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09" h="17">
                <a:moveTo>
                  <a:pt x="0" y="0"/>
                </a:moveTo>
                <a:lnTo>
                  <a:pt x="0" y="17"/>
                </a:lnTo>
                <a:lnTo>
                  <a:pt x="109" y="17"/>
                </a:lnTo>
                <a:lnTo>
                  <a:pt x="108" y="9"/>
                </a:lnTo>
                <a:lnTo>
                  <a:pt x="0" y="0"/>
                </a:lnTo>
                <a:close/>
              </a:path>
            </a:pathLst>
          </a:cu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444" name="Freeform 143"/>
          <xdr:cNvSpPr>
            <a:spLocks/>
          </xdr:cNvSpPr>
        </xdr:nvSpPr>
        <xdr:spPr bwMode="auto">
          <a:xfrm>
            <a:off x="758" y="481"/>
            <a:ext cx="114" cy="124"/>
          </a:xfrm>
          <a:custGeom>
            <a:avLst/>
            <a:gdLst>
              <a:gd name="T0" fmla="*/ 1 w 114"/>
              <a:gd name="T1" fmla="*/ 0 h 124"/>
              <a:gd name="T2" fmla="*/ 0 w 114"/>
              <a:gd name="T3" fmla="*/ 113 h 124"/>
              <a:gd name="T4" fmla="*/ 114 w 114"/>
              <a:gd name="T5" fmla="*/ 124 h 124"/>
              <a:gd name="T6" fmla="*/ 114 w 114"/>
              <a:gd name="T7" fmla="*/ 1 h 124"/>
              <a:gd name="T8" fmla="*/ 1 w 114"/>
              <a:gd name="T9" fmla="*/ 0 h 12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4"/>
              <a:gd name="T16" fmla="*/ 0 h 124"/>
              <a:gd name="T17" fmla="*/ 114 w 114"/>
              <a:gd name="T18" fmla="*/ 124 h 12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4" h="124">
                <a:moveTo>
                  <a:pt x="1" y="0"/>
                </a:moveTo>
                <a:lnTo>
                  <a:pt x="0" y="113"/>
                </a:lnTo>
                <a:lnTo>
                  <a:pt x="114" y="124"/>
                </a:lnTo>
                <a:lnTo>
                  <a:pt x="114" y="1"/>
                </a:lnTo>
                <a:lnTo>
                  <a:pt x="1" y="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45" name="Line 144"/>
          <xdr:cNvSpPr>
            <a:spLocks noChangeShapeType="1"/>
          </xdr:cNvSpPr>
        </xdr:nvSpPr>
        <xdr:spPr bwMode="auto">
          <a:xfrm flipV="1">
            <a:off x="960" y="310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446" name="Line 145"/>
          <xdr:cNvSpPr>
            <a:spLocks noChangeShapeType="1"/>
          </xdr:cNvSpPr>
        </xdr:nvSpPr>
        <xdr:spPr bwMode="auto">
          <a:xfrm flipV="1">
            <a:off x="975" y="320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447" name="Line 146"/>
          <xdr:cNvSpPr>
            <a:spLocks noChangeShapeType="1"/>
          </xdr:cNvSpPr>
        </xdr:nvSpPr>
        <xdr:spPr bwMode="auto">
          <a:xfrm flipV="1">
            <a:off x="968" y="314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448" name="Line 147"/>
          <xdr:cNvSpPr>
            <a:spLocks noChangeShapeType="1"/>
          </xdr:cNvSpPr>
        </xdr:nvSpPr>
        <xdr:spPr bwMode="auto">
          <a:xfrm flipV="1">
            <a:off x="978" y="329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449" name="Arc 148"/>
          <xdr:cNvSpPr>
            <a:spLocks/>
          </xdr:cNvSpPr>
        </xdr:nvSpPr>
        <xdr:spPr bwMode="auto">
          <a:xfrm>
            <a:off x="1113" y="310"/>
            <a:ext cx="25" cy="20"/>
          </a:xfrm>
          <a:custGeom>
            <a:avLst/>
            <a:gdLst>
              <a:gd name="T0" fmla="*/ 0 w 21600"/>
              <a:gd name="T1" fmla="*/ 0 h 21600"/>
              <a:gd name="T2" fmla="*/ 25 w 21600"/>
              <a:gd name="T3" fmla="*/ 20 h 21600"/>
              <a:gd name="T4" fmla="*/ 0 w 21600"/>
              <a:gd name="T5" fmla="*/ 2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</a:path>
              <a:path w="21600" h="21600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lnTo>
                  <a:pt x="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50" name="Arc 149"/>
          <xdr:cNvSpPr>
            <a:spLocks/>
          </xdr:cNvSpPr>
        </xdr:nvSpPr>
        <xdr:spPr bwMode="auto">
          <a:xfrm>
            <a:off x="956" y="470"/>
            <a:ext cx="23" cy="21"/>
          </a:xfrm>
          <a:custGeom>
            <a:avLst/>
            <a:gdLst>
              <a:gd name="T0" fmla="*/ 0 w 21600"/>
              <a:gd name="T1" fmla="*/ 0 h 21600"/>
              <a:gd name="T2" fmla="*/ 23 w 21600"/>
              <a:gd name="T3" fmla="*/ 21 h 21600"/>
              <a:gd name="T4" fmla="*/ 0 w 21600"/>
              <a:gd name="T5" fmla="*/ 21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</a:path>
              <a:path w="21600" h="21600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lnTo>
                  <a:pt x="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8934" name="AutoShape 150"/>
          <xdr:cNvSpPr>
            <a:spLocks/>
          </xdr:cNvSpPr>
        </xdr:nvSpPr>
        <xdr:spPr bwMode="auto">
          <a:xfrm>
            <a:off x="968" y="210"/>
            <a:ext cx="182" cy="59"/>
          </a:xfrm>
          <a:prstGeom prst="callout2">
            <a:avLst>
              <a:gd name="adj1" fmla="val 20338"/>
              <a:gd name="adj2" fmla="val -4394"/>
              <a:gd name="adj3" fmla="val 20338"/>
              <a:gd name="adj4" fmla="val -15935"/>
              <a:gd name="adj5" fmla="val 162713"/>
              <a:gd name="adj6" fmla="val -35713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Double-Seamed Module Closure</a:t>
            </a:r>
          </a:p>
        </xdr:txBody>
      </xdr:sp>
      <xdr:sp macro="" textlink="">
        <xdr:nvSpPr>
          <xdr:cNvPr id="118935" name="AutoShape 151"/>
          <xdr:cNvSpPr>
            <a:spLocks/>
          </xdr:cNvSpPr>
        </xdr:nvSpPr>
        <xdr:spPr bwMode="auto">
          <a:xfrm>
            <a:off x="920" y="63"/>
            <a:ext cx="244" cy="111"/>
          </a:xfrm>
          <a:prstGeom prst="callout2">
            <a:avLst>
              <a:gd name="adj1" fmla="val 10810"/>
              <a:gd name="adj2" fmla="val -3278"/>
              <a:gd name="adj3" fmla="val 10810"/>
              <a:gd name="adj4" fmla="val -15574"/>
              <a:gd name="adj5" fmla="val 297296"/>
              <a:gd name="adj6" fmla="val -36884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Heat Transfer Surfaces on Top and Bottom of Container in Contact with Cell Edge Seals</a:t>
            </a:r>
          </a:p>
        </xdr:txBody>
      </xdr:sp>
      <xdr:sp macro="" textlink="">
        <xdr:nvSpPr>
          <xdr:cNvPr id="118936" name="AutoShape 152"/>
          <xdr:cNvSpPr>
            <a:spLocks/>
          </xdr:cNvSpPr>
        </xdr:nvSpPr>
        <xdr:spPr bwMode="auto">
          <a:xfrm>
            <a:off x="475" y="579"/>
            <a:ext cx="150" cy="59"/>
          </a:xfrm>
          <a:prstGeom prst="callout2">
            <a:avLst>
              <a:gd name="adj1" fmla="val 20338"/>
              <a:gd name="adj2" fmla="val 105333"/>
              <a:gd name="adj3" fmla="val 20338"/>
              <a:gd name="adj4" fmla="val 130667"/>
              <a:gd name="adj5" fmla="val -25426"/>
              <a:gd name="adj6" fmla="val 192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 type="none" w="lg" len="lg"/>
            <a:tailEnd type="triangle" w="lg" len="lg"/>
          </a:ln>
        </xdr:spPr>
        <xdr:txBody>
          <a:bodyPr vertOverflow="clip" wrap="square" lIns="0" tIns="32004" rIns="36576" bIns="0" anchor="t" upright="1"/>
          <a:lstStyle/>
          <a:p>
            <a:pPr algn="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Cell Terminal Connections</a:t>
            </a:r>
          </a:p>
        </xdr:txBody>
      </xdr:sp>
      <xdr:sp macro="" textlink="">
        <xdr:nvSpPr>
          <xdr:cNvPr id="119454" name="Line 153"/>
          <xdr:cNvSpPr>
            <a:spLocks noChangeShapeType="1"/>
          </xdr:cNvSpPr>
        </xdr:nvSpPr>
        <xdr:spPr bwMode="auto">
          <a:xfrm flipV="1">
            <a:off x="670" y="583"/>
            <a:ext cx="169" cy="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lg" len="lg"/>
          </a:ln>
        </xdr:spPr>
      </xdr:sp>
      <xdr:grpSp>
        <xdr:nvGrpSpPr>
          <xdr:cNvPr id="119455" name="Group 154"/>
          <xdr:cNvGrpSpPr>
            <a:grpSpLocks/>
          </xdr:cNvGrpSpPr>
        </xdr:nvGrpSpPr>
        <xdr:grpSpPr bwMode="auto">
          <a:xfrm>
            <a:off x="347" y="752"/>
            <a:ext cx="292" cy="37"/>
            <a:chOff x="309" y="706"/>
            <a:chExt cx="344" cy="68"/>
          </a:xfrm>
        </xdr:grpSpPr>
        <xdr:sp macro="" textlink="">
          <xdr:nvSpPr>
            <xdr:cNvPr id="119474" name="Freeform 155"/>
            <xdr:cNvSpPr>
              <a:spLocks/>
            </xdr:cNvSpPr>
          </xdr:nvSpPr>
          <xdr:spPr bwMode="auto">
            <a:xfrm>
              <a:off x="309" y="717"/>
              <a:ext cx="199" cy="57"/>
            </a:xfrm>
            <a:custGeom>
              <a:avLst/>
              <a:gdLst>
                <a:gd name="T0" fmla="*/ 0 w 199"/>
                <a:gd name="T1" fmla="*/ 0 h 57"/>
                <a:gd name="T2" fmla="*/ 0 w 199"/>
                <a:gd name="T3" fmla="*/ 51 h 57"/>
                <a:gd name="T4" fmla="*/ 7 w 199"/>
                <a:gd name="T5" fmla="*/ 57 h 57"/>
                <a:gd name="T6" fmla="*/ 17 w 199"/>
                <a:gd name="T7" fmla="*/ 57 h 57"/>
                <a:gd name="T8" fmla="*/ 199 w 199"/>
                <a:gd name="T9" fmla="*/ 57 h 5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99"/>
                <a:gd name="T16" fmla="*/ 0 h 57"/>
                <a:gd name="T17" fmla="*/ 199 w 199"/>
                <a:gd name="T18" fmla="*/ 57 h 5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99" h="57">
                  <a:moveTo>
                    <a:pt x="0" y="0"/>
                  </a:moveTo>
                  <a:lnTo>
                    <a:pt x="0" y="51"/>
                  </a:lnTo>
                  <a:lnTo>
                    <a:pt x="7" y="57"/>
                  </a:lnTo>
                  <a:lnTo>
                    <a:pt x="17" y="57"/>
                  </a:lnTo>
                  <a:lnTo>
                    <a:pt x="199" y="57"/>
                  </a:lnTo>
                </a:path>
              </a:pathLst>
            </a:custGeom>
            <a:noFill/>
            <a:ln w="28575">
              <a:solidFill>
                <a:srgbClr val="CC3300"/>
              </a:solidFill>
              <a:round/>
              <a:headEnd/>
              <a:tailEnd/>
            </a:ln>
          </xdr:spPr>
        </xdr:sp>
        <xdr:sp macro="" textlink="">
          <xdr:nvSpPr>
            <xdr:cNvPr id="119475" name="Freeform 156"/>
            <xdr:cNvSpPr>
              <a:spLocks/>
            </xdr:cNvSpPr>
          </xdr:nvSpPr>
          <xdr:spPr bwMode="auto">
            <a:xfrm>
              <a:off x="312" y="706"/>
              <a:ext cx="194" cy="64"/>
            </a:xfrm>
            <a:custGeom>
              <a:avLst/>
              <a:gdLst>
                <a:gd name="T0" fmla="*/ 0 w 194"/>
                <a:gd name="T1" fmla="*/ 13 h 64"/>
                <a:gd name="T2" fmla="*/ 0 w 194"/>
                <a:gd name="T3" fmla="*/ 60 h 64"/>
                <a:gd name="T4" fmla="*/ 3 w 194"/>
                <a:gd name="T5" fmla="*/ 64 h 64"/>
                <a:gd name="T6" fmla="*/ 11 w 194"/>
                <a:gd name="T7" fmla="*/ 64 h 64"/>
                <a:gd name="T8" fmla="*/ 15 w 194"/>
                <a:gd name="T9" fmla="*/ 58 h 64"/>
                <a:gd name="T10" fmla="*/ 15 w 194"/>
                <a:gd name="T11" fmla="*/ 11 h 64"/>
                <a:gd name="T12" fmla="*/ 17 w 194"/>
                <a:gd name="T13" fmla="*/ 4 h 64"/>
                <a:gd name="T14" fmla="*/ 24 w 194"/>
                <a:gd name="T15" fmla="*/ 0 h 64"/>
                <a:gd name="T16" fmla="*/ 194 w 194"/>
                <a:gd name="T17" fmla="*/ 0 h 64"/>
                <a:gd name="T18" fmla="*/ 0 60000 65536"/>
                <a:gd name="T19" fmla="*/ 0 60000 65536"/>
                <a:gd name="T20" fmla="*/ 0 60000 65536"/>
                <a:gd name="T21" fmla="*/ 0 60000 65536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w 194"/>
                <a:gd name="T28" fmla="*/ 0 h 64"/>
                <a:gd name="T29" fmla="*/ 194 w 194"/>
                <a:gd name="T30" fmla="*/ 64 h 64"/>
              </a:gdLst>
              <a:ahLst/>
              <a:cxnLst>
                <a:cxn ang="T18">
                  <a:pos x="T0" y="T1"/>
                </a:cxn>
                <a:cxn ang="T19">
                  <a:pos x="T2" y="T3"/>
                </a:cxn>
                <a:cxn ang="T20">
                  <a:pos x="T4" y="T5"/>
                </a:cxn>
                <a:cxn ang="T21">
                  <a:pos x="T6" y="T7"/>
                </a:cxn>
                <a:cxn ang="T22">
                  <a:pos x="T8" y="T9"/>
                </a:cxn>
                <a:cxn ang="T23">
                  <a:pos x="T10" y="T11"/>
                </a:cxn>
                <a:cxn ang="T24">
                  <a:pos x="T12" y="T13"/>
                </a:cxn>
                <a:cxn ang="T25">
                  <a:pos x="T14" y="T15"/>
                </a:cxn>
                <a:cxn ang="T26">
                  <a:pos x="T16" y="T17"/>
                </a:cxn>
              </a:cxnLst>
              <a:rect l="T27" t="T28" r="T29" b="T30"/>
              <a:pathLst>
                <a:path w="194" h="64">
                  <a:moveTo>
                    <a:pt x="0" y="13"/>
                  </a:moveTo>
                  <a:lnTo>
                    <a:pt x="0" y="60"/>
                  </a:lnTo>
                  <a:lnTo>
                    <a:pt x="3" y="64"/>
                  </a:lnTo>
                  <a:lnTo>
                    <a:pt x="11" y="64"/>
                  </a:lnTo>
                  <a:lnTo>
                    <a:pt x="15" y="58"/>
                  </a:lnTo>
                  <a:lnTo>
                    <a:pt x="15" y="11"/>
                  </a:lnTo>
                  <a:lnTo>
                    <a:pt x="17" y="4"/>
                  </a:lnTo>
                  <a:lnTo>
                    <a:pt x="24" y="0"/>
                  </a:lnTo>
                  <a:lnTo>
                    <a:pt x="194" y="0"/>
                  </a:lnTo>
                </a:path>
              </a:pathLst>
            </a:custGeom>
            <a:noFill/>
            <a:ln w="28575">
              <a:solidFill>
                <a:srgbClr val="333399"/>
              </a:solidFill>
              <a:round/>
              <a:headEnd/>
              <a:tailEnd/>
            </a:ln>
          </xdr:spPr>
        </xdr:sp>
        <xdr:sp macro="" textlink="">
          <xdr:nvSpPr>
            <xdr:cNvPr id="119476" name="Rectangle 157" descr="Light horizontal"/>
            <xdr:cNvSpPr>
              <a:spLocks noChangeArrowheads="1"/>
            </xdr:cNvSpPr>
          </xdr:nvSpPr>
          <xdr:spPr bwMode="auto">
            <a:xfrm>
              <a:off x="335" y="709"/>
              <a:ext cx="290" cy="62"/>
            </a:xfrm>
            <a:prstGeom prst="rect">
              <a:avLst/>
            </a:prstGeom>
            <a:pattFill prst="ltHorz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grpSp>
          <xdr:nvGrpSpPr>
            <xdr:cNvPr id="119477" name="Group 158"/>
            <xdr:cNvGrpSpPr>
              <a:grpSpLocks/>
            </xdr:cNvGrpSpPr>
          </xdr:nvGrpSpPr>
          <xdr:grpSpPr bwMode="auto">
            <a:xfrm flipH="1">
              <a:off x="454" y="706"/>
              <a:ext cx="199" cy="68"/>
              <a:chOff x="326" y="716"/>
              <a:chExt cx="199" cy="68"/>
            </a:xfrm>
          </xdr:grpSpPr>
          <xdr:sp macro="" textlink="">
            <xdr:nvSpPr>
              <xdr:cNvPr id="119478" name="Freeform 159"/>
              <xdr:cNvSpPr>
                <a:spLocks/>
              </xdr:cNvSpPr>
            </xdr:nvSpPr>
            <xdr:spPr bwMode="auto">
              <a:xfrm>
                <a:off x="326" y="727"/>
                <a:ext cx="199" cy="57"/>
              </a:xfrm>
              <a:custGeom>
                <a:avLst/>
                <a:gdLst>
                  <a:gd name="T0" fmla="*/ 0 w 199"/>
                  <a:gd name="T1" fmla="*/ 0 h 57"/>
                  <a:gd name="T2" fmla="*/ 0 w 199"/>
                  <a:gd name="T3" fmla="*/ 51 h 57"/>
                  <a:gd name="T4" fmla="*/ 7 w 199"/>
                  <a:gd name="T5" fmla="*/ 57 h 57"/>
                  <a:gd name="T6" fmla="*/ 17 w 199"/>
                  <a:gd name="T7" fmla="*/ 57 h 57"/>
                  <a:gd name="T8" fmla="*/ 199 w 199"/>
                  <a:gd name="T9" fmla="*/ 57 h 57"/>
                  <a:gd name="T10" fmla="*/ 0 60000 65536"/>
                  <a:gd name="T11" fmla="*/ 0 60000 65536"/>
                  <a:gd name="T12" fmla="*/ 0 60000 65536"/>
                  <a:gd name="T13" fmla="*/ 0 60000 65536"/>
                  <a:gd name="T14" fmla="*/ 0 60000 65536"/>
                  <a:gd name="T15" fmla="*/ 0 w 199"/>
                  <a:gd name="T16" fmla="*/ 0 h 57"/>
                  <a:gd name="T17" fmla="*/ 199 w 199"/>
                  <a:gd name="T18" fmla="*/ 57 h 57"/>
                </a:gdLst>
                <a:ahLst/>
                <a:cxnLst>
                  <a:cxn ang="T10">
                    <a:pos x="T0" y="T1"/>
                  </a:cxn>
                  <a:cxn ang="T11">
                    <a:pos x="T2" y="T3"/>
                  </a:cxn>
                  <a:cxn ang="T12">
                    <a:pos x="T4" y="T5"/>
                  </a:cxn>
                  <a:cxn ang="T13">
                    <a:pos x="T6" y="T7"/>
                  </a:cxn>
                  <a:cxn ang="T14">
                    <a:pos x="T8" y="T9"/>
                  </a:cxn>
                </a:cxnLst>
                <a:rect l="T15" t="T16" r="T17" b="T18"/>
                <a:pathLst>
                  <a:path w="199" h="57">
                    <a:moveTo>
                      <a:pt x="0" y="0"/>
                    </a:moveTo>
                    <a:lnTo>
                      <a:pt x="0" y="51"/>
                    </a:lnTo>
                    <a:lnTo>
                      <a:pt x="7" y="57"/>
                    </a:lnTo>
                    <a:lnTo>
                      <a:pt x="17" y="57"/>
                    </a:lnTo>
                    <a:lnTo>
                      <a:pt x="199" y="57"/>
                    </a:lnTo>
                  </a:path>
                </a:pathLst>
              </a:custGeom>
              <a:noFill/>
              <a:ln w="28575">
                <a:solidFill>
                  <a:srgbClr val="CC33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479" name="Freeform 160"/>
              <xdr:cNvSpPr>
                <a:spLocks/>
              </xdr:cNvSpPr>
            </xdr:nvSpPr>
            <xdr:spPr bwMode="auto">
              <a:xfrm>
                <a:off x="329" y="716"/>
                <a:ext cx="194" cy="64"/>
              </a:xfrm>
              <a:custGeom>
                <a:avLst/>
                <a:gdLst>
                  <a:gd name="T0" fmla="*/ 0 w 194"/>
                  <a:gd name="T1" fmla="*/ 13 h 64"/>
                  <a:gd name="T2" fmla="*/ 0 w 194"/>
                  <a:gd name="T3" fmla="*/ 60 h 64"/>
                  <a:gd name="T4" fmla="*/ 3 w 194"/>
                  <a:gd name="T5" fmla="*/ 64 h 64"/>
                  <a:gd name="T6" fmla="*/ 11 w 194"/>
                  <a:gd name="T7" fmla="*/ 64 h 64"/>
                  <a:gd name="T8" fmla="*/ 15 w 194"/>
                  <a:gd name="T9" fmla="*/ 58 h 64"/>
                  <a:gd name="T10" fmla="*/ 15 w 194"/>
                  <a:gd name="T11" fmla="*/ 11 h 64"/>
                  <a:gd name="T12" fmla="*/ 17 w 194"/>
                  <a:gd name="T13" fmla="*/ 4 h 64"/>
                  <a:gd name="T14" fmla="*/ 24 w 194"/>
                  <a:gd name="T15" fmla="*/ 0 h 64"/>
                  <a:gd name="T16" fmla="*/ 194 w 194"/>
                  <a:gd name="T17" fmla="*/ 0 h 64"/>
                  <a:gd name="T18" fmla="*/ 0 60000 65536"/>
                  <a:gd name="T19" fmla="*/ 0 60000 65536"/>
                  <a:gd name="T20" fmla="*/ 0 60000 65536"/>
                  <a:gd name="T21" fmla="*/ 0 60000 65536"/>
                  <a:gd name="T22" fmla="*/ 0 60000 65536"/>
                  <a:gd name="T23" fmla="*/ 0 60000 65536"/>
                  <a:gd name="T24" fmla="*/ 0 60000 65536"/>
                  <a:gd name="T25" fmla="*/ 0 60000 65536"/>
                  <a:gd name="T26" fmla="*/ 0 60000 65536"/>
                  <a:gd name="T27" fmla="*/ 0 w 194"/>
                  <a:gd name="T28" fmla="*/ 0 h 64"/>
                  <a:gd name="T29" fmla="*/ 194 w 194"/>
                  <a:gd name="T30" fmla="*/ 64 h 64"/>
                </a:gdLst>
                <a:ahLst/>
                <a:cxnLst>
                  <a:cxn ang="T18">
                    <a:pos x="T0" y="T1"/>
                  </a:cxn>
                  <a:cxn ang="T19">
                    <a:pos x="T2" y="T3"/>
                  </a:cxn>
                  <a:cxn ang="T20">
                    <a:pos x="T4" y="T5"/>
                  </a:cxn>
                  <a:cxn ang="T21">
                    <a:pos x="T6" y="T7"/>
                  </a:cxn>
                  <a:cxn ang="T22">
                    <a:pos x="T8" y="T9"/>
                  </a:cxn>
                  <a:cxn ang="T23">
                    <a:pos x="T10" y="T11"/>
                  </a:cxn>
                  <a:cxn ang="T24">
                    <a:pos x="T12" y="T13"/>
                  </a:cxn>
                  <a:cxn ang="T25">
                    <a:pos x="T14" y="T15"/>
                  </a:cxn>
                  <a:cxn ang="T26">
                    <a:pos x="T16" y="T17"/>
                  </a:cxn>
                </a:cxnLst>
                <a:rect l="T27" t="T28" r="T29" b="T30"/>
                <a:pathLst>
                  <a:path w="194" h="64">
                    <a:moveTo>
                      <a:pt x="0" y="13"/>
                    </a:moveTo>
                    <a:lnTo>
                      <a:pt x="0" y="60"/>
                    </a:lnTo>
                    <a:lnTo>
                      <a:pt x="3" y="64"/>
                    </a:lnTo>
                    <a:lnTo>
                      <a:pt x="11" y="64"/>
                    </a:lnTo>
                    <a:lnTo>
                      <a:pt x="15" y="58"/>
                    </a:lnTo>
                    <a:lnTo>
                      <a:pt x="15" y="11"/>
                    </a:lnTo>
                    <a:lnTo>
                      <a:pt x="17" y="4"/>
                    </a:lnTo>
                    <a:lnTo>
                      <a:pt x="24" y="0"/>
                    </a:lnTo>
                    <a:lnTo>
                      <a:pt x="194" y="0"/>
                    </a:lnTo>
                  </a:path>
                </a:pathLst>
              </a:custGeom>
              <a:noFill/>
              <a:ln w="28575">
                <a:solidFill>
                  <a:srgbClr val="333399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18945" name="Text Box 161"/>
          <xdr:cNvSpPr txBox="1">
            <a:spLocks noChangeArrowheads="1"/>
          </xdr:cNvSpPr>
        </xdr:nvSpPr>
        <xdr:spPr bwMode="auto">
          <a:xfrm>
            <a:off x="5" y="779"/>
            <a:ext cx="292" cy="7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45720" bIns="0" anchor="t" upright="1"/>
          <a:lstStyle/>
          <a:p>
            <a:pPr algn="ctr" rtl="0">
              <a:defRPr sz="1000"/>
            </a:pPr>
            <a:r>
              <a:rPr lang="en-US" sz="2000" b="1" i="0" strike="noStrike">
                <a:solidFill>
                  <a:srgbClr val="000000"/>
                </a:solidFill>
                <a:latin typeface="Arial"/>
                <a:cs typeface="Arial"/>
              </a:rPr>
              <a:t>Cell with Stiff, Multi-Layer Container</a:t>
            </a:r>
          </a:p>
        </xdr:txBody>
      </xdr:sp>
      <xdr:sp macro="" textlink="">
        <xdr:nvSpPr>
          <xdr:cNvPr id="118946" name="AutoShape 162"/>
          <xdr:cNvSpPr>
            <a:spLocks/>
          </xdr:cNvSpPr>
        </xdr:nvSpPr>
        <xdr:spPr bwMode="auto">
          <a:xfrm>
            <a:off x="403" y="658"/>
            <a:ext cx="117" cy="59"/>
          </a:xfrm>
          <a:prstGeom prst="callout2">
            <a:avLst>
              <a:gd name="adj1" fmla="val 20338"/>
              <a:gd name="adj2" fmla="val -6838"/>
              <a:gd name="adj3" fmla="val 20338"/>
              <a:gd name="adj4" fmla="val -23079"/>
              <a:gd name="adj5" fmla="val 169491"/>
              <a:gd name="adj6" fmla="val -46153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 type="none" w="lg" len="lg"/>
            <a:tailEnd type="triangle" w="lg" len="lg"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Polymer Edge Seal </a:t>
            </a:r>
          </a:p>
        </xdr:txBody>
      </xdr:sp>
      <xdr:sp macro="" textlink="">
        <xdr:nvSpPr>
          <xdr:cNvPr id="119458" name="Line 163"/>
          <xdr:cNvSpPr>
            <a:spLocks noChangeShapeType="1"/>
          </xdr:cNvSpPr>
        </xdr:nvSpPr>
        <xdr:spPr bwMode="auto">
          <a:xfrm flipH="1">
            <a:off x="297" y="171"/>
            <a:ext cx="0" cy="324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59" name="Freeform 164"/>
          <xdr:cNvSpPr>
            <a:spLocks/>
          </xdr:cNvSpPr>
        </xdr:nvSpPr>
        <xdr:spPr bwMode="auto">
          <a:xfrm>
            <a:off x="499" y="265"/>
            <a:ext cx="100" cy="36"/>
          </a:xfrm>
          <a:custGeom>
            <a:avLst/>
            <a:gdLst>
              <a:gd name="T0" fmla="*/ 100 w 100"/>
              <a:gd name="T1" fmla="*/ 36 h 36"/>
              <a:gd name="T2" fmla="*/ 39 w 100"/>
              <a:gd name="T3" fmla="*/ 36 h 36"/>
              <a:gd name="T4" fmla="*/ 39 w 100"/>
              <a:gd name="T5" fmla="*/ 31 h 36"/>
              <a:gd name="T6" fmla="*/ 97 w 100"/>
              <a:gd name="T7" fmla="*/ 32 h 36"/>
              <a:gd name="T8" fmla="*/ 99 w 100"/>
              <a:gd name="T9" fmla="*/ 20 h 36"/>
              <a:gd name="T10" fmla="*/ 21 w 100"/>
              <a:gd name="T11" fmla="*/ 3 h 36"/>
              <a:gd name="T12" fmla="*/ 0 w 100"/>
              <a:gd name="T13" fmla="*/ 0 h 36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100"/>
              <a:gd name="T22" fmla="*/ 0 h 36"/>
              <a:gd name="T23" fmla="*/ 100 w 100"/>
              <a:gd name="T24" fmla="*/ 36 h 36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100" h="36">
                <a:moveTo>
                  <a:pt x="100" y="36"/>
                </a:moveTo>
                <a:lnTo>
                  <a:pt x="39" y="36"/>
                </a:lnTo>
                <a:lnTo>
                  <a:pt x="39" y="31"/>
                </a:lnTo>
                <a:lnTo>
                  <a:pt x="97" y="32"/>
                </a:lnTo>
                <a:lnTo>
                  <a:pt x="99" y="20"/>
                </a:lnTo>
                <a:lnTo>
                  <a:pt x="21" y="3"/>
                </a:lnTo>
                <a:lnTo>
                  <a:pt x="0" y="0"/>
                </a:lnTo>
              </a:path>
            </a:pathLst>
          </a:custGeom>
          <a:noFill/>
          <a:ln w="38100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0" name="Freeform 165"/>
          <xdr:cNvSpPr>
            <a:spLocks/>
          </xdr:cNvSpPr>
        </xdr:nvSpPr>
        <xdr:spPr bwMode="auto">
          <a:xfrm>
            <a:off x="488" y="277"/>
            <a:ext cx="90" cy="21"/>
          </a:xfrm>
          <a:custGeom>
            <a:avLst/>
            <a:gdLst>
              <a:gd name="T0" fmla="*/ 0 w 90"/>
              <a:gd name="T1" fmla="*/ 21 h 21"/>
              <a:gd name="T2" fmla="*/ 34 w 90"/>
              <a:gd name="T3" fmla="*/ 21 h 21"/>
              <a:gd name="T4" fmla="*/ 47 w 90"/>
              <a:gd name="T5" fmla="*/ 14 h 21"/>
              <a:gd name="T6" fmla="*/ 59 w 90"/>
              <a:gd name="T7" fmla="*/ 13 h 21"/>
              <a:gd name="T8" fmla="*/ 90 w 90"/>
              <a:gd name="T9" fmla="*/ 16 h 21"/>
              <a:gd name="T10" fmla="*/ 31 w 90"/>
              <a:gd name="T11" fmla="*/ 4 h 21"/>
              <a:gd name="T12" fmla="*/ 11 w 90"/>
              <a:gd name="T13" fmla="*/ 0 h 21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90"/>
              <a:gd name="T22" fmla="*/ 0 h 21"/>
              <a:gd name="T23" fmla="*/ 90 w 90"/>
              <a:gd name="T24" fmla="*/ 21 h 21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90" h="21">
                <a:moveTo>
                  <a:pt x="0" y="21"/>
                </a:moveTo>
                <a:lnTo>
                  <a:pt x="34" y="21"/>
                </a:lnTo>
                <a:lnTo>
                  <a:pt x="47" y="14"/>
                </a:lnTo>
                <a:lnTo>
                  <a:pt x="59" y="13"/>
                </a:lnTo>
                <a:lnTo>
                  <a:pt x="90" y="16"/>
                </a:lnTo>
                <a:lnTo>
                  <a:pt x="31" y="4"/>
                </a:lnTo>
                <a:lnTo>
                  <a:pt x="11" y="0"/>
                </a:lnTo>
              </a:path>
            </a:pathLst>
          </a:custGeom>
          <a:noFill/>
          <a:ln w="38100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1" name="Line 166"/>
          <xdr:cNvSpPr>
            <a:spLocks noChangeShapeType="1"/>
          </xdr:cNvSpPr>
        </xdr:nvSpPr>
        <xdr:spPr bwMode="auto">
          <a:xfrm flipV="1">
            <a:off x="482" y="297"/>
            <a:ext cx="12" cy="3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2" name="Line 167"/>
          <xdr:cNvSpPr>
            <a:spLocks noChangeShapeType="1"/>
          </xdr:cNvSpPr>
        </xdr:nvSpPr>
        <xdr:spPr bwMode="auto">
          <a:xfrm flipV="1">
            <a:off x="475" y="297"/>
            <a:ext cx="14" cy="3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3" name="Freeform 168"/>
          <xdr:cNvSpPr>
            <a:spLocks/>
          </xdr:cNvSpPr>
        </xdr:nvSpPr>
        <xdr:spPr bwMode="auto">
          <a:xfrm>
            <a:off x="375" y="147"/>
            <a:ext cx="219" cy="147"/>
          </a:xfrm>
          <a:custGeom>
            <a:avLst/>
            <a:gdLst>
              <a:gd name="T0" fmla="*/ 219 w 219"/>
              <a:gd name="T1" fmla="*/ 139 h 147"/>
              <a:gd name="T2" fmla="*/ 169 w 219"/>
              <a:gd name="T3" fmla="*/ 128 h 147"/>
              <a:gd name="T4" fmla="*/ 108 w 219"/>
              <a:gd name="T5" fmla="*/ 117 h 147"/>
              <a:gd name="T6" fmla="*/ 106 w 219"/>
              <a:gd name="T7" fmla="*/ 0 h 147"/>
              <a:gd name="T8" fmla="*/ 53 w 219"/>
              <a:gd name="T9" fmla="*/ 0 h 147"/>
              <a:gd name="T10" fmla="*/ 0 w 219"/>
              <a:gd name="T11" fmla="*/ 0 h 147"/>
              <a:gd name="T12" fmla="*/ 0 w 219"/>
              <a:gd name="T13" fmla="*/ 8 h 147"/>
              <a:gd name="T14" fmla="*/ 47 w 219"/>
              <a:gd name="T15" fmla="*/ 8 h 147"/>
              <a:gd name="T16" fmla="*/ 99 w 219"/>
              <a:gd name="T17" fmla="*/ 8 h 147"/>
              <a:gd name="T18" fmla="*/ 99 w 219"/>
              <a:gd name="T19" fmla="*/ 124 h 147"/>
              <a:gd name="T20" fmla="*/ 159 w 219"/>
              <a:gd name="T21" fmla="*/ 135 h 147"/>
              <a:gd name="T22" fmla="*/ 218 w 219"/>
              <a:gd name="T23" fmla="*/ 147 h 147"/>
              <a:gd name="T24" fmla="*/ 219 w 219"/>
              <a:gd name="T25" fmla="*/ 139 h 14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9"/>
              <a:gd name="T40" fmla="*/ 0 h 147"/>
              <a:gd name="T41" fmla="*/ 219 w 219"/>
              <a:gd name="T42" fmla="*/ 147 h 14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9" h="147">
                <a:moveTo>
                  <a:pt x="219" y="139"/>
                </a:moveTo>
                <a:lnTo>
                  <a:pt x="169" y="128"/>
                </a:lnTo>
                <a:lnTo>
                  <a:pt x="108" y="117"/>
                </a:lnTo>
                <a:lnTo>
                  <a:pt x="106" y="0"/>
                </a:lnTo>
                <a:lnTo>
                  <a:pt x="53" y="0"/>
                </a:lnTo>
                <a:lnTo>
                  <a:pt x="0" y="0"/>
                </a:lnTo>
                <a:lnTo>
                  <a:pt x="0" y="8"/>
                </a:lnTo>
                <a:lnTo>
                  <a:pt x="47" y="8"/>
                </a:lnTo>
                <a:lnTo>
                  <a:pt x="99" y="8"/>
                </a:lnTo>
                <a:lnTo>
                  <a:pt x="99" y="124"/>
                </a:lnTo>
                <a:lnTo>
                  <a:pt x="159" y="135"/>
                </a:lnTo>
                <a:lnTo>
                  <a:pt x="218" y="147"/>
                </a:lnTo>
                <a:lnTo>
                  <a:pt x="219" y="139"/>
                </a:lnTo>
                <a:close/>
              </a:path>
            </a:pathLst>
          </a:custGeom>
          <a:solidFill>
            <a:srgbClr val="00CC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64" name="Line 169"/>
          <xdr:cNvSpPr>
            <a:spLocks noChangeShapeType="1"/>
          </xdr:cNvSpPr>
        </xdr:nvSpPr>
        <xdr:spPr bwMode="auto">
          <a:xfrm>
            <a:off x="44" y="209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465" name="Line 170"/>
          <xdr:cNvSpPr>
            <a:spLocks noChangeShapeType="1"/>
          </xdr:cNvSpPr>
        </xdr:nvSpPr>
        <xdr:spPr bwMode="auto">
          <a:xfrm flipV="1">
            <a:off x="45" y="92"/>
            <a:ext cx="214" cy="118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466" name="Group 171"/>
          <xdr:cNvGrpSpPr>
            <a:grpSpLocks/>
          </xdr:cNvGrpSpPr>
        </xdr:nvGrpSpPr>
        <xdr:grpSpPr bwMode="auto">
          <a:xfrm>
            <a:off x="15" y="73"/>
            <a:ext cx="236" cy="135"/>
            <a:chOff x="15" y="71"/>
            <a:chExt cx="236" cy="135"/>
          </a:xfrm>
        </xdr:grpSpPr>
        <xdr:sp macro="" textlink="">
          <xdr:nvSpPr>
            <xdr:cNvPr id="119471" name="Freeform 172"/>
            <xdr:cNvSpPr>
              <a:spLocks/>
            </xdr:cNvSpPr>
          </xdr:nvSpPr>
          <xdr:spPr bwMode="auto">
            <a:xfrm>
              <a:off x="59" y="71"/>
              <a:ext cx="192" cy="134"/>
            </a:xfrm>
            <a:custGeom>
              <a:avLst/>
              <a:gdLst>
                <a:gd name="T0" fmla="*/ 0 w 192"/>
                <a:gd name="T1" fmla="*/ 107 h 134"/>
                <a:gd name="T2" fmla="*/ 192 w 192"/>
                <a:gd name="T3" fmla="*/ 0 h 134"/>
                <a:gd name="T4" fmla="*/ 192 w 192"/>
                <a:gd name="T5" fmla="*/ 28 h 134"/>
                <a:gd name="T6" fmla="*/ 0 w 192"/>
                <a:gd name="T7" fmla="*/ 134 h 134"/>
                <a:gd name="T8" fmla="*/ 0 w 192"/>
                <a:gd name="T9" fmla="*/ 107 h 134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92"/>
                <a:gd name="T16" fmla="*/ 0 h 134"/>
                <a:gd name="T17" fmla="*/ 192 w 192"/>
                <a:gd name="T18" fmla="*/ 134 h 134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92" h="134">
                  <a:moveTo>
                    <a:pt x="0" y="107"/>
                  </a:moveTo>
                  <a:lnTo>
                    <a:pt x="192" y="0"/>
                  </a:lnTo>
                  <a:lnTo>
                    <a:pt x="192" y="28"/>
                  </a:lnTo>
                  <a:lnTo>
                    <a:pt x="0" y="134"/>
                  </a:lnTo>
                  <a:lnTo>
                    <a:pt x="0" y="107"/>
                  </a:lnTo>
                  <a:close/>
                </a:path>
              </a:pathLst>
            </a:custGeom>
            <a:gradFill rotWithShape="1">
              <a:gsLst>
                <a:gs pos="0">
                  <a:srgbClr val="C0C0C0"/>
                </a:gs>
                <a:gs pos="100000">
                  <a:srgbClr val="FFFFFF"/>
                </a:gs>
              </a:gsLst>
              <a:lin ang="2700000" scaled="1"/>
            </a:gra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72" name="Freeform 173"/>
            <xdr:cNvSpPr>
              <a:spLocks/>
            </xdr:cNvSpPr>
          </xdr:nvSpPr>
          <xdr:spPr bwMode="auto">
            <a:xfrm>
              <a:off x="15" y="71"/>
              <a:ext cx="236" cy="107"/>
            </a:xfrm>
            <a:custGeom>
              <a:avLst/>
              <a:gdLst>
                <a:gd name="T0" fmla="*/ 44 w 236"/>
                <a:gd name="T1" fmla="*/ 107 h 107"/>
                <a:gd name="T2" fmla="*/ 0 w 236"/>
                <a:gd name="T3" fmla="*/ 107 h 107"/>
                <a:gd name="T4" fmla="*/ 195 w 236"/>
                <a:gd name="T5" fmla="*/ 0 h 107"/>
                <a:gd name="T6" fmla="*/ 236 w 236"/>
                <a:gd name="T7" fmla="*/ 0 h 107"/>
                <a:gd name="T8" fmla="*/ 44 w 236"/>
                <a:gd name="T9" fmla="*/ 107 h 10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236"/>
                <a:gd name="T16" fmla="*/ 0 h 107"/>
                <a:gd name="T17" fmla="*/ 236 w 236"/>
                <a:gd name="T18" fmla="*/ 107 h 10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236" h="107">
                  <a:moveTo>
                    <a:pt x="44" y="107"/>
                  </a:moveTo>
                  <a:lnTo>
                    <a:pt x="0" y="107"/>
                  </a:lnTo>
                  <a:lnTo>
                    <a:pt x="195" y="0"/>
                  </a:lnTo>
                  <a:lnTo>
                    <a:pt x="236" y="0"/>
                  </a:lnTo>
                  <a:lnTo>
                    <a:pt x="44" y="107"/>
                  </a:lnTo>
                  <a:close/>
                </a:path>
              </a:pathLst>
            </a:custGeom>
            <a:gradFill rotWithShape="1">
              <a:gsLst>
                <a:gs pos="0">
                  <a:srgbClr val="FFFFFF"/>
                </a:gs>
                <a:gs pos="100000">
                  <a:srgbClr val="C0C0C0"/>
                </a:gs>
              </a:gsLst>
              <a:lin ang="5400000" scaled="1"/>
            </a:gra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473" name="Freeform 174"/>
            <xdr:cNvSpPr>
              <a:spLocks/>
            </xdr:cNvSpPr>
          </xdr:nvSpPr>
          <xdr:spPr bwMode="auto">
            <a:xfrm>
              <a:off x="15" y="178"/>
              <a:ext cx="45" cy="28"/>
            </a:xfrm>
            <a:custGeom>
              <a:avLst/>
              <a:gdLst>
                <a:gd name="T0" fmla="*/ 41 w 45"/>
                <a:gd name="T1" fmla="*/ 28 h 28"/>
                <a:gd name="T2" fmla="*/ 41 w 45"/>
                <a:gd name="T3" fmla="*/ 3 h 28"/>
                <a:gd name="T4" fmla="*/ 0 w 45"/>
                <a:gd name="T5" fmla="*/ 3 h 28"/>
                <a:gd name="T6" fmla="*/ 0 w 45"/>
                <a:gd name="T7" fmla="*/ 0 h 28"/>
                <a:gd name="T8" fmla="*/ 45 w 45"/>
                <a:gd name="T9" fmla="*/ 0 h 28"/>
                <a:gd name="T10" fmla="*/ 45 w 45"/>
                <a:gd name="T11" fmla="*/ 28 h 28"/>
                <a:gd name="T12" fmla="*/ 41 w 45"/>
                <a:gd name="T13" fmla="*/ 28 h 28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45"/>
                <a:gd name="T22" fmla="*/ 0 h 28"/>
                <a:gd name="T23" fmla="*/ 45 w 45"/>
                <a:gd name="T24" fmla="*/ 28 h 28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45" h="28">
                  <a:moveTo>
                    <a:pt x="41" y="28"/>
                  </a:moveTo>
                  <a:lnTo>
                    <a:pt x="41" y="3"/>
                  </a:lnTo>
                  <a:lnTo>
                    <a:pt x="0" y="3"/>
                  </a:lnTo>
                  <a:lnTo>
                    <a:pt x="0" y="0"/>
                  </a:lnTo>
                  <a:lnTo>
                    <a:pt x="45" y="0"/>
                  </a:lnTo>
                  <a:lnTo>
                    <a:pt x="45" y="28"/>
                  </a:lnTo>
                  <a:lnTo>
                    <a:pt x="41" y="28"/>
                  </a:lnTo>
                  <a:close/>
                </a:path>
              </a:pathLst>
            </a:custGeom>
            <a:solidFill>
              <a:srgbClr val="969696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467" name="Line 175"/>
          <xdr:cNvSpPr>
            <a:spLocks noChangeShapeType="1"/>
          </xdr:cNvSpPr>
        </xdr:nvSpPr>
        <xdr:spPr bwMode="auto">
          <a:xfrm flipV="1">
            <a:off x="528" y="293"/>
            <a:ext cx="4" cy="7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8" name="Line 176"/>
          <xdr:cNvSpPr>
            <a:spLocks noChangeShapeType="1"/>
          </xdr:cNvSpPr>
        </xdr:nvSpPr>
        <xdr:spPr bwMode="auto">
          <a:xfrm flipV="1">
            <a:off x="534" y="292"/>
            <a:ext cx="4" cy="7"/>
          </a:xfrm>
          <a:prstGeom prst="line">
            <a:avLst/>
          </a:prstGeom>
          <a:noFill/>
          <a:ln w="9525">
            <a:solidFill>
              <a:srgbClr val="3366FF"/>
            </a:solidFill>
            <a:round/>
            <a:headEnd/>
            <a:tailEnd/>
          </a:ln>
        </xdr:spPr>
      </xdr:sp>
      <xdr:sp macro="" textlink="">
        <xdr:nvSpPr>
          <xdr:cNvPr id="119469" name="Freeform 177"/>
          <xdr:cNvSpPr>
            <a:spLocks/>
          </xdr:cNvSpPr>
        </xdr:nvSpPr>
        <xdr:spPr bwMode="auto">
          <a:xfrm>
            <a:off x="96" y="140"/>
            <a:ext cx="197" cy="494"/>
          </a:xfrm>
          <a:custGeom>
            <a:avLst/>
            <a:gdLst>
              <a:gd name="T0" fmla="*/ 0 w 197"/>
              <a:gd name="T1" fmla="*/ 188 h 494"/>
              <a:gd name="T2" fmla="*/ 0 w 197"/>
              <a:gd name="T3" fmla="*/ 172 h 494"/>
              <a:gd name="T4" fmla="*/ 0 w 197"/>
              <a:gd name="T5" fmla="*/ 121 h 494"/>
              <a:gd name="T6" fmla="*/ 1 w 197"/>
              <a:gd name="T7" fmla="*/ 109 h 494"/>
              <a:gd name="T8" fmla="*/ 8 w 197"/>
              <a:gd name="T9" fmla="*/ 106 h 494"/>
              <a:gd name="T10" fmla="*/ 23 w 197"/>
              <a:gd name="T11" fmla="*/ 97 h 494"/>
              <a:gd name="T12" fmla="*/ 77 w 197"/>
              <a:gd name="T13" fmla="*/ 67 h 494"/>
              <a:gd name="T14" fmla="*/ 120 w 197"/>
              <a:gd name="T15" fmla="*/ 42 h 494"/>
              <a:gd name="T16" fmla="*/ 146 w 197"/>
              <a:gd name="T17" fmla="*/ 27 h 494"/>
              <a:gd name="T18" fmla="*/ 172 w 197"/>
              <a:gd name="T19" fmla="*/ 13 h 494"/>
              <a:gd name="T20" fmla="*/ 186 w 197"/>
              <a:gd name="T21" fmla="*/ 4 h 494"/>
              <a:gd name="T22" fmla="*/ 194 w 197"/>
              <a:gd name="T23" fmla="*/ 0 h 494"/>
              <a:gd name="T24" fmla="*/ 197 w 197"/>
              <a:gd name="T25" fmla="*/ 0 h 494"/>
              <a:gd name="T26" fmla="*/ 196 w 197"/>
              <a:gd name="T27" fmla="*/ 72 h 494"/>
              <a:gd name="T28" fmla="*/ 196 w 197"/>
              <a:gd name="T29" fmla="*/ 343 h 494"/>
              <a:gd name="T30" fmla="*/ 196 w 197"/>
              <a:gd name="T31" fmla="*/ 393 h 494"/>
              <a:gd name="T32" fmla="*/ 190 w 197"/>
              <a:gd name="T33" fmla="*/ 397 h 494"/>
              <a:gd name="T34" fmla="*/ 18 w 197"/>
              <a:gd name="T35" fmla="*/ 491 h 494"/>
              <a:gd name="T36" fmla="*/ 5 w 197"/>
              <a:gd name="T37" fmla="*/ 494 h 494"/>
              <a:gd name="T38" fmla="*/ 1 w 197"/>
              <a:gd name="T39" fmla="*/ 492 h 494"/>
              <a:gd name="T40" fmla="*/ 0 w 197"/>
              <a:gd name="T41" fmla="*/ 188 h 494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197"/>
              <a:gd name="T64" fmla="*/ 0 h 494"/>
              <a:gd name="T65" fmla="*/ 197 w 197"/>
              <a:gd name="T66" fmla="*/ 494 h 494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197" h="494">
                <a:moveTo>
                  <a:pt x="0" y="188"/>
                </a:moveTo>
                <a:lnTo>
                  <a:pt x="0" y="172"/>
                </a:lnTo>
                <a:lnTo>
                  <a:pt x="0" y="121"/>
                </a:lnTo>
                <a:lnTo>
                  <a:pt x="1" y="109"/>
                </a:lnTo>
                <a:lnTo>
                  <a:pt x="8" y="106"/>
                </a:lnTo>
                <a:lnTo>
                  <a:pt x="23" y="97"/>
                </a:lnTo>
                <a:lnTo>
                  <a:pt x="77" y="67"/>
                </a:lnTo>
                <a:lnTo>
                  <a:pt x="120" y="42"/>
                </a:lnTo>
                <a:lnTo>
                  <a:pt x="146" y="27"/>
                </a:lnTo>
                <a:lnTo>
                  <a:pt x="172" y="13"/>
                </a:lnTo>
                <a:lnTo>
                  <a:pt x="186" y="4"/>
                </a:lnTo>
                <a:lnTo>
                  <a:pt x="194" y="0"/>
                </a:lnTo>
                <a:lnTo>
                  <a:pt x="197" y="0"/>
                </a:lnTo>
                <a:lnTo>
                  <a:pt x="196" y="72"/>
                </a:lnTo>
                <a:lnTo>
                  <a:pt x="196" y="343"/>
                </a:lnTo>
                <a:lnTo>
                  <a:pt x="196" y="393"/>
                </a:lnTo>
                <a:lnTo>
                  <a:pt x="190" y="397"/>
                </a:lnTo>
                <a:lnTo>
                  <a:pt x="18" y="491"/>
                </a:lnTo>
                <a:lnTo>
                  <a:pt x="5" y="494"/>
                </a:lnTo>
                <a:lnTo>
                  <a:pt x="1" y="492"/>
                </a:lnTo>
                <a:lnTo>
                  <a:pt x="0" y="188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2700000" scaled="1"/>
          </a:gradFill>
          <a:ln w="5715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470" name="Line 178"/>
          <xdr:cNvSpPr>
            <a:spLocks noChangeShapeType="1"/>
          </xdr:cNvSpPr>
        </xdr:nvSpPr>
        <xdr:spPr bwMode="auto">
          <a:xfrm flipH="1" flipV="1">
            <a:off x="78" y="498"/>
            <a:ext cx="300" cy="17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lg" len="lg"/>
          </a:ln>
        </xdr:spPr>
      </xdr:sp>
    </xdr:grpSp>
    <xdr:clientData/>
  </xdr:twoCellAnchor>
  <xdr:twoCellAnchor>
    <xdr:from>
      <xdr:col>20</xdr:col>
      <xdr:colOff>142875</xdr:colOff>
      <xdr:row>4</xdr:row>
      <xdr:rowOff>152400</xdr:rowOff>
    </xdr:from>
    <xdr:to>
      <xdr:col>37</xdr:col>
      <xdr:colOff>114300</xdr:colOff>
      <xdr:row>49</xdr:row>
      <xdr:rowOff>104775</xdr:rowOff>
    </xdr:to>
    <xdr:grpSp>
      <xdr:nvGrpSpPr>
        <xdr:cNvPr id="119170" name="Group 360"/>
        <xdr:cNvGrpSpPr>
          <a:grpSpLocks/>
        </xdr:cNvGrpSpPr>
      </xdr:nvGrpSpPr>
      <xdr:grpSpPr bwMode="auto">
        <a:xfrm>
          <a:off x="12334875" y="800100"/>
          <a:ext cx="10334625" cy="7239000"/>
          <a:chOff x="1295" y="84"/>
          <a:chExt cx="1085" cy="760"/>
        </a:xfrm>
      </xdr:grpSpPr>
      <xdr:sp macro="" textlink="">
        <xdr:nvSpPr>
          <xdr:cNvPr id="119188" name="AutoShape 181"/>
          <xdr:cNvSpPr>
            <a:spLocks noChangeArrowheads="1"/>
          </xdr:cNvSpPr>
        </xdr:nvSpPr>
        <xdr:spPr bwMode="auto">
          <a:xfrm>
            <a:off x="2064" y="276"/>
            <a:ext cx="291" cy="295"/>
          </a:xfrm>
          <a:prstGeom prst="roundRect">
            <a:avLst>
              <a:gd name="adj" fmla="val 7745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89" name="Freeform 182"/>
          <xdr:cNvSpPr>
            <a:spLocks/>
          </xdr:cNvSpPr>
        </xdr:nvSpPr>
        <xdr:spPr bwMode="auto">
          <a:xfrm>
            <a:off x="1905" y="281"/>
            <a:ext cx="167" cy="166"/>
          </a:xfrm>
          <a:custGeom>
            <a:avLst/>
            <a:gdLst>
              <a:gd name="T0" fmla="*/ 0 w 167"/>
              <a:gd name="T1" fmla="*/ 166 h 166"/>
              <a:gd name="T2" fmla="*/ 167 w 167"/>
              <a:gd name="T3" fmla="*/ 0 h 166"/>
              <a:gd name="T4" fmla="*/ 0 60000 65536"/>
              <a:gd name="T5" fmla="*/ 0 60000 65536"/>
              <a:gd name="T6" fmla="*/ 0 w 167"/>
              <a:gd name="T7" fmla="*/ 0 h 166"/>
              <a:gd name="T8" fmla="*/ 167 w 167"/>
              <a:gd name="T9" fmla="*/ 166 h 16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7" h="166">
                <a:moveTo>
                  <a:pt x="0" y="166"/>
                </a:moveTo>
                <a:lnTo>
                  <a:pt x="167" y="0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0" name="Freeform 183"/>
          <xdr:cNvSpPr>
            <a:spLocks/>
          </xdr:cNvSpPr>
        </xdr:nvSpPr>
        <xdr:spPr bwMode="auto">
          <a:xfrm>
            <a:off x="2184" y="565"/>
            <a:ext cx="165" cy="163"/>
          </a:xfrm>
          <a:custGeom>
            <a:avLst/>
            <a:gdLst>
              <a:gd name="T0" fmla="*/ 0 w 165"/>
              <a:gd name="T1" fmla="*/ 163 h 163"/>
              <a:gd name="T2" fmla="*/ 165 w 165"/>
              <a:gd name="T3" fmla="*/ 0 h 163"/>
              <a:gd name="T4" fmla="*/ 0 60000 65536"/>
              <a:gd name="T5" fmla="*/ 0 60000 65536"/>
              <a:gd name="T6" fmla="*/ 0 w 165"/>
              <a:gd name="T7" fmla="*/ 0 h 163"/>
              <a:gd name="T8" fmla="*/ 165 w 165"/>
              <a:gd name="T9" fmla="*/ 163 h 163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5" h="163">
                <a:moveTo>
                  <a:pt x="0" y="163"/>
                </a:moveTo>
                <a:lnTo>
                  <a:pt x="165" y="0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1" name="AutoShape 184"/>
          <xdr:cNvSpPr>
            <a:spLocks noChangeArrowheads="1"/>
          </xdr:cNvSpPr>
        </xdr:nvSpPr>
        <xdr:spPr bwMode="auto">
          <a:xfrm>
            <a:off x="2069" y="270"/>
            <a:ext cx="291" cy="295"/>
          </a:xfrm>
          <a:prstGeom prst="roundRect">
            <a:avLst>
              <a:gd name="adj" fmla="val 7745"/>
            </a:avLst>
          </a:prstGeom>
          <a:solidFill>
            <a:srgbClr val="66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2" name="Freeform 185"/>
          <xdr:cNvSpPr>
            <a:spLocks/>
          </xdr:cNvSpPr>
        </xdr:nvSpPr>
        <xdr:spPr bwMode="auto">
          <a:xfrm>
            <a:off x="1928" y="396"/>
            <a:ext cx="205" cy="184"/>
          </a:xfrm>
          <a:custGeom>
            <a:avLst/>
            <a:gdLst>
              <a:gd name="T0" fmla="*/ 0 w 205"/>
              <a:gd name="T1" fmla="*/ 183 h 184"/>
              <a:gd name="T2" fmla="*/ 183 w 205"/>
              <a:gd name="T3" fmla="*/ 0 h 184"/>
              <a:gd name="T4" fmla="*/ 205 w 205"/>
              <a:gd name="T5" fmla="*/ 0 h 184"/>
              <a:gd name="T6" fmla="*/ 23 w 205"/>
              <a:gd name="T7" fmla="*/ 184 h 184"/>
              <a:gd name="T8" fmla="*/ 0 w 205"/>
              <a:gd name="T9" fmla="*/ 183 h 18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05"/>
              <a:gd name="T16" fmla="*/ 0 h 184"/>
              <a:gd name="T17" fmla="*/ 205 w 205"/>
              <a:gd name="T18" fmla="*/ 184 h 18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05" h="184">
                <a:moveTo>
                  <a:pt x="0" y="183"/>
                </a:moveTo>
                <a:lnTo>
                  <a:pt x="183" y="0"/>
                </a:lnTo>
                <a:lnTo>
                  <a:pt x="205" y="0"/>
                </a:lnTo>
                <a:lnTo>
                  <a:pt x="23" y="184"/>
                </a:lnTo>
                <a:lnTo>
                  <a:pt x="0" y="183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3" name="Freeform 186"/>
          <xdr:cNvSpPr>
            <a:spLocks/>
          </xdr:cNvSpPr>
        </xdr:nvSpPr>
        <xdr:spPr bwMode="auto">
          <a:xfrm>
            <a:off x="1960" y="396"/>
            <a:ext cx="205" cy="184"/>
          </a:xfrm>
          <a:custGeom>
            <a:avLst/>
            <a:gdLst>
              <a:gd name="T0" fmla="*/ 0 w 205"/>
              <a:gd name="T1" fmla="*/ 183 h 184"/>
              <a:gd name="T2" fmla="*/ 183 w 205"/>
              <a:gd name="T3" fmla="*/ 0 h 184"/>
              <a:gd name="T4" fmla="*/ 205 w 205"/>
              <a:gd name="T5" fmla="*/ 0 h 184"/>
              <a:gd name="T6" fmla="*/ 23 w 205"/>
              <a:gd name="T7" fmla="*/ 184 h 184"/>
              <a:gd name="T8" fmla="*/ 0 w 205"/>
              <a:gd name="T9" fmla="*/ 183 h 18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05"/>
              <a:gd name="T16" fmla="*/ 0 h 184"/>
              <a:gd name="T17" fmla="*/ 205 w 205"/>
              <a:gd name="T18" fmla="*/ 184 h 18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05" h="184">
                <a:moveTo>
                  <a:pt x="0" y="183"/>
                </a:moveTo>
                <a:lnTo>
                  <a:pt x="183" y="0"/>
                </a:lnTo>
                <a:lnTo>
                  <a:pt x="205" y="0"/>
                </a:lnTo>
                <a:lnTo>
                  <a:pt x="23" y="184"/>
                </a:lnTo>
                <a:lnTo>
                  <a:pt x="0" y="183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4" name="Freeform 187"/>
          <xdr:cNvSpPr>
            <a:spLocks/>
          </xdr:cNvSpPr>
        </xdr:nvSpPr>
        <xdr:spPr bwMode="auto">
          <a:xfrm>
            <a:off x="1908" y="276"/>
            <a:ext cx="447" cy="449"/>
          </a:xfrm>
          <a:custGeom>
            <a:avLst/>
            <a:gdLst>
              <a:gd name="T0" fmla="*/ 0 w 447"/>
              <a:gd name="T1" fmla="*/ 206 h 449"/>
              <a:gd name="T2" fmla="*/ 44 w 447"/>
              <a:gd name="T3" fmla="*/ 194 h 449"/>
              <a:gd name="T4" fmla="*/ 12 w 447"/>
              <a:gd name="T5" fmla="*/ 179 h 449"/>
              <a:gd name="T6" fmla="*/ 5 w 447"/>
              <a:gd name="T7" fmla="*/ 164 h 449"/>
              <a:gd name="T8" fmla="*/ 16 w 447"/>
              <a:gd name="T9" fmla="*/ 153 h 449"/>
              <a:gd name="T10" fmla="*/ 24 w 447"/>
              <a:gd name="T11" fmla="*/ 145 h 449"/>
              <a:gd name="T12" fmla="*/ 52 w 447"/>
              <a:gd name="T13" fmla="*/ 117 h 449"/>
              <a:gd name="T14" fmla="*/ 77 w 447"/>
              <a:gd name="T15" fmla="*/ 92 h 449"/>
              <a:gd name="T16" fmla="*/ 95 w 447"/>
              <a:gd name="T17" fmla="*/ 74 h 449"/>
              <a:gd name="T18" fmla="*/ 110 w 447"/>
              <a:gd name="T19" fmla="*/ 59 h 449"/>
              <a:gd name="T20" fmla="*/ 131 w 447"/>
              <a:gd name="T21" fmla="*/ 38 h 449"/>
              <a:gd name="T22" fmla="*/ 144 w 447"/>
              <a:gd name="T23" fmla="*/ 25 h 449"/>
              <a:gd name="T24" fmla="*/ 153 w 447"/>
              <a:gd name="T25" fmla="*/ 16 h 449"/>
              <a:gd name="T26" fmla="*/ 164 w 447"/>
              <a:gd name="T27" fmla="*/ 5 h 449"/>
              <a:gd name="T28" fmla="*/ 174 w 447"/>
              <a:gd name="T29" fmla="*/ 0 h 449"/>
              <a:gd name="T30" fmla="*/ 188 w 447"/>
              <a:gd name="T31" fmla="*/ 0 h 449"/>
              <a:gd name="T32" fmla="*/ 290 w 447"/>
              <a:gd name="T33" fmla="*/ 0 h 449"/>
              <a:gd name="T34" fmla="*/ 386 w 447"/>
              <a:gd name="T35" fmla="*/ 0 h 449"/>
              <a:gd name="T36" fmla="*/ 425 w 447"/>
              <a:gd name="T37" fmla="*/ 0 h 449"/>
              <a:gd name="T38" fmla="*/ 435 w 447"/>
              <a:gd name="T39" fmla="*/ 3 h 449"/>
              <a:gd name="T40" fmla="*/ 442 w 447"/>
              <a:gd name="T41" fmla="*/ 7 h 449"/>
              <a:gd name="T42" fmla="*/ 445 w 447"/>
              <a:gd name="T43" fmla="*/ 14 h 449"/>
              <a:gd name="T44" fmla="*/ 447 w 447"/>
              <a:gd name="T45" fmla="*/ 21 h 449"/>
              <a:gd name="T46" fmla="*/ 447 w 447"/>
              <a:gd name="T47" fmla="*/ 64 h 449"/>
              <a:gd name="T48" fmla="*/ 447 w 447"/>
              <a:gd name="T49" fmla="*/ 174 h 449"/>
              <a:gd name="T50" fmla="*/ 447 w 447"/>
              <a:gd name="T51" fmla="*/ 252 h 449"/>
              <a:gd name="T52" fmla="*/ 447 w 447"/>
              <a:gd name="T53" fmla="*/ 267 h 449"/>
              <a:gd name="T54" fmla="*/ 446 w 447"/>
              <a:gd name="T55" fmla="*/ 280 h 449"/>
              <a:gd name="T56" fmla="*/ 440 w 447"/>
              <a:gd name="T57" fmla="*/ 290 h 449"/>
              <a:gd name="T58" fmla="*/ 435 w 447"/>
              <a:gd name="T59" fmla="*/ 295 h 449"/>
              <a:gd name="T60" fmla="*/ 360 w 447"/>
              <a:gd name="T61" fmla="*/ 370 h 449"/>
              <a:gd name="T62" fmla="*/ 327 w 447"/>
              <a:gd name="T63" fmla="*/ 401 h 449"/>
              <a:gd name="T64" fmla="*/ 316 w 447"/>
              <a:gd name="T65" fmla="*/ 412 h 449"/>
              <a:gd name="T66" fmla="*/ 309 w 447"/>
              <a:gd name="T67" fmla="*/ 419 h 449"/>
              <a:gd name="T68" fmla="*/ 278 w 447"/>
              <a:gd name="T69" fmla="*/ 449 h 449"/>
              <a:gd name="T70" fmla="*/ 191 w 447"/>
              <a:gd name="T71" fmla="*/ 442 h 449"/>
              <a:gd name="T72" fmla="*/ 169 w 447"/>
              <a:gd name="T73" fmla="*/ 426 h 449"/>
              <a:gd name="T74" fmla="*/ 144 w 447"/>
              <a:gd name="T75" fmla="*/ 371 h 449"/>
              <a:gd name="T76" fmla="*/ 144 w 447"/>
              <a:gd name="T77" fmla="*/ 342 h 449"/>
              <a:gd name="T78" fmla="*/ 144 w 447"/>
              <a:gd name="T79" fmla="*/ 322 h 449"/>
              <a:gd name="T80" fmla="*/ 142 w 447"/>
              <a:gd name="T81" fmla="*/ 313 h 449"/>
              <a:gd name="T82" fmla="*/ 134 w 447"/>
              <a:gd name="T83" fmla="*/ 306 h 449"/>
              <a:gd name="T84" fmla="*/ 128 w 447"/>
              <a:gd name="T85" fmla="*/ 302 h 449"/>
              <a:gd name="T86" fmla="*/ 120 w 447"/>
              <a:gd name="T87" fmla="*/ 303 h 449"/>
              <a:gd name="T88" fmla="*/ 112 w 447"/>
              <a:gd name="T89" fmla="*/ 301 h 449"/>
              <a:gd name="T90" fmla="*/ 99 w 447"/>
              <a:gd name="T91" fmla="*/ 302 h 449"/>
              <a:gd name="T92" fmla="*/ 78 w 447"/>
              <a:gd name="T93" fmla="*/ 302 h 449"/>
              <a:gd name="T94" fmla="*/ 25 w 447"/>
              <a:gd name="T95" fmla="*/ 302 h 449"/>
              <a:gd name="T96" fmla="*/ 34 w 447"/>
              <a:gd name="T97" fmla="*/ 311 h 449"/>
              <a:gd name="T98" fmla="*/ 25 w 447"/>
              <a:gd name="T99" fmla="*/ 307 h 449"/>
              <a:gd name="T100" fmla="*/ 8 w 447"/>
              <a:gd name="T101" fmla="*/ 293 h 449"/>
              <a:gd name="T102" fmla="*/ 5 w 447"/>
              <a:gd name="T103" fmla="*/ 276 h 449"/>
              <a:gd name="T104" fmla="*/ 1 w 447"/>
              <a:gd name="T105" fmla="*/ 281 h 449"/>
              <a:gd name="T106" fmla="*/ 7 w 447"/>
              <a:gd name="T107" fmla="*/ 270 h 449"/>
              <a:gd name="T108" fmla="*/ 0 w 447"/>
              <a:gd name="T109" fmla="*/ 206 h 449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w 447"/>
              <a:gd name="T166" fmla="*/ 0 h 449"/>
              <a:gd name="T167" fmla="*/ 447 w 447"/>
              <a:gd name="T168" fmla="*/ 449 h 449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T165" t="T166" r="T167" b="T168"/>
            <a:pathLst>
              <a:path w="447" h="449">
                <a:moveTo>
                  <a:pt x="0" y="206"/>
                </a:moveTo>
                <a:lnTo>
                  <a:pt x="44" y="194"/>
                </a:lnTo>
                <a:lnTo>
                  <a:pt x="12" y="179"/>
                </a:lnTo>
                <a:lnTo>
                  <a:pt x="5" y="164"/>
                </a:lnTo>
                <a:lnTo>
                  <a:pt x="16" y="153"/>
                </a:lnTo>
                <a:lnTo>
                  <a:pt x="24" y="145"/>
                </a:lnTo>
                <a:lnTo>
                  <a:pt x="52" y="117"/>
                </a:lnTo>
                <a:lnTo>
                  <a:pt x="77" y="92"/>
                </a:lnTo>
                <a:lnTo>
                  <a:pt x="95" y="74"/>
                </a:lnTo>
                <a:lnTo>
                  <a:pt x="110" y="59"/>
                </a:lnTo>
                <a:lnTo>
                  <a:pt x="131" y="38"/>
                </a:lnTo>
                <a:lnTo>
                  <a:pt x="144" y="25"/>
                </a:lnTo>
                <a:lnTo>
                  <a:pt x="153" y="16"/>
                </a:lnTo>
                <a:lnTo>
                  <a:pt x="164" y="5"/>
                </a:lnTo>
                <a:lnTo>
                  <a:pt x="174" y="0"/>
                </a:lnTo>
                <a:lnTo>
                  <a:pt x="188" y="0"/>
                </a:lnTo>
                <a:lnTo>
                  <a:pt x="290" y="0"/>
                </a:lnTo>
                <a:lnTo>
                  <a:pt x="386" y="0"/>
                </a:lnTo>
                <a:lnTo>
                  <a:pt x="425" y="0"/>
                </a:lnTo>
                <a:lnTo>
                  <a:pt x="435" y="3"/>
                </a:lnTo>
                <a:lnTo>
                  <a:pt x="442" y="7"/>
                </a:lnTo>
                <a:lnTo>
                  <a:pt x="445" y="14"/>
                </a:lnTo>
                <a:lnTo>
                  <a:pt x="447" y="21"/>
                </a:lnTo>
                <a:lnTo>
                  <a:pt x="447" y="64"/>
                </a:lnTo>
                <a:lnTo>
                  <a:pt x="447" y="174"/>
                </a:lnTo>
                <a:lnTo>
                  <a:pt x="447" y="252"/>
                </a:lnTo>
                <a:lnTo>
                  <a:pt x="447" y="267"/>
                </a:lnTo>
                <a:lnTo>
                  <a:pt x="446" y="280"/>
                </a:lnTo>
                <a:lnTo>
                  <a:pt x="440" y="290"/>
                </a:lnTo>
                <a:lnTo>
                  <a:pt x="435" y="295"/>
                </a:lnTo>
                <a:lnTo>
                  <a:pt x="360" y="370"/>
                </a:lnTo>
                <a:lnTo>
                  <a:pt x="327" y="401"/>
                </a:lnTo>
                <a:lnTo>
                  <a:pt x="316" y="412"/>
                </a:lnTo>
                <a:lnTo>
                  <a:pt x="309" y="419"/>
                </a:lnTo>
                <a:lnTo>
                  <a:pt x="278" y="449"/>
                </a:lnTo>
                <a:lnTo>
                  <a:pt x="191" y="442"/>
                </a:lnTo>
                <a:lnTo>
                  <a:pt x="169" y="426"/>
                </a:lnTo>
                <a:lnTo>
                  <a:pt x="144" y="371"/>
                </a:lnTo>
                <a:lnTo>
                  <a:pt x="144" y="342"/>
                </a:lnTo>
                <a:lnTo>
                  <a:pt x="144" y="322"/>
                </a:lnTo>
                <a:lnTo>
                  <a:pt x="142" y="313"/>
                </a:lnTo>
                <a:cubicBezTo>
                  <a:pt x="135" y="307"/>
                  <a:pt x="137" y="309"/>
                  <a:pt x="134" y="306"/>
                </a:cubicBezTo>
                <a:lnTo>
                  <a:pt x="128" y="302"/>
                </a:lnTo>
                <a:lnTo>
                  <a:pt x="120" y="303"/>
                </a:lnTo>
                <a:lnTo>
                  <a:pt x="112" y="301"/>
                </a:lnTo>
                <a:lnTo>
                  <a:pt x="99" y="302"/>
                </a:lnTo>
                <a:lnTo>
                  <a:pt x="78" y="302"/>
                </a:lnTo>
                <a:lnTo>
                  <a:pt x="25" y="302"/>
                </a:lnTo>
                <a:lnTo>
                  <a:pt x="34" y="311"/>
                </a:lnTo>
                <a:lnTo>
                  <a:pt x="25" y="307"/>
                </a:lnTo>
                <a:lnTo>
                  <a:pt x="8" y="293"/>
                </a:lnTo>
                <a:lnTo>
                  <a:pt x="5" y="276"/>
                </a:lnTo>
                <a:lnTo>
                  <a:pt x="1" y="281"/>
                </a:lnTo>
                <a:lnTo>
                  <a:pt x="7" y="270"/>
                </a:lnTo>
                <a:lnTo>
                  <a:pt x="0" y="206"/>
                </a:lnTo>
                <a:close/>
              </a:path>
            </a:pathLst>
          </a:custGeom>
          <a:gradFill rotWithShape="1">
            <a:gsLst>
              <a:gs pos="0">
                <a:srgbClr val="69FFFF"/>
              </a:gs>
              <a:gs pos="100000">
                <a:srgbClr val="CCFFCC"/>
              </a:gs>
            </a:gsLst>
            <a:lin ang="189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5" name="AutoShape 188"/>
          <xdr:cNvSpPr>
            <a:spLocks noChangeArrowheads="1"/>
          </xdr:cNvSpPr>
        </xdr:nvSpPr>
        <xdr:spPr bwMode="auto">
          <a:xfrm>
            <a:off x="1933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196" name="Group 189"/>
          <xdr:cNvGrpSpPr>
            <a:grpSpLocks/>
          </xdr:cNvGrpSpPr>
        </xdr:nvGrpSpPr>
        <xdr:grpSpPr bwMode="auto">
          <a:xfrm flipV="1">
            <a:off x="1937" y="723"/>
            <a:ext cx="23" cy="9"/>
            <a:chOff x="146" y="875"/>
            <a:chExt cx="23" cy="9"/>
          </a:xfrm>
        </xdr:grpSpPr>
        <xdr:sp macro="" textlink="">
          <xdr:nvSpPr>
            <xdr:cNvPr id="119351" name="Line 190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52" name="Line 191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19197" name="Group 192"/>
          <xdr:cNvGrpSpPr>
            <a:grpSpLocks/>
          </xdr:cNvGrpSpPr>
        </xdr:nvGrpSpPr>
        <xdr:grpSpPr bwMode="auto">
          <a:xfrm>
            <a:off x="2125" y="442"/>
            <a:ext cx="32" cy="290"/>
            <a:chOff x="141" y="875"/>
            <a:chExt cx="32" cy="290"/>
          </a:xfrm>
        </xdr:grpSpPr>
        <xdr:sp macro="" textlink="">
          <xdr:nvSpPr>
            <xdr:cNvPr id="119344" name="AutoShape 193"/>
            <xdr:cNvSpPr>
              <a:spLocks noChangeArrowheads="1"/>
            </xdr:cNvSpPr>
          </xdr:nvSpPr>
          <xdr:spPr bwMode="auto">
            <a:xfrm>
              <a:off x="141" y="884"/>
              <a:ext cx="32" cy="272"/>
            </a:xfrm>
            <a:prstGeom prst="roundRect">
              <a:avLst>
                <a:gd name="adj" fmla="val 1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grpSp>
          <xdr:nvGrpSpPr>
            <xdr:cNvPr id="119345" name="Group 194"/>
            <xdr:cNvGrpSpPr>
              <a:grpSpLocks/>
            </xdr:cNvGrpSpPr>
          </xdr:nvGrpSpPr>
          <xdr:grpSpPr bwMode="auto">
            <a:xfrm>
              <a:off x="146" y="875"/>
              <a:ext cx="23" cy="9"/>
              <a:chOff x="146" y="875"/>
              <a:chExt cx="23" cy="9"/>
            </a:xfrm>
          </xdr:grpSpPr>
          <xdr:sp macro="" textlink="">
            <xdr:nvSpPr>
              <xdr:cNvPr id="119349" name="Line 195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350" name="Line 196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19346" name="Group 197"/>
            <xdr:cNvGrpSpPr>
              <a:grpSpLocks/>
            </xdr:cNvGrpSpPr>
          </xdr:nvGrpSpPr>
          <xdr:grpSpPr bwMode="auto">
            <a:xfrm flipV="1">
              <a:off x="145" y="1156"/>
              <a:ext cx="23" cy="9"/>
              <a:chOff x="146" y="875"/>
              <a:chExt cx="23" cy="9"/>
            </a:xfrm>
          </xdr:grpSpPr>
          <xdr:sp macro="" textlink="">
            <xdr:nvSpPr>
              <xdr:cNvPr id="119347" name="Line 198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348" name="Line 199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19198" name="AutoShape 200"/>
          <xdr:cNvSpPr>
            <a:spLocks noChangeArrowheads="1"/>
          </xdr:cNvSpPr>
        </xdr:nvSpPr>
        <xdr:spPr bwMode="auto">
          <a:xfrm>
            <a:off x="2157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99" name="Line 201"/>
          <xdr:cNvSpPr>
            <a:spLocks noChangeShapeType="1"/>
          </xdr:cNvSpPr>
        </xdr:nvSpPr>
        <xdr:spPr bwMode="auto">
          <a:xfrm flipV="1">
            <a:off x="2173" y="445"/>
            <a:ext cx="0" cy="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0" name="Line 202"/>
          <xdr:cNvSpPr>
            <a:spLocks noChangeShapeType="1"/>
          </xdr:cNvSpPr>
        </xdr:nvSpPr>
        <xdr:spPr bwMode="auto">
          <a:xfrm>
            <a:off x="2162" y="442"/>
            <a:ext cx="23" cy="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1" name="Line 203"/>
          <xdr:cNvSpPr>
            <a:spLocks noChangeShapeType="1"/>
          </xdr:cNvSpPr>
        </xdr:nvSpPr>
        <xdr:spPr bwMode="auto">
          <a:xfrm>
            <a:off x="2172" y="723"/>
            <a:ext cx="1" cy="5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2" name="Line 204"/>
          <xdr:cNvSpPr>
            <a:spLocks noChangeShapeType="1"/>
          </xdr:cNvSpPr>
        </xdr:nvSpPr>
        <xdr:spPr bwMode="auto">
          <a:xfrm flipV="1">
            <a:off x="2161" y="727"/>
            <a:ext cx="23" cy="5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3" name="AutoShape 205"/>
          <xdr:cNvSpPr>
            <a:spLocks noChangeArrowheads="1"/>
          </xdr:cNvSpPr>
        </xdr:nvSpPr>
        <xdr:spPr bwMode="auto">
          <a:xfrm>
            <a:off x="1902" y="460"/>
            <a:ext cx="31" cy="253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4" name="AutoShape 206"/>
          <xdr:cNvSpPr>
            <a:spLocks noChangeArrowheads="1"/>
          </xdr:cNvSpPr>
        </xdr:nvSpPr>
        <xdr:spPr bwMode="auto">
          <a:xfrm>
            <a:off x="1904" y="436"/>
            <a:ext cx="291" cy="295"/>
          </a:xfrm>
          <a:prstGeom prst="roundRect">
            <a:avLst>
              <a:gd name="adj" fmla="val 7745"/>
            </a:avLst>
          </a:prstGeom>
          <a:solidFill>
            <a:srgbClr val="66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05" name="AutoShape 207"/>
          <xdr:cNvSpPr>
            <a:spLocks noChangeArrowheads="1"/>
          </xdr:cNvSpPr>
        </xdr:nvSpPr>
        <xdr:spPr bwMode="auto">
          <a:xfrm>
            <a:off x="1997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06" name="Group 208"/>
          <xdr:cNvGrpSpPr>
            <a:grpSpLocks/>
          </xdr:cNvGrpSpPr>
        </xdr:nvGrpSpPr>
        <xdr:grpSpPr bwMode="auto">
          <a:xfrm flipV="1">
            <a:off x="2001" y="723"/>
            <a:ext cx="23" cy="9"/>
            <a:chOff x="146" y="875"/>
            <a:chExt cx="23" cy="9"/>
          </a:xfrm>
        </xdr:grpSpPr>
        <xdr:sp macro="" textlink="">
          <xdr:nvSpPr>
            <xdr:cNvPr id="119342" name="Line 209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43" name="Line 210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07" name="AutoShape 211"/>
          <xdr:cNvSpPr>
            <a:spLocks noChangeArrowheads="1"/>
          </xdr:cNvSpPr>
        </xdr:nvSpPr>
        <xdr:spPr bwMode="auto">
          <a:xfrm>
            <a:off x="2029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08" name="Group 212"/>
          <xdr:cNvGrpSpPr>
            <a:grpSpLocks/>
          </xdr:cNvGrpSpPr>
        </xdr:nvGrpSpPr>
        <xdr:grpSpPr bwMode="auto">
          <a:xfrm flipV="1">
            <a:off x="2033" y="723"/>
            <a:ext cx="23" cy="9"/>
            <a:chOff x="146" y="875"/>
            <a:chExt cx="23" cy="9"/>
          </a:xfrm>
        </xdr:grpSpPr>
        <xdr:sp macro="" textlink="">
          <xdr:nvSpPr>
            <xdr:cNvPr id="119340" name="Line 213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41" name="Line 214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09" name="AutoShape 215"/>
          <xdr:cNvSpPr>
            <a:spLocks noChangeArrowheads="1"/>
          </xdr:cNvSpPr>
        </xdr:nvSpPr>
        <xdr:spPr bwMode="auto">
          <a:xfrm>
            <a:off x="2061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10" name="Group 216"/>
          <xdr:cNvGrpSpPr>
            <a:grpSpLocks/>
          </xdr:cNvGrpSpPr>
        </xdr:nvGrpSpPr>
        <xdr:grpSpPr bwMode="auto">
          <a:xfrm flipV="1">
            <a:off x="2065" y="723"/>
            <a:ext cx="23" cy="9"/>
            <a:chOff x="146" y="875"/>
            <a:chExt cx="23" cy="9"/>
          </a:xfrm>
        </xdr:grpSpPr>
        <xdr:sp macro="" textlink="">
          <xdr:nvSpPr>
            <xdr:cNvPr id="119338" name="Line 217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39" name="Line 218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19211" name="Group 219"/>
          <xdr:cNvGrpSpPr>
            <a:grpSpLocks/>
          </xdr:cNvGrpSpPr>
        </xdr:nvGrpSpPr>
        <xdr:grpSpPr bwMode="auto">
          <a:xfrm>
            <a:off x="2093" y="442"/>
            <a:ext cx="32" cy="290"/>
            <a:chOff x="141" y="875"/>
            <a:chExt cx="32" cy="290"/>
          </a:xfrm>
        </xdr:grpSpPr>
        <xdr:sp macro="" textlink="">
          <xdr:nvSpPr>
            <xdr:cNvPr id="119331" name="AutoShape 220"/>
            <xdr:cNvSpPr>
              <a:spLocks noChangeArrowheads="1"/>
            </xdr:cNvSpPr>
          </xdr:nvSpPr>
          <xdr:spPr bwMode="auto">
            <a:xfrm>
              <a:off x="141" y="884"/>
              <a:ext cx="32" cy="272"/>
            </a:xfrm>
            <a:prstGeom prst="roundRect">
              <a:avLst>
                <a:gd name="adj" fmla="val 1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grpSp>
          <xdr:nvGrpSpPr>
            <xdr:cNvPr id="119332" name="Group 221"/>
            <xdr:cNvGrpSpPr>
              <a:grpSpLocks/>
            </xdr:cNvGrpSpPr>
          </xdr:nvGrpSpPr>
          <xdr:grpSpPr bwMode="auto">
            <a:xfrm>
              <a:off x="146" y="875"/>
              <a:ext cx="23" cy="9"/>
              <a:chOff x="146" y="875"/>
              <a:chExt cx="23" cy="9"/>
            </a:xfrm>
          </xdr:grpSpPr>
          <xdr:sp macro="" textlink="">
            <xdr:nvSpPr>
              <xdr:cNvPr id="119336" name="Line 222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337" name="Line 223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19333" name="Group 224"/>
            <xdr:cNvGrpSpPr>
              <a:grpSpLocks/>
            </xdr:cNvGrpSpPr>
          </xdr:nvGrpSpPr>
          <xdr:grpSpPr bwMode="auto">
            <a:xfrm flipV="1">
              <a:off x="145" y="1156"/>
              <a:ext cx="23" cy="9"/>
              <a:chOff x="146" y="875"/>
              <a:chExt cx="23" cy="9"/>
            </a:xfrm>
          </xdr:grpSpPr>
          <xdr:sp macro="" textlink="">
            <xdr:nvSpPr>
              <xdr:cNvPr id="119334" name="Line 225"/>
              <xdr:cNvSpPr>
                <a:spLocks noChangeShapeType="1"/>
              </xdr:cNvSpPr>
            </xdr:nvSpPr>
            <xdr:spPr bwMode="auto">
              <a:xfrm flipV="1">
                <a:off x="157" y="875"/>
                <a:ext cx="0" cy="9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19335" name="Line 226"/>
              <xdr:cNvSpPr>
                <a:spLocks noChangeShapeType="1"/>
              </xdr:cNvSpPr>
            </xdr:nvSpPr>
            <xdr:spPr bwMode="auto">
              <a:xfrm>
                <a:off x="146" y="875"/>
                <a:ext cx="23" cy="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19212" name="AutoShape 227"/>
          <xdr:cNvSpPr>
            <a:spLocks noChangeArrowheads="1"/>
          </xdr:cNvSpPr>
        </xdr:nvSpPr>
        <xdr:spPr bwMode="auto">
          <a:xfrm>
            <a:off x="1965" y="451"/>
            <a:ext cx="32" cy="272"/>
          </a:xfrm>
          <a:prstGeom prst="roundRect">
            <a:avLst>
              <a:gd name="adj" fmla="val 16667"/>
            </a:avLst>
          </a:prstGeom>
          <a:solidFill>
            <a:srgbClr val="69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13" name="Group 228"/>
          <xdr:cNvGrpSpPr>
            <a:grpSpLocks/>
          </xdr:cNvGrpSpPr>
        </xdr:nvGrpSpPr>
        <xdr:grpSpPr bwMode="auto">
          <a:xfrm flipV="1">
            <a:off x="1969" y="723"/>
            <a:ext cx="23" cy="9"/>
            <a:chOff x="146" y="875"/>
            <a:chExt cx="23" cy="9"/>
          </a:xfrm>
        </xdr:grpSpPr>
        <xdr:sp macro="" textlink="">
          <xdr:nvSpPr>
            <xdr:cNvPr id="119329" name="Line 229"/>
            <xdr:cNvSpPr>
              <a:spLocks noChangeShapeType="1"/>
            </xdr:cNvSpPr>
          </xdr:nvSpPr>
          <xdr:spPr bwMode="auto">
            <a:xfrm flipV="1">
              <a:off x="157" y="875"/>
              <a:ext cx="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30" name="Line 230"/>
            <xdr:cNvSpPr>
              <a:spLocks noChangeShapeType="1"/>
            </xdr:cNvSpPr>
          </xdr:nvSpPr>
          <xdr:spPr bwMode="auto">
            <a:xfrm>
              <a:off x="146" y="875"/>
              <a:ext cx="23" cy="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14" name="Rectangle 231"/>
          <xdr:cNvSpPr>
            <a:spLocks noChangeArrowheads="1"/>
          </xdr:cNvSpPr>
        </xdr:nvSpPr>
        <xdr:spPr bwMode="auto">
          <a:xfrm>
            <a:off x="1978" y="461"/>
            <a:ext cx="22" cy="252"/>
          </a:xfrm>
          <a:prstGeom prst="rect">
            <a:avLst/>
          </a:prstGeom>
          <a:gradFill rotWithShape="1">
            <a:gsLst>
              <a:gs pos="0">
                <a:srgbClr val="C0C0C0"/>
              </a:gs>
              <a:gs pos="5000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215" name="Rectangle 232"/>
          <xdr:cNvSpPr>
            <a:spLocks noChangeArrowheads="1"/>
          </xdr:cNvSpPr>
        </xdr:nvSpPr>
        <xdr:spPr bwMode="auto">
          <a:xfrm>
            <a:off x="2040" y="461"/>
            <a:ext cx="22" cy="252"/>
          </a:xfrm>
          <a:prstGeom prst="rect">
            <a:avLst/>
          </a:prstGeom>
          <a:gradFill rotWithShape="1">
            <a:gsLst>
              <a:gs pos="0">
                <a:srgbClr val="C0C0C0"/>
              </a:gs>
              <a:gs pos="5000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216" name="AutoShape 233"/>
          <xdr:cNvSpPr>
            <a:spLocks noChangeArrowheads="1"/>
          </xdr:cNvSpPr>
        </xdr:nvSpPr>
        <xdr:spPr bwMode="auto">
          <a:xfrm>
            <a:off x="1899" y="570"/>
            <a:ext cx="291" cy="166"/>
          </a:xfrm>
          <a:prstGeom prst="roundRect">
            <a:avLst>
              <a:gd name="adj" fmla="val 7745"/>
            </a:avLst>
          </a:pr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217" name="Freeform 234"/>
          <xdr:cNvSpPr>
            <a:spLocks/>
          </xdr:cNvSpPr>
        </xdr:nvSpPr>
        <xdr:spPr bwMode="auto">
          <a:xfrm>
            <a:off x="1899" y="440"/>
            <a:ext cx="75" cy="160"/>
          </a:xfrm>
          <a:custGeom>
            <a:avLst/>
            <a:gdLst>
              <a:gd name="T0" fmla="*/ 79 w 79"/>
              <a:gd name="T1" fmla="*/ 1 h 131"/>
              <a:gd name="T2" fmla="*/ 79 w 79"/>
              <a:gd name="T3" fmla="*/ 117 h 131"/>
              <a:gd name="T4" fmla="*/ 0 w 79"/>
              <a:gd name="T5" fmla="*/ 131 h 131"/>
              <a:gd name="T6" fmla="*/ 0 w 79"/>
              <a:gd name="T7" fmla="*/ 67 h 131"/>
              <a:gd name="T8" fmla="*/ 0 w 79"/>
              <a:gd name="T9" fmla="*/ 34 h 131"/>
              <a:gd name="T10" fmla="*/ 0 w 79"/>
              <a:gd name="T11" fmla="*/ 19 h 131"/>
              <a:gd name="T12" fmla="*/ 3 w 79"/>
              <a:gd name="T13" fmla="*/ 12 h 131"/>
              <a:gd name="T14" fmla="*/ 10 w 79"/>
              <a:gd name="T15" fmla="*/ 3 h 131"/>
              <a:gd name="T16" fmla="*/ 18 w 79"/>
              <a:gd name="T17" fmla="*/ 0 h 131"/>
              <a:gd name="T18" fmla="*/ 30 w 79"/>
              <a:gd name="T19" fmla="*/ 0 h 131"/>
              <a:gd name="T20" fmla="*/ 79 w 79"/>
              <a:gd name="T21" fmla="*/ 1 h 131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79"/>
              <a:gd name="T34" fmla="*/ 0 h 131"/>
              <a:gd name="T35" fmla="*/ 79 w 79"/>
              <a:gd name="T36" fmla="*/ 131 h 131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79" h="131">
                <a:moveTo>
                  <a:pt x="79" y="1"/>
                </a:moveTo>
                <a:lnTo>
                  <a:pt x="79" y="117"/>
                </a:lnTo>
                <a:lnTo>
                  <a:pt x="0" y="131"/>
                </a:lnTo>
                <a:lnTo>
                  <a:pt x="0" y="67"/>
                </a:lnTo>
                <a:lnTo>
                  <a:pt x="0" y="34"/>
                </a:lnTo>
                <a:lnTo>
                  <a:pt x="0" y="19"/>
                </a:lnTo>
                <a:lnTo>
                  <a:pt x="3" y="12"/>
                </a:lnTo>
                <a:lnTo>
                  <a:pt x="10" y="3"/>
                </a:lnTo>
                <a:lnTo>
                  <a:pt x="18" y="0"/>
                </a:lnTo>
                <a:lnTo>
                  <a:pt x="30" y="0"/>
                </a:lnTo>
                <a:lnTo>
                  <a:pt x="79" y="1"/>
                </a:lnTo>
                <a:close/>
              </a:path>
            </a:pathLst>
          </a:cu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grpSp>
        <xdr:nvGrpSpPr>
          <xdr:cNvPr id="119218" name="Group 235"/>
          <xdr:cNvGrpSpPr>
            <a:grpSpLocks/>
          </xdr:cNvGrpSpPr>
        </xdr:nvGrpSpPr>
        <xdr:grpSpPr bwMode="auto">
          <a:xfrm>
            <a:off x="1906" y="483"/>
            <a:ext cx="60" cy="54"/>
            <a:chOff x="73" y="1039"/>
            <a:chExt cx="60" cy="54"/>
          </a:xfrm>
        </xdr:grpSpPr>
        <xdr:sp macro="" textlink="">
          <xdr:nvSpPr>
            <xdr:cNvPr id="119316" name="AutoShape 236"/>
            <xdr:cNvSpPr>
              <a:spLocks noChangeArrowheads="1"/>
            </xdr:cNvSpPr>
          </xdr:nvSpPr>
          <xdr:spPr bwMode="auto">
            <a:xfrm>
              <a:off x="77" y="1039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317" name="AutoShape 237"/>
            <xdr:cNvSpPr>
              <a:spLocks noChangeArrowheads="1"/>
            </xdr:cNvSpPr>
          </xdr:nvSpPr>
          <xdr:spPr bwMode="auto">
            <a:xfrm>
              <a:off x="73" y="1041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318" name="Oval 238"/>
            <xdr:cNvSpPr>
              <a:spLocks noChangeArrowheads="1"/>
            </xdr:cNvSpPr>
          </xdr:nvSpPr>
          <xdr:spPr bwMode="auto">
            <a:xfrm>
              <a:off x="88" y="105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9" name="Line 239"/>
            <xdr:cNvSpPr>
              <a:spLocks noChangeShapeType="1"/>
            </xdr:cNvSpPr>
          </xdr:nvSpPr>
          <xdr:spPr bwMode="auto">
            <a:xfrm flipV="1">
              <a:off x="77" y="1056"/>
              <a:ext cx="15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0" name="Oval 240"/>
            <xdr:cNvSpPr>
              <a:spLocks noChangeArrowheads="1"/>
            </xdr:cNvSpPr>
          </xdr:nvSpPr>
          <xdr:spPr bwMode="auto">
            <a:xfrm>
              <a:off x="86" y="105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1" name="Oval 241"/>
            <xdr:cNvSpPr>
              <a:spLocks noChangeArrowheads="1"/>
            </xdr:cNvSpPr>
          </xdr:nvSpPr>
          <xdr:spPr bwMode="auto">
            <a:xfrm>
              <a:off x="84" y="105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2" name="Oval 242"/>
            <xdr:cNvSpPr>
              <a:spLocks noChangeArrowheads="1"/>
            </xdr:cNvSpPr>
          </xdr:nvSpPr>
          <xdr:spPr bwMode="auto">
            <a:xfrm>
              <a:off x="82" y="1058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3" name="Oval 243"/>
            <xdr:cNvSpPr>
              <a:spLocks noChangeArrowheads="1"/>
            </xdr:cNvSpPr>
          </xdr:nvSpPr>
          <xdr:spPr bwMode="auto">
            <a:xfrm>
              <a:off x="80" y="1060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4" name="Oval 244"/>
            <xdr:cNvSpPr>
              <a:spLocks noChangeArrowheads="1"/>
            </xdr:cNvSpPr>
          </xdr:nvSpPr>
          <xdr:spPr bwMode="auto">
            <a:xfrm>
              <a:off x="78" y="106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5" name="Oval 245"/>
            <xdr:cNvSpPr>
              <a:spLocks noChangeArrowheads="1"/>
            </xdr:cNvSpPr>
          </xdr:nvSpPr>
          <xdr:spPr bwMode="auto">
            <a:xfrm>
              <a:off x="76" y="106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6" name="Oval 246"/>
            <xdr:cNvSpPr>
              <a:spLocks noChangeArrowheads="1"/>
            </xdr:cNvSpPr>
          </xdr:nvSpPr>
          <xdr:spPr bwMode="auto">
            <a:xfrm>
              <a:off x="74" y="106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7" name="Freeform 247"/>
            <xdr:cNvSpPr>
              <a:spLocks/>
            </xdr:cNvSpPr>
          </xdr:nvSpPr>
          <xdr:spPr bwMode="auto">
            <a:xfrm>
              <a:off x="87" y="1039"/>
              <a:ext cx="32" cy="2"/>
            </a:xfrm>
            <a:custGeom>
              <a:avLst/>
              <a:gdLst>
                <a:gd name="T0" fmla="*/ 0 w 32"/>
                <a:gd name="T1" fmla="*/ 2 h 2"/>
                <a:gd name="T2" fmla="*/ 5 w 32"/>
                <a:gd name="T3" fmla="*/ 0 h 2"/>
                <a:gd name="T4" fmla="*/ 32 w 32"/>
                <a:gd name="T5" fmla="*/ 0 h 2"/>
                <a:gd name="T6" fmla="*/ 28 w 32"/>
                <a:gd name="T7" fmla="*/ 2 h 2"/>
                <a:gd name="T8" fmla="*/ 0 w 32"/>
                <a:gd name="T9" fmla="*/ 2 h 2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32"/>
                <a:gd name="T16" fmla="*/ 0 h 2"/>
                <a:gd name="T17" fmla="*/ 32 w 32"/>
                <a:gd name="T18" fmla="*/ 2 h 2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32" h="2">
                  <a:moveTo>
                    <a:pt x="0" y="2"/>
                  </a:moveTo>
                  <a:lnTo>
                    <a:pt x="5" y="0"/>
                  </a:lnTo>
                  <a:lnTo>
                    <a:pt x="32" y="0"/>
                  </a:lnTo>
                  <a:lnTo>
                    <a:pt x="28" y="2"/>
                  </a:lnTo>
                  <a:lnTo>
                    <a:pt x="0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28" name="Freeform 248"/>
            <xdr:cNvSpPr>
              <a:spLocks/>
            </xdr:cNvSpPr>
          </xdr:nvSpPr>
          <xdr:spPr bwMode="auto">
            <a:xfrm>
              <a:off x="115" y="1063"/>
              <a:ext cx="18" cy="26"/>
            </a:xfrm>
            <a:custGeom>
              <a:avLst/>
              <a:gdLst>
                <a:gd name="T0" fmla="*/ 14 w 18"/>
                <a:gd name="T1" fmla="*/ 2 h 26"/>
                <a:gd name="T2" fmla="*/ 18 w 18"/>
                <a:gd name="T3" fmla="*/ 0 h 26"/>
                <a:gd name="T4" fmla="*/ 4 w 18"/>
                <a:gd name="T5" fmla="*/ 24 h 26"/>
                <a:gd name="T6" fmla="*/ 0 w 18"/>
                <a:gd name="T7" fmla="*/ 26 h 26"/>
                <a:gd name="T8" fmla="*/ 14 w 18"/>
                <a:gd name="T9" fmla="*/ 2 h 26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8"/>
                <a:gd name="T16" fmla="*/ 0 h 26"/>
                <a:gd name="T17" fmla="*/ 18 w 18"/>
                <a:gd name="T18" fmla="*/ 26 h 26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8" h="26">
                  <a:moveTo>
                    <a:pt x="14" y="2"/>
                  </a:moveTo>
                  <a:lnTo>
                    <a:pt x="18" y="0"/>
                  </a:lnTo>
                  <a:lnTo>
                    <a:pt x="4" y="24"/>
                  </a:lnTo>
                  <a:lnTo>
                    <a:pt x="0" y="26"/>
                  </a:lnTo>
                  <a:lnTo>
                    <a:pt x="14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19" name="AutoShape 249"/>
          <xdr:cNvSpPr>
            <a:spLocks noChangeArrowheads="1"/>
          </xdr:cNvSpPr>
        </xdr:nvSpPr>
        <xdr:spPr bwMode="auto">
          <a:xfrm>
            <a:off x="2088" y="441"/>
            <a:ext cx="102" cy="167"/>
          </a:xfrm>
          <a:prstGeom prst="roundRect">
            <a:avLst>
              <a:gd name="adj" fmla="val 21569"/>
            </a:avLst>
          </a:pr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220" name="AutoShape 250"/>
          <xdr:cNvSpPr>
            <a:spLocks noChangeArrowheads="1"/>
          </xdr:cNvSpPr>
        </xdr:nvSpPr>
        <xdr:spPr bwMode="auto">
          <a:xfrm>
            <a:off x="1899" y="441"/>
            <a:ext cx="291" cy="295"/>
          </a:xfrm>
          <a:prstGeom prst="roundRect">
            <a:avLst>
              <a:gd name="adj" fmla="val 7745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21" name="Group 251"/>
          <xdr:cNvGrpSpPr>
            <a:grpSpLocks/>
          </xdr:cNvGrpSpPr>
        </xdr:nvGrpSpPr>
        <xdr:grpSpPr bwMode="auto">
          <a:xfrm>
            <a:off x="2126" y="649"/>
            <a:ext cx="60" cy="54"/>
            <a:chOff x="73" y="1039"/>
            <a:chExt cx="60" cy="54"/>
          </a:xfrm>
        </xdr:grpSpPr>
        <xdr:sp macro="" textlink="">
          <xdr:nvSpPr>
            <xdr:cNvPr id="119303" name="AutoShape 252"/>
            <xdr:cNvSpPr>
              <a:spLocks noChangeArrowheads="1"/>
            </xdr:cNvSpPr>
          </xdr:nvSpPr>
          <xdr:spPr bwMode="auto">
            <a:xfrm>
              <a:off x="77" y="1039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304" name="AutoShape 253"/>
            <xdr:cNvSpPr>
              <a:spLocks noChangeArrowheads="1"/>
            </xdr:cNvSpPr>
          </xdr:nvSpPr>
          <xdr:spPr bwMode="auto">
            <a:xfrm>
              <a:off x="73" y="1041"/>
              <a:ext cx="56" cy="48"/>
            </a:xfrm>
            <a:prstGeom prst="hexagon">
              <a:avLst>
                <a:gd name="adj" fmla="val 29167"/>
                <a:gd name="vf" fmla="val 115470"/>
              </a:avLst>
            </a:prstGeom>
            <a:solidFill>
              <a:srgbClr val="FFCC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305" name="Oval 254"/>
            <xdr:cNvSpPr>
              <a:spLocks noChangeArrowheads="1"/>
            </xdr:cNvSpPr>
          </xdr:nvSpPr>
          <xdr:spPr bwMode="auto">
            <a:xfrm>
              <a:off x="88" y="105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06" name="Line 255"/>
            <xdr:cNvSpPr>
              <a:spLocks noChangeShapeType="1"/>
            </xdr:cNvSpPr>
          </xdr:nvSpPr>
          <xdr:spPr bwMode="auto">
            <a:xfrm flipV="1">
              <a:off x="77" y="1056"/>
              <a:ext cx="15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07" name="Oval 256"/>
            <xdr:cNvSpPr>
              <a:spLocks noChangeArrowheads="1"/>
            </xdr:cNvSpPr>
          </xdr:nvSpPr>
          <xdr:spPr bwMode="auto">
            <a:xfrm>
              <a:off x="86" y="105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08" name="Oval 257"/>
            <xdr:cNvSpPr>
              <a:spLocks noChangeArrowheads="1"/>
            </xdr:cNvSpPr>
          </xdr:nvSpPr>
          <xdr:spPr bwMode="auto">
            <a:xfrm>
              <a:off x="84" y="105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09" name="Oval 258"/>
            <xdr:cNvSpPr>
              <a:spLocks noChangeArrowheads="1"/>
            </xdr:cNvSpPr>
          </xdr:nvSpPr>
          <xdr:spPr bwMode="auto">
            <a:xfrm>
              <a:off x="82" y="1058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0" name="Oval 259"/>
            <xdr:cNvSpPr>
              <a:spLocks noChangeArrowheads="1"/>
            </xdr:cNvSpPr>
          </xdr:nvSpPr>
          <xdr:spPr bwMode="auto">
            <a:xfrm>
              <a:off x="80" y="1060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1" name="Oval 260"/>
            <xdr:cNvSpPr>
              <a:spLocks noChangeArrowheads="1"/>
            </xdr:cNvSpPr>
          </xdr:nvSpPr>
          <xdr:spPr bwMode="auto">
            <a:xfrm>
              <a:off x="78" y="1062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2" name="Oval 261"/>
            <xdr:cNvSpPr>
              <a:spLocks noChangeArrowheads="1"/>
            </xdr:cNvSpPr>
          </xdr:nvSpPr>
          <xdr:spPr bwMode="auto">
            <a:xfrm>
              <a:off x="76" y="1064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3" name="Oval 262"/>
            <xdr:cNvSpPr>
              <a:spLocks noChangeArrowheads="1"/>
            </xdr:cNvSpPr>
          </xdr:nvSpPr>
          <xdr:spPr bwMode="auto">
            <a:xfrm>
              <a:off x="74" y="1066"/>
              <a:ext cx="27" cy="27"/>
            </a:xfrm>
            <a:prstGeom prst="ellipse">
              <a:avLst/>
            </a:pr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4" name="Freeform 263"/>
            <xdr:cNvSpPr>
              <a:spLocks/>
            </xdr:cNvSpPr>
          </xdr:nvSpPr>
          <xdr:spPr bwMode="auto">
            <a:xfrm>
              <a:off x="87" y="1039"/>
              <a:ext cx="32" cy="2"/>
            </a:xfrm>
            <a:custGeom>
              <a:avLst/>
              <a:gdLst>
                <a:gd name="T0" fmla="*/ 0 w 32"/>
                <a:gd name="T1" fmla="*/ 2 h 2"/>
                <a:gd name="T2" fmla="*/ 5 w 32"/>
                <a:gd name="T3" fmla="*/ 0 h 2"/>
                <a:gd name="T4" fmla="*/ 32 w 32"/>
                <a:gd name="T5" fmla="*/ 0 h 2"/>
                <a:gd name="T6" fmla="*/ 28 w 32"/>
                <a:gd name="T7" fmla="*/ 2 h 2"/>
                <a:gd name="T8" fmla="*/ 0 w 32"/>
                <a:gd name="T9" fmla="*/ 2 h 2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32"/>
                <a:gd name="T16" fmla="*/ 0 h 2"/>
                <a:gd name="T17" fmla="*/ 32 w 32"/>
                <a:gd name="T18" fmla="*/ 2 h 2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32" h="2">
                  <a:moveTo>
                    <a:pt x="0" y="2"/>
                  </a:moveTo>
                  <a:lnTo>
                    <a:pt x="5" y="0"/>
                  </a:lnTo>
                  <a:lnTo>
                    <a:pt x="32" y="0"/>
                  </a:lnTo>
                  <a:lnTo>
                    <a:pt x="28" y="2"/>
                  </a:lnTo>
                  <a:lnTo>
                    <a:pt x="0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15" name="Freeform 264"/>
            <xdr:cNvSpPr>
              <a:spLocks/>
            </xdr:cNvSpPr>
          </xdr:nvSpPr>
          <xdr:spPr bwMode="auto">
            <a:xfrm>
              <a:off x="115" y="1063"/>
              <a:ext cx="18" cy="26"/>
            </a:xfrm>
            <a:custGeom>
              <a:avLst/>
              <a:gdLst>
                <a:gd name="T0" fmla="*/ 14 w 18"/>
                <a:gd name="T1" fmla="*/ 2 h 26"/>
                <a:gd name="T2" fmla="*/ 18 w 18"/>
                <a:gd name="T3" fmla="*/ 0 h 26"/>
                <a:gd name="T4" fmla="*/ 4 w 18"/>
                <a:gd name="T5" fmla="*/ 24 h 26"/>
                <a:gd name="T6" fmla="*/ 0 w 18"/>
                <a:gd name="T7" fmla="*/ 26 h 26"/>
                <a:gd name="T8" fmla="*/ 14 w 18"/>
                <a:gd name="T9" fmla="*/ 2 h 26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8"/>
                <a:gd name="T16" fmla="*/ 0 h 26"/>
                <a:gd name="T17" fmla="*/ 18 w 18"/>
                <a:gd name="T18" fmla="*/ 26 h 26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8" h="26">
                  <a:moveTo>
                    <a:pt x="14" y="2"/>
                  </a:moveTo>
                  <a:lnTo>
                    <a:pt x="18" y="0"/>
                  </a:lnTo>
                  <a:lnTo>
                    <a:pt x="4" y="24"/>
                  </a:lnTo>
                  <a:lnTo>
                    <a:pt x="0" y="26"/>
                  </a:lnTo>
                  <a:lnTo>
                    <a:pt x="14" y="2"/>
                  </a:lnTo>
                  <a:close/>
                </a:path>
              </a:pathLst>
            </a:custGeom>
            <a:solidFill>
              <a:srgbClr val="FFCC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22" name="Line 265"/>
          <xdr:cNvSpPr>
            <a:spLocks noChangeShapeType="1"/>
          </xdr:cNvSpPr>
        </xdr:nvSpPr>
        <xdr:spPr bwMode="auto">
          <a:xfrm>
            <a:off x="1920" y="513"/>
            <a:ext cx="0" cy="21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23" name="Line 266"/>
          <xdr:cNvSpPr>
            <a:spLocks noChangeShapeType="1"/>
          </xdr:cNvSpPr>
        </xdr:nvSpPr>
        <xdr:spPr bwMode="auto">
          <a:xfrm>
            <a:off x="1910" y="524"/>
            <a:ext cx="21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24" name="Line 267"/>
          <xdr:cNvSpPr>
            <a:spLocks noChangeShapeType="1"/>
          </xdr:cNvSpPr>
        </xdr:nvSpPr>
        <xdr:spPr bwMode="auto">
          <a:xfrm>
            <a:off x="2130" y="690"/>
            <a:ext cx="21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053" name="AutoShape 269"/>
          <xdr:cNvSpPr>
            <a:spLocks/>
          </xdr:cNvSpPr>
        </xdr:nvSpPr>
        <xdr:spPr bwMode="auto">
          <a:xfrm>
            <a:off x="1828" y="84"/>
            <a:ext cx="207" cy="165"/>
          </a:xfrm>
          <a:prstGeom prst="callout2">
            <a:avLst>
              <a:gd name="adj1" fmla="val 7273"/>
              <a:gd name="adj2" fmla="val -3866"/>
              <a:gd name="adj3" fmla="val 7273"/>
              <a:gd name="adj4" fmla="val -15940"/>
              <a:gd name="adj5" fmla="val 66667"/>
              <a:gd name="adj6" fmla="val -45894"/>
            </a:avLst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 type="triangle" w="lg" len="med"/>
          </a:ln>
        </xdr:spPr>
        <xdr:txBody>
          <a:bodyPr vertOverflow="clip" wrap="square" lIns="54864" tIns="41148" rIns="54864" bIns="0" anchor="t" upright="1"/>
          <a:lstStyle/>
          <a:p>
            <a:pPr algn="ctr" rtl="0">
              <a:defRPr sz="1000"/>
            </a:pPr>
            <a:r>
              <a:rPr lang="en-US" sz="2400" b="1" i="0" strike="noStrike">
                <a:solidFill>
                  <a:srgbClr val="000000"/>
                </a:solidFill>
                <a:latin typeface="Arial"/>
                <a:cs typeface="Arial"/>
              </a:rPr>
              <a:t>Polymer Seal of Cell Container to Terminal </a:t>
            </a:r>
          </a:p>
        </xdr:txBody>
      </xdr:sp>
      <xdr:sp macro="" textlink="">
        <xdr:nvSpPr>
          <xdr:cNvPr id="119226" name="Line 317"/>
          <xdr:cNvSpPr>
            <a:spLocks noChangeShapeType="1"/>
          </xdr:cNvSpPr>
        </xdr:nvSpPr>
        <xdr:spPr bwMode="auto">
          <a:xfrm flipH="1">
            <a:off x="2182" y="711"/>
            <a:ext cx="19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02" name="Text Box 318"/>
          <xdr:cNvSpPr txBox="1">
            <a:spLocks noChangeArrowheads="1"/>
          </xdr:cNvSpPr>
        </xdr:nvSpPr>
        <xdr:spPr bwMode="auto">
          <a:xfrm>
            <a:off x="1913" y="753"/>
            <a:ext cx="436" cy="91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54864" tIns="41148" rIns="54864" bIns="0" anchor="t" upright="1"/>
          <a:lstStyle/>
          <a:p>
            <a:pPr algn="ctr" rtl="0">
              <a:defRPr sz="1000"/>
            </a:pPr>
            <a:r>
              <a:rPr lang="en-US" sz="2400" b="1" i="0" strike="noStrike">
                <a:solidFill>
                  <a:srgbClr val="000000"/>
                </a:solidFill>
                <a:latin typeface="Arial"/>
                <a:cs typeface="Arial"/>
              </a:rPr>
              <a:t>Battery Module in Double-Seamed Container</a:t>
            </a:r>
          </a:p>
        </xdr:txBody>
      </xdr:sp>
      <xdr:sp macro="" textlink="">
        <xdr:nvSpPr>
          <xdr:cNvPr id="119228" name="Rectangle 319"/>
          <xdr:cNvSpPr>
            <a:spLocks noChangeArrowheads="1"/>
          </xdr:cNvSpPr>
        </xdr:nvSpPr>
        <xdr:spPr bwMode="auto">
          <a:xfrm>
            <a:off x="1966" y="442"/>
            <a:ext cx="139" cy="5"/>
          </a:xfrm>
          <a:prstGeom prst="rect">
            <a:avLst/>
          </a:prstGeom>
          <a:solidFill>
            <a:srgbClr val="CCFFCC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19229" name="Freeform 320"/>
          <xdr:cNvSpPr>
            <a:spLocks/>
          </xdr:cNvSpPr>
        </xdr:nvSpPr>
        <xdr:spPr bwMode="auto">
          <a:xfrm>
            <a:off x="1973" y="561"/>
            <a:ext cx="109" cy="17"/>
          </a:xfrm>
          <a:custGeom>
            <a:avLst/>
            <a:gdLst>
              <a:gd name="T0" fmla="*/ 0 w 109"/>
              <a:gd name="T1" fmla="*/ 0 h 17"/>
              <a:gd name="T2" fmla="*/ 0 w 109"/>
              <a:gd name="T3" fmla="*/ 17 h 17"/>
              <a:gd name="T4" fmla="*/ 109 w 109"/>
              <a:gd name="T5" fmla="*/ 17 h 17"/>
              <a:gd name="T6" fmla="*/ 108 w 109"/>
              <a:gd name="T7" fmla="*/ 9 h 17"/>
              <a:gd name="T8" fmla="*/ 0 w 109"/>
              <a:gd name="T9" fmla="*/ 0 h 1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09"/>
              <a:gd name="T16" fmla="*/ 0 h 17"/>
              <a:gd name="T17" fmla="*/ 109 w 109"/>
              <a:gd name="T18" fmla="*/ 17 h 17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09" h="17">
                <a:moveTo>
                  <a:pt x="0" y="0"/>
                </a:moveTo>
                <a:lnTo>
                  <a:pt x="0" y="17"/>
                </a:lnTo>
                <a:lnTo>
                  <a:pt x="109" y="17"/>
                </a:lnTo>
                <a:lnTo>
                  <a:pt x="108" y="9"/>
                </a:lnTo>
                <a:lnTo>
                  <a:pt x="0" y="0"/>
                </a:lnTo>
                <a:close/>
              </a:path>
            </a:pathLst>
          </a:custGeom>
          <a:solidFill>
            <a:srgbClr val="CCFF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9230" name="Freeform 321"/>
          <xdr:cNvSpPr>
            <a:spLocks/>
          </xdr:cNvSpPr>
        </xdr:nvSpPr>
        <xdr:spPr bwMode="auto">
          <a:xfrm>
            <a:off x="1974" y="447"/>
            <a:ext cx="114" cy="124"/>
          </a:xfrm>
          <a:custGeom>
            <a:avLst/>
            <a:gdLst>
              <a:gd name="T0" fmla="*/ 1 w 114"/>
              <a:gd name="T1" fmla="*/ 0 h 124"/>
              <a:gd name="T2" fmla="*/ 0 w 114"/>
              <a:gd name="T3" fmla="*/ 113 h 124"/>
              <a:gd name="T4" fmla="*/ 114 w 114"/>
              <a:gd name="T5" fmla="*/ 124 h 124"/>
              <a:gd name="T6" fmla="*/ 114 w 114"/>
              <a:gd name="T7" fmla="*/ 1 h 124"/>
              <a:gd name="T8" fmla="*/ 1 w 114"/>
              <a:gd name="T9" fmla="*/ 0 h 12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4"/>
              <a:gd name="T16" fmla="*/ 0 h 124"/>
              <a:gd name="T17" fmla="*/ 114 w 114"/>
              <a:gd name="T18" fmla="*/ 124 h 12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4" h="124">
                <a:moveTo>
                  <a:pt x="1" y="0"/>
                </a:moveTo>
                <a:lnTo>
                  <a:pt x="0" y="113"/>
                </a:lnTo>
                <a:lnTo>
                  <a:pt x="114" y="124"/>
                </a:lnTo>
                <a:lnTo>
                  <a:pt x="114" y="1"/>
                </a:lnTo>
                <a:lnTo>
                  <a:pt x="1" y="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31" name="Line 322"/>
          <xdr:cNvSpPr>
            <a:spLocks noChangeShapeType="1"/>
          </xdr:cNvSpPr>
        </xdr:nvSpPr>
        <xdr:spPr bwMode="auto">
          <a:xfrm flipV="1">
            <a:off x="2176" y="276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232" name="Line 323"/>
          <xdr:cNvSpPr>
            <a:spLocks noChangeShapeType="1"/>
          </xdr:cNvSpPr>
        </xdr:nvSpPr>
        <xdr:spPr bwMode="auto">
          <a:xfrm flipV="1">
            <a:off x="2191" y="286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233" name="Line 324"/>
          <xdr:cNvSpPr>
            <a:spLocks noChangeShapeType="1"/>
          </xdr:cNvSpPr>
        </xdr:nvSpPr>
        <xdr:spPr bwMode="auto">
          <a:xfrm flipV="1">
            <a:off x="2184" y="280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234" name="Line 325"/>
          <xdr:cNvSpPr>
            <a:spLocks noChangeShapeType="1"/>
          </xdr:cNvSpPr>
        </xdr:nvSpPr>
        <xdr:spPr bwMode="auto">
          <a:xfrm flipV="1">
            <a:off x="2194" y="295"/>
            <a:ext cx="160" cy="160"/>
          </a:xfrm>
          <a:prstGeom prst="line">
            <a:avLst/>
          </a:prstGeom>
          <a:noFill/>
          <a:ln w="28575">
            <a:solidFill>
              <a:srgbClr val="66FFFF"/>
            </a:solidFill>
            <a:round/>
            <a:headEnd/>
            <a:tailEnd/>
          </a:ln>
        </xdr:spPr>
      </xdr:sp>
      <xdr:sp macro="" textlink="">
        <xdr:nvSpPr>
          <xdr:cNvPr id="119235" name="Arc 326"/>
          <xdr:cNvSpPr>
            <a:spLocks/>
          </xdr:cNvSpPr>
        </xdr:nvSpPr>
        <xdr:spPr bwMode="auto">
          <a:xfrm>
            <a:off x="2329" y="276"/>
            <a:ext cx="25" cy="20"/>
          </a:xfrm>
          <a:custGeom>
            <a:avLst/>
            <a:gdLst>
              <a:gd name="T0" fmla="*/ 0 w 21600"/>
              <a:gd name="T1" fmla="*/ 0 h 21600"/>
              <a:gd name="T2" fmla="*/ 25 w 21600"/>
              <a:gd name="T3" fmla="*/ 20 h 21600"/>
              <a:gd name="T4" fmla="*/ 0 w 21600"/>
              <a:gd name="T5" fmla="*/ 2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</a:path>
              <a:path w="21600" h="21600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lnTo>
                  <a:pt x="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36" name="Arc 327"/>
          <xdr:cNvSpPr>
            <a:spLocks/>
          </xdr:cNvSpPr>
        </xdr:nvSpPr>
        <xdr:spPr bwMode="auto">
          <a:xfrm>
            <a:off x="2172" y="436"/>
            <a:ext cx="23" cy="21"/>
          </a:xfrm>
          <a:custGeom>
            <a:avLst/>
            <a:gdLst>
              <a:gd name="T0" fmla="*/ 0 w 21600"/>
              <a:gd name="T1" fmla="*/ 0 h 21600"/>
              <a:gd name="T2" fmla="*/ 23 w 21600"/>
              <a:gd name="T3" fmla="*/ 21 h 21600"/>
              <a:gd name="T4" fmla="*/ 0 w 21600"/>
              <a:gd name="T5" fmla="*/ 21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 fill="none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</a:path>
              <a:path w="21600" h="21600" stroke="0" extrusionOk="0">
                <a:moveTo>
                  <a:pt x="-1" y="0"/>
                </a:moveTo>
                <a:cubicBezTo>
                  <a:pt x="11929" y="0"/>
                  <a:pt x="21600" y="9670"/>
                  <a:pt x="21600" y="21600"/>
                </a:cubicBezTo>
                <a:lnTo>
                  <a:pt x="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113" name="AutoShape 329"/>
          <xdr:cNvSpPr>
            <a:spLocks/>
          </xdr:cNvSpPr>
        </xdr:nvSpPr>
        <xdr:spPr bwMode="auto">
          <a:xfrm>
            <a:off x="2108" y="103"/>
            <a:ext cx="272" cy="153"/>
          </a:xfrm>
          <a:prstGeom prst="callout2">
            <a:avLst>
              <a:gd name="adj1" fmla="val 7843"/>
              <a:gd name="adj2" fmla="val -2940"/>
              <a:gd name="adj3" fmla="val 7843"/>
              <a:gd name="adj4" fmla="val -9560"/>
              <a:gd name="adj5" fmla="val 152940"/>
              <a:gd name="adj6" fmla="val -20954"/>
            </a:avLst>
          </a:prstGeom>
          <a:solidFill>
            <a:srgbClr val="FFFFFF"/>
          </a:solidFill>
          <a:ln w="12700">
            <a:solidFill>
              <a:srgbClr val="000000"/>
            </a:solidFill>
            <a:miter lim="800000"/>
            <a:headEnd/>
            <a:tailEnd type="triangle" w="lg" len="med"/>
          </a:ln>
        </xdr:spPr>
        <xdr:txBody>
          <a:bodyPr vertOverflow="clip" wrap="square" lIns="54864" tIns="41148" rIns="0" bIns="0" anchor="t" upright="1"/>
          <a:lstStyle/>
          <a:p>
            <a:pPr algn="l" rtl="0">
              <a:defRPr sz="1000"/>
            </a:pPr>
            <a:r>
              <a:rPr lang="en-US" sz="2400" b="1" i="0" strike="noStrike">
                <a:solidFill>
                  <a:srgbClr val="000000"/>
                </a:solidFill>
                <a:latin typeface="Arial"/>
                <a:cs typeface="Arial"/>
              </a:rPr>
              <a:t>Heat Transfer Surfaces on Top and Bottom of Container </a:t>
            </a:r>
          </a:p>
        </xdr:txBody>
      </xdr:sp>
      <xdr:sp macro="" textlink="">
        <xdr:nvSpPr>
          <xdr:cNvPr id="119114" name="AutoShape 330"/>
          <xdr:cNvSpPr>
            <a:spLocks/>
          </xdr:cNvSpPr>
        </xdr:nvSpPr>
        <xdr:spPr bwMode="auto">
          <a:xfrm>
            <a:off x="1624" y="545"/>
            <a:ext cx="217" cy="78"/>
          </a:xfrm>
          <a:prstGeom prst="callout2">
            <a:avLst>
              <a:gd name="adj1" fmla="val 15384"/>
              <a:gd name="adj2" fmla="val 103685"/>
              <a:gd name="adj3" fmla="val 15384"/>
              <a:gd name="adj4" fmla="val 122579"/>
              <a:gd name="adj5" fmla="val -19231"/>
              <a:gd name="adj6" fmla="val 168662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 type="none" w="lg" len="lg"/>
            <a:tailEnd type="triangle" w="lg" len="med"/>
          </a:ln>
        </xdr:spPr>
        <xdr:txBody>
          <a:bodyPr vertOverflow="clip" wrap="square" lIns="0" tIns="41148" rIns="54864" bIns="0" anchor="t" upright="1"/>
          <a:lstStyle/>
          <a:p>
            <a:pPr algn="r" rtl="0">
              <a:defRPr sz="1000"/>
            </a:pPr>
            <a:r>
              <a:rPr lang="en-US" sz="2400" b="1" i="0" strike="noStrike">
                <a:solidFill>
                  <a:srgbClr val="000000"/>
                </a:solidFill>
                <a:latin typeface="Arial"/>
                <a:cs typeface="Arial"/>
              </a:rPr>
              <a:t>Cell Terminal Connections</a:t>
            </a:r>
          </a:p>
        </xdr:txBody>
      </xdr:sp>
      <xdr:sp macro="" textlink="">
        <xdr:nvSpPr>
          <xdr:cNvPr id="119239" name="Line 331"/>
          <xdr:cNvSpPr>
            <a:spLocks noChangeShapeType="1"/>
          </xdr:cNvSpPr>
        </xdr:nvSpPr>
        <xdr:spPr bwMode="auto">
          <a:xfrm flipV="1">
            <a:off x="1886" y="549"/>
            <a:ext cx="169" cy="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lg" len="med"/>
          </a:ln>
        </xdr:spPr>
      </xdr:sp>
      <xdr:sp macro="" textlink="">
        <xdr:nvSpPr>
          <xdr:cNvPr id="119123" name="Text Box 339"/>
          <xdr:cNvSpPr txBox="1">
            <a:spLocks noChangeArrowheads="1"/>
          </xdr:cNvSpPr>
        </xdr:nvSpPr>
        <xdr:spPr bwMode="auto">
          <a:xfrm>
            <a:off x="1301" y="746"/>
            <a:ext cx="292" cy="87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54864" tIns="41148" rIns="54864" bIns="0" anchor="t" upright="1"/>
          <a:lstStyle/>
          <a:p>
            <a:pPr algn="ctr" rtl="0">
              <a:defRPr sz="1000"/>
            </a:pPr>
            <a:r>
              <a:rPr lang="en-US" sz="2400" b="1" i="0" strike="noStrike">
                <a:solidFill>
                  <a:srgbClr val="000000"/>
                </a:solidFill>
                <a:latin typeface="Arial"/>
                <a:cs typeface="Arial"/>
              </a:rPr>
              <a:t>Cell with Multi-Layer Container</a:t>
            </a:r>
          </a:p>
        </xdr:txBody>
      </xdr:sp>
      <xdr:grpSp>
        <xdr:nvGrpSpPr>
          <xdr:cNvPr id="119241" name="Group 358"/>
          <xdr:cNvGrpSpPr>
            <a:grpSpLocks/>
          </xdr:cNvGrpSpPr>
        </xdr:nvGrpSpPr>
        <xdr:grpSpPr bwMode="auto">
          <a:xfrm>
            <a:off x="1627" y="164"/>
            <a:ext cx="232" cy="299"/>
            <a:chOff x="1591" y="113"/>
            <a:chExt cx="232" cy="299"/>
          </a:xfrm>
        </xdr:grpSpPr>
        <xdr:sp macro="" textlink="">
          <xdr:nvSpPr>
            <xdr:cNvPr id="119273" name="Rectangle 270"/>
            <xdr:cNvSpPr>
              <a:spLocks noChangeArrowheads="1"/>
            </xdr:cNvSpPr>
          </xdr:nvSpPr>
          <xdr:spPr bwMode="auto">
            <a:xfrm>
              <a:off x="1686" y="270"/>
              <a:ext cx="135" cy="142"/>
            </a:xfrm>
            <a:prstGeom prst="rect">
              <a:avLst/>
            </a:prstGeom>
            <a:solidFill>
              <a:srgbClr val="E3E3E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9274" name="Line 271"/>
            <xdr:cNvSpPr>
              <a:spLocks noChangeShapeType="1"/>
            </xdr:cNvSpPr>
          </xdr:nvSpPr>
          <xdr:spPr bwMode="auto">
            <a:xfrm>
              <a:off x="1691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75" name="Line 272"/>
            <xdr:cNvSpPr>
              <a:spLocks noChangeShapeType="1"/>
            </xdr:cNvSpPr>
          </xdr:nvSpPr>
          <xdr:spPr bwMode="auto">
            <a:xfrm>
              <a:off x="1698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76" name="Line 273"/>
            <xdr:cNvSpPr>
              <a:spLocks noChangeShapeType="1"/>
            </xdr:cNvSpPr>
          </xdr:nvSpPr>
          <xdr:spPr bwMode="auto">
            <a:xfrm>
              <a:off x="1704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77" name="Line 274"/>
            <xdr:cNvSpPr>
              <a:spLocks noChangeShapeType="1"/>
            </xdr:cNvSpPr>
          </xdr:nvSpPr>
          <xdr:spPr bwMode="auto">
            <a:xfrm>
              <a:off x="1711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78" name="Line 275"/>
            <xdr:cNvSpPr>
              <a:spLocks noChangeShapeType="1"/>
            </xdr:cNvSpPr>
          </xdr:nvSpPr>
          <xdr:spPr bwMode="auto">
            <a:xfrm>
              <a:off x="1718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79" name="Line 276"/>
            <xdr:cNvSpPr>
              <a:spLocks noChangeShapeType="1"/>
            </xdr:cNvSpPr>
          </xdr:nvSpPr>
          <xdr:spPr bwMode="auto">
            <a:xfrm>
              <a:off x="1724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0" name="Line 277"/>
            <xdr:cNvSpPr>
              <a:spLocks noChangeShapeType="1"/>
            </xdr:cNvSpPr>
          </xdr:nvSpPr>
          <xdr:spPr bwMode="auto">
            <a:xfrm>
              <a:off x="1731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1" name="Line 278"/>
            <xdr:cNvSpPr>
              <a:spLocks noChangeShapeType="1"/>
            </xdr:cNvSpPr>
          </xdr:nvSpPr>
          <xdr:spPr bwMode="auto">
            <a:xfrm>
              <a:off x="1737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2" name="Line 279"/>
            <xdr:cNvSpPr>
              <a:spLocks noChangeShapeType="1"/>
            </xdr:cNvSpPr>
          </xdr:nvSpPr>
          <xdr:spPr bwMode="auto">
            <a:xfrm>
              <a:off x="1744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3" name="Line 280"/>
            <xdr:cNvSpPr>
              <a:spLocks noChangeShapeType="1"/>
            </xdr:cNvSpPr>
          </xdr:nvSpPr>
          <xdr:spPr bwMode="auto">
            <a:xfrm>
              <a:off x="1750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4" name="Line 281"/>
            <xdr:cNvSpPr>
              <a:spLocks noChangeShapeType="1"/>
            </xdr:cNvSpPr>
          </xdr:nvSpPr>
          <xdr:spPr bwMode="auto">
            <a:xfrm flipH="1">
              <a:off x="1815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5" name="Line 282"/>
            <xdr:cNvSpPr>
              <a:spLocks noChangeShapeType="1"/>
            </xdr:cNvSpPr>
          </xdr:nvSpPr>
          <xdr:spPr bwMode="auto">
            <a:xfrm flipH="1">
              <a:off x="1808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6" name="Line 283"/>
            <xdr:cNvSpPr>
              <a:spLocks noChangeShapeType="1"/>
            </xdr:cNvSpPr>
          </xdr:nvSpPr>
          <xdr:spPr bwMode="auto">
            <a:xfrm flipH="1">
              <a:off x="1802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7" name="Line 284"/>
            <xdr:cNvSpPr>
              <a:spLocks noChangeShapeType="1"/>
            </xdr:cNvSpPr>
          </xdr:nvSpPr>
          <xdr:spPr bwMode="auto">
            <a:xfrm flipH="1">
              <a:off x="1795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8" name="Line 285"/>
            <xdr:cNvSpPr>
              <a:spLocks noChangeShapeType="1"/>
            </xdr:cNvSpPr>
          </xdr:nvSpPr>
          <xdr:spPr bwMode="auto">
            <a:xfrm flipH="1">
              <a:off x="1788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89" name="Line 286"/>
            <xdr:cNvSpPr>
              <a:spLocks noChangeShapeType="1"/>
            </xdr:cNvSpPr>
          </xdr:nvSpPr>
          <xdr:spPr bwMode="auto">
            <a:xfrm flipH="1">
              <a:off x="1782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0" name="Line 287"/>
            <xdr:cNvSpPr>
              <a:spLocks noChangeShapeType="1"/>
            </xdr:cNvSpPr>
          </xdr:nvSpPr>
          <xdr:spPr bwMode="auto">
            <a:xfrm flipH="1">
              <a:off x="1775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1" name="Line 288"/>
            <xdr:cNvSpPr>
              <a:spLocks noChangeShapeType="1"/>
            </xdr:cNvSpPr>
          </xdr:nvSpPr>
          <xdr:spPr bwMode="auto">
            <a:xfrm flipH="1">
              <a:off x="1769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2" name="Line 289"/>
            <xdr:cNvSpPr>
              <a:spLocks noChangeShapeType="1"/>
            </xdr:cNvSpPr>
          </xdr:nvSpPr>
          <xdr:spPr bwMode="auto">
            <a:xfrm flipH="1">
              <a:off x="1762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3" name="Line 290"/>
            <xdr:cNvSpPr>
              <a:spLocks noChangeShapeType="1"/>
            </xdr:cNvSpPr>
          </xdr:nvSpPr>
          <xdr:spPr bwMode="auto">
            <a:xfrm flipH="1">
              <a:off x="1756" y="266"/>
              <a:ext cx="0" cy="146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4" name="Freeform 292"/>
            <xdr:cNvSpPr>
              <a:spLocks/>
            </xdr:cNvSpPr>
          </xdr:nvSpPr>
          <xdr:spPr bwMode="auto">
            <a:xfrm>
              <a:off x="1699" y="133"/>
              <a:ext cx="124" cy="267"/>
            </a:xfrm>
            <a:custGeom>
              <a:avLst/>
              <a:gdLst>
                <a:gd name="T0" fmla="*/ 123 w 124"/>
                <a:gd name="T1" fmla="*/ 267 h 267"/>
                <a:gd name="T2" fmla="*/ 123 w 124"/>
                <a:gd name="T3" fmla="*/ 172 h 267"/>
                <a:gd name="T4" fmla="*/ 123 w 124"/>
                <a:gd name="T5" fmla="*/ 158 h 267"/>
                <a:gd name="T6" fmla="*/ 123 w 124"/>
                <a:gd name="T7" fmla="*/ 150 h 267"/>
                <a:gd name="T8" fmla="*/ 124 w 124"/>
                <a:gd name="T9" fmla="*/ 144 h 267"/>
                <a:gd name="T10" fmla="*/ 124 w 124"/>
                <a:gd name="T11" fmla="*/ 135 h 267"/>
                <a:gd name="T12" fmla="*/ 123 w 124"/>
                <a:gd name="T13" fmla="*/ 126 h 267"/>
                <a:gd name="T14" fmla="*/ 120 w 124"/>
                <a:gd name="T15" fmla="*/ 116 h 267"/>
                <a:gd name="T16" fmla="*/ 99 w 124"/>
                <a:gd name="T17" fmla="*/ 109 h 267"/>
                <a:gd name="T18" fmla="*/ 83 w 124"/>
                <a:gd name="T19" fmla="*/ 104 h 267"/>
                <a:gd name="T20" fmla="*/ 64 w 124"/>
                <a:gd name="T21" fmla="*/ 99 h 267"/>
                <a:gd name="T22" fmla="*/ 43 w 124"/>
                <a:gd name="T23" fmla="*/ 93 h 267"/>
                <a:gd name="T24" fmla="*/ 26 w 124"/>
                <a:gd name="T25" fmla="*/ 89 h 267"/>
                <a:gd name="T26" fmla="*/ 13 w 124"/>
                <a:gd name="T27" fmla="*/ 88 h 267"/>
                <a:gd name="T28" fmla="*/ 4 w 124"/>
                <a:gd name="T29" fmla="*/ 84 h 267"/>
                <a:gd name="T30" fmla="*/ 2 w 124"/>
                <a:gd name="T31" fmla="*/ 76 h 267"/>
                <a:gd name="T32" fmla="*/ 1 w 124"/>
                <a:gd name="T33" fmla="*/ 70 h 267"/>
                <a:gd name="T34" fmla="*/ 1 w 124"/>
                <a:gd name="T35" fmla="*/ 63 h 267"/>
                <a:gd name="T36" fmla="*/ 0 w 124"/>
                <a:gd name="T37" fmla="*/ 0 h 267"/>
                <a:gd name="T38" fmla="*/ 0 60000 65536"/>
                <a:gd name="T39" fmla="*/ 0 60000 65536"/>
                <a:gd name="T40" fmla="*/ 0 60000 65536"/>
                <a:gd name="T41" fmla="*/ 0 60000 65536"/>
                <a:gd name="T42" fmla="*/ 0 60000 65536"/>
                <a:gd name="T43" fmla="*/ 0 60000 65536"/>
                <a:gd name="T44" fmla="*/ 0 60000 65536"/>
                <a:gd name="T45" fmla="*/ 0 60000 65536"/>
                <a:gd name="T46" fmla="*/ 0 60000 65536"/>
                <a:gd name="T47" fmla="*/ 0 60000 65536"/>
                <a:gd name="T48" fmla="*/ 0 60000 65536"/>
                <a:gd name="T49" fmla="*/ 0 60000 65536"/>
                <a:gd name="T50" fmla="*/ 0 60000 65536"/>
                <a:gd name="T51" fmla="*/ 0 60000 65536"/>
                <a:gd name="T52" fmla="*/ 0 60000 65536"/>
                <a:gd name="T53" fmla="*/ 0 60000 65536"/>
                <a:gd name="T54" fmla="*/ 0 60000 65536"/>
                <a:gd name="T55" fmla="*/ 0 60000 65536"/>
                <a:gd name="T56" fmla="*/ 0 60000 65536"/>
                <a:gd name="T57" fmla="*/ 0 w 124"/>
                <a:gd name="T58" fmla="*/ 0 h 267"/>
                <a:gd name="T59" fmla="*/ 124 w 124"/>
                <a:gd name="T60" fmla="*/ 267 h 267"/>
              </a:gdLst>
              <a:ahLst/>
              <a:cxnLst>
                <a:cxn ang="T38">
                  <a:pos x="T0" y="T1"/>
                </a:cxn>
                <a:cxn ang="T39">
                  <a:pos x="T2" y="T3"/>
                </a:cxn>
                <a:cxn ang="T40">
                  <a:pos x="T4" y="T5"/>
                </a:cxn>
                <a:cxn ang="T41">
                  <a:pos x="T6" y="T7"/>
                </a:cxn>
                <a:cxn ang="T42">
                  <a:pos x="T8" y="T9"/>
                </a:cxn>
                <a:cxn ang="T43">
                  <a:pos x="T10" y="T11"/>
                </a:cxn>
                <a:cxn ang="T44">
                  <a:pos x="T12" y="T13"/>
                </a:cxn>
                <a:cxn ang="T45">
                  <a:pos x="T14" y="T15"/>
                </a:cxn>
                <a:cxn ang="T46">
                  <a:pos x="T16" y="T17"/>
                </a:cxn>
                <a:cxn ang="T47">
                  <a:pos x="T18" y="T19"/>
                </a:cxn>
                <a:cxn ang="T48">
                  <a:pos x="T20" y="T21"/>
                </a:cxn>
                <a:cxn ang="T49">
                  <a:pos x="T22" y="T23"/>
                </a:cxn>
                <a:cxn ang="T50">
                  <a:pos x="T24" y="T25"/>
                </a:cxn>
                <a:cxn ang="T51">
                  <a:pos x="T26" y="T27"/>
                </a:cxn>
                <a:cxn ang="T52">
                  <a:pos x="T28" y="T29"/>
                </a:cxn>
                <a:cxn ang="T53">
                  <a:pos x="T30" y="T31"/>
                </a:cxn>
                <a:cxn ang="T54">
                  <a:pos x="T32" y="T33"/>
                </a:cxn>
                <a:cxn ang="T55">
                  <a:pos x="T34" y="T35"/>
                </a:cxn>
                <a:cxn ang="T56">
                  <a:pos x="T36" y="T37"/>
                </a:cxn>
              </a:cxnLst>
              <a:rect l="T57" t="T58" r="T59" b="T60"/>
              <a:pathLst>
                <a:path w="124" h="267">
                  <a:moveTo>
                    <a:pt x="123" y="267"/>
                  </a:moveTo>
                  <a:cubicBezTo>
                    <a:pt x="123" y="251"/>
                    <a:pt x="123" y="190"/>
                    <a:pt x="123" y="172"/>
                  </a:cubicBezTo>
                  <a:cubicBezTo>
                    <a:pt x="123" y="154"/>
                    <a:pt x="123" y="162"/>
                    <a:pt x="123" y="158"/>
                  </a:cubicBezTo>
                  <a:cubicBezTo>
                    <a:pt x="123" y="154"/>
                    <a:pt x="123" y="152"/>
                    <a:pt x="123" y="150"/>
                  </a:cubicBezTo>
                  <a:cubicBezTo>
                    <a:pt x="123" y="148"/>
                    <a:pt x="124" y="146"/>
                    <a:pt x="124" y="144"/>
                  </a:cubicBezTo>
                  <a:cubicBezTo>
                    <a:pt x="124" y="142"/>
                    <a:pt x="124" y="138"/>
                    <a:pt x="124" y="135"/>
                  </a:cubicBezTo>
                  <a:cubicBezTo>
                    <a:pt x="124" y="132"/>
                    <a:pt x="124" y="129"/>
                    <a:pt x="123" y="126"/>
                  </a:cubicBezTo>
                  <a:cubicBezTo>
                    <a:pt x="122" y="123"/>
                    <a:pt x="124" y="119"/>
                    <a:pt x="120" y="116"/>
                  </a:cubicBezTo>
                  <a:cubicBezTo>
                    <a:pt x="116" y="113"/>
                    <a:pt x="105" y="111"/>
                    <a:pt x="99" y="109"/>
                  </a:cubicBezTo>
                  <a:cubicBezTo>
                    <a:pt x="93" y="107"/>
                    <a:pt x="89" y="106"/>
                    <a:pt x="83" y="104"/>
                  </a:cubicBezTo>
                  <a:cubicBezTo>
                    <a:pt x="77" y="102"/>
                    <a:pt x="71" y="101"/>
                    <a:pt x="64" y="99"/>
                  </a:cubicBezTo>
                  <a:cubicBezTo>
                    <a:pt x="57" y="97"/>
                    <a:pt x="49" y="95"/>
                    <a:pt x="43" y="93"/>
                  </a:cubicBezTo>
                  <a:cubicBezTo>
                    <a:pt x="37" y="91"/>
                    <a:pt x="31" y="90"/>
                    <a:pt x="26" y="89"/>
                  </a:cubicBezTo>
                  <a:cubicBezTo>
                    <a:pt x="21" y="88"/>
                    <a:pt x="17" y="89"/>
                    <a:pt x="13" y="88"/>
                  </a:cubicBezTo>
                  <a:cubicBezTo>
                    <a:pt x="9" y="87"/>
                    <a:pt x="6" y="86"/>
                    <a:pt x="4" y="84"/>
                  </a:cubicBezTo>
                  <a:cubicBezTo>
                    <a:pt x="2" y="82"/>
                    <a:pt x="3" y="78"/>
                    <a:pt x="2" y="76"/>
                  </a:cubicBezTo>
                  <a:cubicBezTo>
                    <a:pt x="1" y="74"/>
                    <a:pt x="1" y="72"/>
                    <a:pt x="1" y="70"/>
                  </a:cubicBezTo>
                  <a:cubicBezTo>
                    <a:pt x="1" y="68"/>
                    <a:pt x="1" y="75"/>
                    <a:pt x="1" y="63"/>
                  </a:cubicBezTo>
                  <a:cubicBezTo>
                    <a:pt x="1" y="51"/>
                    <a:pt x="0" y="13"/>
                    <a:pt x="0" y="0"/>
                  </a:cubicBezTo>
                </a:path>
              </a:pathLst>
            </a:custGeom>
            <a:noFill/>
            <a:ln w="2857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295" name="Freeform 293"/>
            <xdr:cNvSpPr>
              <a:spLocks/>
            </xdr:cNvSpPr>
          </xdr:nvSpPr>
          <xdr:spPr bwMode="auto">
            <a:xfrm>
              <a:off x="1684" y="133"/>
              <a:ext cx="4" cy="268"/>
            </a:xfrm>
            <a:custGeom>
              <a:avLst/>
              <a:gdLst>
                <a:gd name="T0" fmla="*/ 0 w 4"/>
                <a:gd name="T1" fmla="*/ 268 h 268"/>
                <a:gd name="T2" fmla="*/ 0 w 4"/>
                <a:gd name="T3" fmla="*/ 77 h 268"/>
                <a:gd name="T4" fmla="*/ 4 w 4"/>
                <a:gd name="T5" fmla="*/ 70 h 268"/>
                <a:gd name="T6" fmla="*/ 4 w 4"/>
                <a:gd name="T7" fmla="*/ 0 h 268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4"/>
                <a:gd name="T13" fmla="*/ 0 h 268"/>
                <a:gd name="T14" fmla="*/ 4 w 4"/>
                <a:gd name="T15" fmla="*/ 268 h 268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4" h="268">
                  <a:moveTo>
                    <a:pt x="0" y="268"/>
                  </a:moveTo>
                  <a:lnTo>
                    <a:pt x="0" y="77"/>
                  </a:lnTo>
                  <a:lnTo>
                    <a:pt x="4" y="70"/>
                  </a:lnTo>
                  <a:lnTo>
                    <a:pt x="4" y="0"/>
                  </a:lnTo>
                </a:path>
              </a:pathLst>
            </a:custGeom>
            <a:noFill/>
            <a:ln w="2857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296" name="Freeform 342"/>
            <xdr:cNvSpPr>
              <a:spLocks/>
            </xdr:cNvSpPr>
          </xdr:nvSpPr>
          <xdr:spPr bwMode="auto">
            <a:xfrm>
              <a:off x="1715" y="231"/>
              <a:ext cx="100" cy="36"/>
            </a:xfrm>
            <a:custGeom>
              <a:avLst/>
              <a:gdLst>
                <a:gd name="T0" fmla="*/ 100 w 100"/>
                <a:gd name="T1" fmla="*/ 36 h 36"/>
                <a:gd name="T2" fmla="*/ 39 w 100"/>
                <a:gd name="T3" fmla="*/ 36 h 36"/>
                <a:gd name="T4" fmla="*/ 39 w 100"/>
                <a:gd name="T5" fmla="*/ 31 h 36"/>
                <a:gd name="T6" fmla="*/ 97 w 100"/>
                <a:gd name="T7" fmla="*/ 32 h 36"/>
                <a:gd name="T8" fmla="*/ 99 w 100"/>
                <a:gd name="T9" fmla="*/ 20 h 36"/>
                <a:gd name="T10" fmla="*/ 21 w 100"/>
                <a:gd name="T11" fmla="*/ 3 h 36"/>
                <a:gd name="T12" fmla="*/ 0 w 100"/>
                <a:gd name="T13" fmla="*/ 0 h 36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100"/>
                <a:gd name="T22" fmla="*/ 0 h 36"/>
                <a:gd name="T23" fmla="*/ 100 w 100"/>
                <a:gd name="T24" fmla="*/ 36 h 36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100" h="36">
                  <a:moveTo>
                    <a:pt x="100" y="36"/>
                  </a:moveTo>
                  <a:lnTo>
                    <a:pt x="39" y="36"/>
                  </a:lnTo>
                  <a:lnTo>
                    <a:pt x="39" y="31"/>
                  </a:lnTo>
                  <a:lnTo>
                    <a:pt x="97" y="32"/>
                  </a:lnTo>
                  <a:lnTo>
                    <a:pt x="99" y="20"/>
                  </a:lnTo>
                  <a:lnTo>
                    <a:pt x="21" y="3"/>
                  </a:lnTo>
                  <a:lnTo>
                    <a:pt x="0" y="0"/>
                  </a:lnTo>
                </a:path>
              </a:pathLst>
            </a:custGeom>
            <a:noFill/>
            <a:ln w="38100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7" name="Freeform 343"/>
            <xdr:cNvSpPr>
              <a:spLocks/>
            </xdr:cNvSpPr>
          </xdr:nvSpPr>
          <xdr:spPr bwMode="auto">
            <a:xfrm>
              <a:off x="1704" y="243"/>
              <a:ext cx="90" cy="21"/>
            </a:xfrm>
            <a:custGeom>
              <a:avLst/>
              <a:gdLst>
                <a:gd name="T0" fmla="*/ 0 w 90"/>
                <a:gd name="T1" fmla="*/ 21 h 21"/>
                <a:gd name="T2" fmla="*/ 34 w 90"/>
                <a:gd name="T3" fmla="*/ 21 h 21"/>
                <a:gd name="T4" fmla="*/ 47 w 90"/>
                <a:gd name="T5" fmla="*/ 14 h 21"/>
                <a:gd name="T6" fmla="*/ 59 w 90"/>
                <a:gd name="T7" fmla="*/ 13 h 21"/>
                <a:gd name="T8" fmla="*/ 90 w 90"/>
                <a:gd name="T9" fmla="*/ 16 h 21"/>
                <a:gd name="T10" fmla="*/ 31 w 90"/>
                <a:gd name="T11" fmla="*/ 4 h 21"/>
                <a:gd name="T12" fmla="*/ 11 w 90"/>
                <a:gd name="T13" fmla="*/ 0 h 21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90"/>
                <a:gd name="T22" fmla="*/ 0 h 21"/>
                <a:gd name="T23" fmla="*/ 90 w 90"/>
                <a:gd name="T24" fmla="*/ 21 h 21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90" h="21">
                  <a:moveTo>
                    <a:pt x="0" y="21"/>
                  </a:moveTo>
                  <a:lnTo>
                    <a:pt x="34" y="21"/>
                  </a:lnTo>
                  <a:lnTo>
                    <a:pt x="47" y="14"/>
                  </a:lnTo>
                  <a:lnTo>
                    <a:pt x="59" y="13"/>
                  </a:lnTo>
                  <a:lnTo>
                    <a:pt x="90" y="16"/>
                  </a:lnTo>
                  <a:lnTo>
                    <a:pt x="31" y="4"/>
                  </a:lnTo>
                  <a:lnTo>
                    <a:pt x="11" y="0"/>
                  </a:lnTo>
                </a:path>
              </a:pathLst>
            </a:custGeom>
            <a:noFill/>
            <a:ln w="38100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8" name="Line 344"/>
            <xdr:cNvSpPr>
              <a:spLocks noChangeShapeType="1"/>
            </xdr:cNvSpPr>
          </xdr:nvSpPr>
          <xdr:spPr bwMode="auto">
            <a:xfrm flipV="1">
              <a:off x="1698" y="263"/>
              <a:ext cx="12" cy="3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299" name="Line 345"/>
            <xdr:cNvSpPr>
              <a:spLocks noChangeShapeType="1"/>
            </xdr:cNvSpPr>
          </xdr:nvSpPr>
          <xdr:spPr bwMode="auto">
            <a:xfrm flipV="1">
              <a:off x="1691" y="263"/>
              <a:ext cx="14" cy="3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300" name="Freeform 346"/>
            <xdr:cNvSpPr>
              <a:spLocks/>
            </xdr:cNvSpPr>
          </xdr:nvSpPr>
          <xdr:spPr bwMode="auto">
            <a:xfrm>
              <a:off x="1591" y="113"/>
              <a:ext cx="219" cy="147"/>
            </a:xfrm>
            <a:custGeom>
              <a:avLst/>
              <a:gdLst>
                <a:gd name="T0" fmla="*/ 219 w 219"/>
                <a:gd name="T1" fmla="*/ 139 h 147"/>
                <a:gd name="T2" fmla="*/ 169 w 219"/>
                <a:gd name="T3" fmla="*/ 128 h 147"/>
                <a:gd name="T4" fmla="*/ 108 w 219"/>
                <a:gd name="T5" fmla="*/ 117 h 147"/>
                <a:gd name="T6" fmla="*/ 106 w 219"/>
                <a:gd name="T7" fmla="*/ 0 h 147"/>
                <a:gd name="T8" fmla="*/ 53 w 219"/>
                <a:gd name="T9" fmla="*/ 0 h 147"/>
                <a:gd name="T10" fmla="*/ 0 w 219"/>
                <a:gd name="T11" fmla="*/ 0 h 147"/>
                <a:gd name="T12" fmla="*/ 0 w 219"/>
                <a:gd name="T13" fmla="*/ 8 h 147"/>
                <a:gd name="T14" fmla="*/ 47 w 219"/>
                <a:gd name="T15" fmla="*/ 8 h 147"/>
                <a:gd name="T16" fmla="*/ 99 w 219"/>
                <a:gd name="T17" fmla="*/ 8 h 147"/>
                <a:gd name="T18" fmla="*/ 99 w 219"/>
                <a:gd name="T19" fmla="*/ 124 h 147"/>
                <a:gd name="T20" fmla="*/ 159 w 219"/>
                <a:gd name="T21" fmla="*/ 135 h 147"/>
                <a:gd name="T22" fmla="*/ 218 w 219"/>
                <a:gd name="T23" fmla="*/ 147 h 147"/>
                <a:gd name="T24" fmla="*/ 219 w 219"/>
                <a:gd name="T25" fmla="*/ 139 h 147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  <a:gd name="T33" fmla="*/ 0 60000 65536"/>
                <a:gd name="T34" fmla="*/ 0 60000 65536"/>
                <a:gd name="T35" fmla="*/ 0 60000 65536"/>
                <a:gd name="T36" fmla="*/ 0 60000 65536"/>
                <a:gd name="T37" fmla="*/ 0 60000 65536"/>
                <a:gd name="T38" fmla="*/ 0 60000 65536"/>
                <a:gd name="T39" fmla="*/ 0 w 219"/>
                <a:gd name="T40" fmla="*/ 0 h 147"/>
                <a:gd name="T41" fmla="*/ 219 w 219"/>
                <a:gd name="T42" fmla="*/ 147 h 147"/>
              </a:gdLst>
              <a:ahLst/>
              <a:cxnLst>
                <a:cxn ang="T26">
                  <a:pos x="T0" y="T1"/>
                </a:cxn>
                <a:cxn ang="T27">
                  <a:pos x="T2" y="T3"/>
                </a:cxn>
                <a:cxn ang="T28">
                  <a:pos x="T4" y="T5"/>
                </a:cxn>
                <a:cxn ang="T29">
                  <a:pos x="T6" y="T7"/>
                </a:cxn>
                <a:cxn ang="T30">
                  <a:pos x="T8" y="T9"/>
                </a:cxn>
                <a:cxn ang="T31">
                  <a:pos x="T10" y="T11"/>
                </a:cxn>
                <a:cxn ang="T32">
                  <a:pos x="T12" y="T13"/>
                </a:cxn>
                <a:cxn ang="T33">
                  <a:pos x="T14" y="T15"/>
                </a:cxn>
                <a:cxn ang="T34">
                  <a:pos x="T16" y="T17"/>
                </a:cxn>
                <a:cxn ang="T35">
                  <a:pos x="T18" y="T19"/>
                </a:cxn>
                <a:cxn ang="T36">
                  <a:pos x="T20" y="T21"/>
                </a:cxn>
                <a:cxn ang="T37">
                  <a:pos x="T22" y="T23"/>
                </a:cxn>
                <a:cxn ang="T38">
                  <a:pos x="T24" y="T25"/>
                </a:cxn>
              </a:cxnLst>
              <a:rect l="T39" t="T40" r="T41" b="T42"/>
              <a:pathLst>
                <a:path w="219" h="147">
                  <a:moveTo>
                    <a:pt x="219" y="139"/>
                  </a:moveTo>
                  <a:lnTo>
                    <a:pt x="169" y="128"/>
                  </a:lnTo>
                  <a:lnTo>
                    <a:pt x="108" y="117"/>
                  </a:lnTo>
                  <a:lnTo>
                    <a:pt x="106" y="0"/>
                  </a:lnTo>
                  <a:lnTo>
                    <a:pt x="53" y="0"/>
                  </a:lnTo>
                  <a:lnTo>
                    <a:pt x="0" y="0"/>
                  </a:lnTo>
                  <a:lnTo>
                    <a:pt x="0" y="8"/>
                  </a:lnTo>
                  <a:lnTo>
                    <a:pt x="47" y="8"/>
                  </a:lnTo>
                  <a:lnTo>
                    <a:pt x="99" y="8"/>
                  </a:lnTo>
                  <a:lnTo>
                    <a:pt x="99" y="124"/>
                  </a:lnTo>
                  <a:lnTo>
                    <a:pt x="159" y="135"/>
                  </a:lnTo>
                  <a:lnTo>
                    <a:pt x="218" y="147"/>
                  </a:lnTo>
                  <a:lnTo>
                    <a:pt x="219" y="139"/>
                  </a:lnTo>
                  <a:close/>
                </a:path>
              </a:pathLst>
            </a:custGeom>
            <a:solidFill>
              <a:srgbClr val="00CC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301" name="Line 353"/>
            <xdr:cNvSpPr>
              <a:spLocks noChangeShapeType="1"/>
            </xdr:cNvSpPr>
          </xdr:nvSpPr>
          <xdr:spPr bwMode="auto">
            <a:xfrm flipV="1">
              <a:off x="1744" y="259"/>
              <a:ext cx="4" cy="7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  <xdr:sp macro="" textlink="">
          <xdr:nvSpPr>
            <xdr:cNvPr id="119302" name="Line 354"/>
            <xdr:cNvSpPr>
              <a:spLocks noChangeShapeType="1"/>
            </xdr:cNvSpPr>
          </xdr:nvSpPr>
          <xdr:spPr bwMode="auto">
            <a:xfrm flipV="1">
              <a:off x="1750" y="258"/>
              <a:ext cx="4" cy="7"/>
            </a:xfrm>
            <a:prstGeom prst="line">
              <a:avLst/>
            </a:prstGeom>
            <a:noFill/>
            <a:ln w="9525">
              <a:solidFill>
                <a:srgbClr val="3366FF"/>
              </a:solidFill>
              <a:round/>
              <a:headEnd/>
              <a:tailEnd/>
            </a:ln>
          </xdr:spPr>
        </xdr:sp>
      </xdr:grpSp>
      <xdr:sp macro="" textlink="">
        <xdr:nvSpPr>
          <xdr:cNvPr id="119242" name="Rectangle 180"/>
          <xdr:cNvSpPr>
            <a:spLocks noChangeArrowheads="1"/>
          </xdr:cNvSpPr>
        </xdr:nvSpPr>
        <xdr:spPr bwMode="auto">
          <a:xfrm>
            <a:off x="1538" y="115"/>
            <a:ext cx="39" cy="473"/>
          </a:xfrm>
          <a:prstGeom prst="rect">
            <a:avLst/>
          </a:prstGeom>
          <a:solidFill>
            <a:srgbClr val="69FFFF"/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243" name="Line 294"/>
          <xdr:cNvSpPr>
            <a:spLocks noChangeShapeType="1"/>
          </xdr:cNvSpPr>
        </xdr:nvSpPr>
        <xdr:spPr bwMode="auto">
          <a:xfrm>
            <a:off x="1377" y="312"/>
            <a:ext cx="0" cy="31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4" name="Line 295"/>
          <xdr:cNvSpPr>
            <a:spLocks noChangeShapeType="1"/>
          </xdr:cNvSpPr>
        </xdr:nvSpPr>
        <xdr:spPr bwMode="auto">
          <a:xfrm>
            <a:off x="1330" y="259"/>
            <a:ext cx="0" cy="44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5" name="Line 296"/>
          <xdr:cNvSpPr>
            <a:spLocks noChangeShapeType="1"/>
          </xdr:cNvSpPr>
        </xdr:nvSpPr>
        <xdr:spPr bwMode="auto">
          <a:xfrm flipV="1">
            <a:off x="1378" y="199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6" name="Line 297"/>
          <xdr:cNvSpPr>
            <a:spLocks noChangeShapeType="1"/>
          </xdr:cNvSpPr>
        </xdr:nvSpPr>
        <xdr:spPr bwMode="auto">
          <a:xfrm flipV="1">
            <a:off x="1377" y="514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7" name="Line 298"/>
          <xdr:cNvSpPr>
            <a:spLocks noChangeShapeType="1"/>
          </xdr:cNvSpPr>
        </xdr:nvSpPr>
        <xdr:spPr bwMode="auto">
          <a:xfrm>
            <a:off x="1576" y="199"/>
            <a:ext cx="0" cy="31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8" name="Line 299"/>
          <xdr:cNvSpPr>
            <a:spLocks noChangeShapeType="1"/>
          </xdr:cNvSpPr>
        </xdr:nvSpPr>
        <xdr:spPr bwMode="auto">
          <a:xfrm flipV="1">
            <a:off x="1341" y="145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49" name="Line 300"/>
          <xdr:cNvSpPr>
            <a:spLocks noChangeShapeType="1"/>
          </xdr:cNvSpPr>
        </xdr:nvSpPr>
        <xdr:spPr bwMode="auto">
          <a:xfrm flipH="1" flipV="1">
            <a:off x="1340" y="260"/>
            <a:ext cx="37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0" name="Line 301"/>
          <xdr:cNvSpPr>
            <a:spLocks noChangeShapeType="1"/>
          </xdr:cNvSpPr>
        </xdr:nvSpPr>
        <xdr:spPr bwMode="auto">
          <a:xfrm flipV="1">
            <a:off x="1340" y="231"/>
            <a:ext cx="0" cy="2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1" name="Line 302"/>
          <xdr:cNvSpPr>
            <a:spLocks noChangeShapeType="1"/>
          </xdr:cNvSpPr>
        </xdr:nvSpPr>
        <xdr:spPr bwMode="auto">
          <a:xfrm flipV="1">
            <a:off x="1330" y="232"/>
            <a:ext cx="0" cy="2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2" name="Line 303"/>
          <xdr:cNvSpPr>
            <a:spLocks noChangeShapeType="1"/>
          </xdr:cNvSpPr>
        </xdr:nvSpPr>
        <xdr:spPr bwMode="auto">
          <a:xfrm flipV="1">
            <a:off x="1341" y="118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3" name="Line 304"/>
          <xdr:cNvSpPr>
            <a:spLocks noChangeShapeType="1"/>
          </xdr:cNvSpPr>
        </xdr:nvSpPr>
        <xdr:spPr bwMode="auto">
          <a:xfrm flipV="1">
            <a:off x="1538" y="119"/>
            <a:ext cx="0" cy="2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4" name="Line 305"/>
          <xdr:cNvSpPr>
            <a:spLocks noChangeShapeType="1"/>
          </xdr:cNvSpPr>
        </xdr:nvSpPr>
        <xdr:spPr bwMode="auto">
          <a:xfrm flipV="1">
            <a:off x="1339" y="566"/>
            <a:ext cx="198" cy="1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5" name="Line 306"/>
          <xdr:cNvSpPr>
            <a:spLocks noChangeShapeType="1"/>
          </xdr:cNvSpPr>
        </xdr:nvSpPr>
        <xdr:spPr bwMode="auto">
          <a:xfrm flipV="1">
            <a:off x="1538" y="512"/>
            <a:ext cx="40" cy="5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56" name="Freeform 307"/>
          <xdr:cNvSpPr>
            <a:spLocks/>
          </xdr:cNvSpPr>
        </xdr:nvSpPr>
        <xdr:spPr bwMode="auto">
          <a:xfrm>
            <a:off x="1347" y="146"/>
            <a:ext cx="221" cy="125"/>
          </a:xfrm>
          <a:custGeom>
            <a:avLst/>
            <a:gdLst>
              <a:gd name="T0" fmla="*/ 45 w 221"/>
              <a:gd name="T1" fmla="*/ 117 h 125"/>
              <a:gd name="T2" fmla="*/ 198 w 221"/>
              <a:gd name="T3" fmla="*/ 30 h 125"/>
              <a:gd name="T4" fmla="*/ 211 w 221"/>
              <a:gd name="T5" fmla="*/ 23 h 125"/>
              <a:gd name="T6" fmla="*/ 221 w 221"/>
              <a:gd name="T7" fmla="*/ 17 h 125"/>
              <a:gd name="T8" fmla="*/ 212 w 221"/>
              <a:gd name="T9" fmla="*/ 13 h 125"/>
              <a:gd name="T10" fmla="*/ 192 w 221"/>
              <a:gd name="T11" fmla="*/ 8 h 125"/>
              <a:gd name="T12" fmla="*/ 192 w 221"/>
              <a:gd name="T13" fmla="*/ 0 h 125"/>
              <a:gd name="T14" fmla="*/ 0 w 221"/>
              <a:gd name="T15" fmla="*/ 107 h 125"/>
              <a:gd name="T16" fmla="*/ 30 w 221"/>
              <a:gd name="T17" fmla="*/ 125 h 125"/>
              <a:gd name="T18" fmla="*/ 36 w 221"/>
              <a:gd name="T19" fmla="*/ 122 h 125"/>
              <a:gd name="T20" fmla="*/ 45 w 221"/>
              <a:gd name="T21" fmla="*/ 117 h 125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221"/>
              <a:gd name="T34" fmla="*/ 0 h 125"/>
              <a:gd name="T35" fmla="*/ 221 w 221"/>
              <a:gd name="T36" fmla="*/ 125 h 125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221" h="125">
                <a:moveTo>
                  <a:pt x="45" y="117"/>
                </a:moveTo>
                <a:lnTo>
                  <a:pt x="198" y="30"/>
                </a:lnTo>
                <a:lnTo>
                  <a:pt x="211" y="23"/>
                </a:lnTo>
                <a:lnTo>
                  <a:pt x="221" y="17"/>
                </a:lnTo>
                <a:lnTo>
                  <a:pt x="212" y="13"/>
                </a:lnTo>
                <a:lnTo>
                  <a:pt x="192" y="8"/>
                </a:lnTo>
                <a:lnTo>
                  <a:pt x="192" y="0"/>
                </a:lnTo>
                <a:lnTo>
                  <a:pt x="0" y="107"/>
                </a:lnTo>
                <a:lnTo>
                  <a:pt x="30" y="125"/>
                </a:lnTo>
                <a:lnTo>
                  <a:pt x="36" y="122"/>
                </a:lnTo>
                <a:lnTo>
                  <a:pt x="45" y="117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5400000" scaled="1"/>
          </a:gradFill>
          <a:ln w="5715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257" name="Freeform 308"/>
          <xdr:cNvSpPr>
            <a:spLocks/>
          </xdr:cNvSpPr>
        </xdr:nvSpPr>
        <xdr:spPr bwMode="auto">
          <a:xfrm>
            <a:off x="1326" y="118"/>
            <a:ext cx="212" cy="134"/>
          </a:xfrm>
          <a:custGeom>
            <a:avLst/>
            <a:gdLst>
              <a:gd name="T0" fmla="*/ 14 w 212"/>
              <a:gd name="T1" fmla="*/ 134 h 134"/>
              <a:gd name="T2" fmla="*/ 38 w 212"/>
              <a:gd name="T3" fmla="*/ 125 h 134"/>
              <a:gd name="T4" fmla="*/ 212 w 212"/>
              <a:gd name="T5" fmla="*/ 27 h 134"/>
              <a:gd name="T6" fmla="*/ 212 w 212"/>
              <a:gd name="T7" fmla="*/ 0 h 134"/>
              <a:gd name="T8" fmla="*/ 0 w 212"/>
              <a:gd name="T9" fmla="*/ 117 h 134"/>
              <a:gd name="T10" fmla="*/ 14 w 212"/>
              <a:gd name="T11" fmla="*/ 134 h 134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212"/>
              <a:gd name="T19" fmla="*/ 0 h 134"/>
              <a:gd name="T20" fmla="*/ 212 w 212"/>
              <a:gd name="T21" fmla="*/ 134 h 134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2" h="134">
                <a:moveTo>
                  <a:pt x="14" y="134"/>
                </a:moveTo>
                <a:lnTo>
                  <a:pt x="38" y="125"/>
                </a:lnTo>
                <a:lnTo>
                  <a:pt x="212" y="27"/>
                </a:lnTo>
                <a:lnTo>
                  <a:pt x="212" y="0"/>
                </a:lnTo>
                <a:lnTo>
                  <a:pt x="0" y="117"/>
                </a:lnTo>
                <a:lnTo>
                  <a:pt x="14" y="134"/>
                </a:lnTo>
                <a:close/>
              </a:path>
            </a:pathLst>
          </a:custGeom>
          <a:gradFill rotWithShape="1">
            <a:gsLst>
              <a:gs pos="0">
                <a:srgbClr val="69FFFF"/>
              </a:gs>
              <a:gs pos="100000">
                <a:srgbClr val="FFFFFF"/>
              </a:gs>
            </a:gsLst>
            <a:lin ang="54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258" name="Freeform 309"/>
          <xdr:cNvSpPr>
            <a:spLocks/>
          </xdr:cNvSpPr>
        </xdr:nvSpPr>
        <xdr:spPr bwMode="auto">
          <a:xfrm>
            <a:off x="1359" y="262"/>
            <a:ext cx="17" cy="403"/>
          </a:xfrm>
          <a:custGeom>
            <a:avLst/>
            <a:gdLst>
              <a:gd name="T0" fmla="*/ 15 w 17"/>
              <a:gd name="T1" fmla="*/ 395 h 403"/>
              <a:gd name="T2" fmla="*/ 0 w 17"/>
              <a:gd name="T3" fmla="*/ 403 h 403"/>
              <a:gd name="T4" fmla="*/ 1 w 17"/>
              <a:gd name="T5" fmla="*/ 0 h 403"/>
              <a:gd name="T6" fmla="*/ 17 w 17"/>
              <a:gd name="T7" fmla="*/ 11 h 403"/>
              <a:gd name="T8" fmla="*/ 16 w 17"/>
              <a:gd name="T9" fmla="*/ 60 h 403"/>
              <a:gd name="T10" fmla="*/ 15 w 17"/>
              <a:gd name="T11" fmla="*/ 351 h 403"/>
              <a:gd name="T12" fmla="*/ 15 w 17"/>
              <a:gd name="T13" fmla="*/ 367 h 403"/>
              <a:gd name="T14" fmla="*/ 15 w 17"/>
              <a:gd name="T15" fmla="*/ 395 h 403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17"/>
              <a:gd name="T25" fmla="*/ 0 h 403"/>
              <a:gd name="T26" fmla="*/ 17 w 17"/>
              <a:gd name="T27" fmla="*/ 403 h 403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17" h="403">
                <a:moveTo>
                  <a:pt x="15" y="395"/>
                </a:moveTo>
                <a:lnTo>
                  <a:pt x="0" y="403"/>
                </a:lnTo>
                <a:lnTo>
                  <a:pt x="1" y="0"/>
                </a:lnTo>
                <a:lnTo>
                  <a:pt x="17" y="11"/>
                </a:lnTo>
                <a:lnTo>
                  <a:pt x="16" y="60"/>
                </a:lnTo>
                <a:lnTo>
                  <a:pt x="15" y="351"/>
                </a:lnTo>
                <a:lnTo>
                  <a:pt x="15" y="367"/>
                </a:lnTo>
                <a:lnTo>
                  <a:pt x="15" y="395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189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259" name="Freeform 310"/>
          <xdr:cNvSpPr>
            <a:spLocks/>
          </xdr:cNvSpPr>
        </xdr:nvSpPr>
        <xdr:spPr bwMode="auto">
          <a:xfrm>
            <a:off x="1333" y="561"/>
            <a:ext cx="210" cy="145"/>
          </a:xfrm>
          <a:custGeom>
            <a:avLst/>
            <a:gdLst>
              <a:gd name="T0" fmla="*/ 18 w 210"/>
              <a:gd name="T1" fmla="*/ 110 h 145"/>
              <a:gd name="T2" fmla="*/ 210 w 210"/>
              <a:gd name="T3" fmla="*/ 0 h 145"/>
              <a:gd name="T4" fmla="*/ 210 w 210"/>
              <a:gd name="T5" fmla="*/ 29 h 145"/>
              <a:gd name="T6" fmla="*/ 0 w 210"/>
              <a:gd name="T7" fmla="*/ 145 h 145"/>
              <a:gd name="T8" fmla="*/ 18 w 210"/>
              <a:gd name="T9" fmla="*/ 110 h 14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10"/>
              <a:gd name="T16" fmla="*/ 0 h 145"/>
              <a:gd name="T17" fmla="*/ 210 w 210"/>
              <a:gd name="T18" fmla="*/ 145 h 145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10" h="145">
                <a:moveTo>
                  <a:pt x="18" y="110"/>
                </a:moveTo>
                <a:lnTo>
                  <a:pt x="210" y="0"/>
                </a:lnTo>
                <a:lnTo>
                  <a:pt x="210" y="29"/>
                </a:lnTo>
                <a:lnTo>
                  <a:pt x="0" y="145"/>
                </a:lnTo>
                <a:lnTo>
                  <a:pt x="18" y="110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00FFFF"/>
              </a:gs>
            </a:gsLst>
            <a:lin ang="2700000" scaled="1"/>
          </a:gradFill>
          <a:ln w="3810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260" name="Freeform 311"/>
          <xdr:cNvSpPr>
            <a:spLocks/>
          </xdr:cNvSpPr>
        </xdr:nvSpPr>
        <xdr:spPr bwMode="auto">
          <a:xfrm>
            <a:off x="1347" y="617"/>
            <a:ext cx="229" cy="107"/>
          </a:xfrm>
          <a:custGeom>
            <a:avLst/>
            <a:gdLst>
              <a:gd name="T0" fmla="*/ 37 w 229"/>
              <a:gd name="T1" fmla="*/ 107 h 107"/>
              <a:gd name="T2" fmla="*/ 0 w 229"/>
              <a:gd name="T3" fmla="*/ 107 h 107"/>
              <a:gd name="T4" fmla="*/ 192 w 229"/>
              <a:gd name="T5" fmla="*/ 0 h 107"/>
              <a:gd name="T6" fmla="*/ 229 w 229"/>
              <a:gd name="T7" fmla="*/ 0 h 107"/>
              <a:gd name="T8" fmla="*/ 37 w 229"/>
              <a:gd name="T9" fmla="*/ 107 h 10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29"/>
              <a:gd name="T16" fmla="*/ 0 h 107"/>
              <a:gd name="T17" fmla="*/ 229 w 229"/>
              <a:gd name="T18" fmla="*/ 107 h 107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29" h="107">
                <a:moveTo>
                  <a:pt x="37" y="107"/>
                </a:moveTo>
                <a:lnTo>
                  <a:pt x="0" y="107"/>
                </a:lnTo>
                <a:lnTo>
                  <a:pt x="192" y="0"/>
                </a:lnTo>
                <a:lnTo>
                  <a:pt x="229" y="0"/>
                </a:lnTo>
                <a:lnTo>
                  <a:pt x="37" y="107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C0C0C0"/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1" name="Freeform 312"/>
          <xdr:cNvSpPr>
            <a:spLocks/>
          </xdr:cNvSpPr>
        </xdr:nvSpPr>
        <xdr:spPr bwMode="auto">
          <a:xfrm>
            <a:off x="1349" y="593"/>
            <a:ext cx="191" cy="130"/>
          </a:xfrm>
          <a:custGeom>
            <a:avLst/>
            <a:gdLst>
              <a:gd name="T0" fmla="*/ 0 w 191"/>
              <a:gd name="T1" fmla="*/ 106 h 130"/>
              <a:gd name="T2" fmla="*/ 191 w 191"/>
              <a:gd name="T3" fmla="*/ 0 h 130"/>
              <a:gd name="T4" fmla="*/ 191 w 191"/>
              <a:gd name="T5" fmla="*/ 24 h 130"/>
              <a:gd name="T6" fmla="*/ 0 w 191"/>
              <a:gd name="T7" fmla="*/ 130 h 130"/>
              <a:gd name="T8" fmla="*/ 0 w 191"/>
              <a:gd name="T9" fmla="*/ 106 h 13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91"/>
              <a:gd name="T16" fmla="*/ 0 h 130"/>
              <a:gd name="T17" fmla="*/ 191 w 191"/>
              <a:gd name="T18" fmla="*/ 130 h 13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91" h="130">
                <a:moveTo>
                  <a:pt x="0" y="106"/>
                </a:moveTo>
                <a:lnTo>
                  <a:pt x="191" y="0"/>
                </a:lnTo>
                <a:lnTo>
                  <a:pt x="191" y="24"/>
                </a:lnTo>
                <a:lnTo>
                  <a:pt x="0" y="130"/>
                </a:lnTo>
                <a:lnTo>
                  <a:pt x="0" y="106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C0C0C0"/>
              </a:gs>
            </a:gsLst>
            <a:lin ang="27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2" name="Freeform 313"/>
          <xdr:cNvSpPr>
            <a:spLocks/>
          </xdr:cNvSpPr>
        </xdr:nvSpPr>
        <xdr:spPr bwMode="auto">
          <a:xfrm>
            <a:off x="1384" y="617"/>
            <a:ext cx="192" cy="111"/>
          </a:xfrm>
          <a:custGeom>
            <a:avLst/>
            <a:gdLst>
              <a:gd name="T0" fmla="*/ 0 w 192"/>
              <a:gd name="T1" fmla="*/ 107 h 111"/>
              <a:gd name="T2" fmla="*/ 192 w 192"/>
              <a:gd name="T3" fmla="*/ 0 h 111"/>
              <a:gd name="T4" fmla="*/ 192 w 192"/>
              <a:gd name="T5" fmla="*/ 4 h 111"/>
              <a:gd name="T6" fmla="*/ 0 w 192"/>
              <a:gd name="T7" fmla="*/ 111 h 111"/>
              <a:gd name="T8" fmla="*/ 0 w 192"/>
              <a:gd name="T9" fmla="*/ 107 h 11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92"/>
              <a:gd name="T16" fmla="*/ 0 h 111"/>
              <a:gd name="T17" fmla="*/ 192 w 192"/>
              <a:gd name="T18" fmla="*/ 111 h 11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92" h="111">
                <a:moveTo>
                  <a:pt x="0" y="107"/>
                </a:moveTo>
                <a:lnTo>
                  <a:pt x="192" y="0"/>
                </a:lnTo>
                <a:lnTo>
                  <a:pt x="192" y="4"/>
                </a:lnTo>
                <a:lnTo>
                  <a:pt x="0" y="111"/>
                </a:lnTo>
                <a:lnTo>
                  <a:pt x="0" y="107"/>
                </a:lnTo>
                <a:close/>
              </a:path>
            </a:pathLst>
          </a:custGeom>
          <a:solidFill>
            <a:srgbClr val="969696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3" name="Freeform 314"/>
          <xdr:cNvSpPr>
            <a:spLocks/>
          </xdr:cNvSpPr>
        </xdr:nvSpPr>
        <xdr:spPr bwMode="auto">
          <a:xfrm>
            <a:off x="1345" y="700"/>
            <a:ext cx="40" cy="28"/>
          </a:xfrm>
          <a:custGeom>
            <a:avLst/>
            <a:gdLst>
              <a:gd name="T0" fmla="*/ 4 w 40"/>
              <a:gd name="T1" fmla="*/ 0 h 28"/>
              <a:gd name="T2" fmla="*/ 4 w 40"/>
              <a:gd name="T3" fmla="*/ 24 h 28"/>
              <a:gd name="T4" fmla="*/ 40 w 40"/>
              <a:gd name="T5" fmla="*/ 24 h 28"/>
              <a:gd name="T6" fmla="*/ 40 w 40"/>
              <a:gd name="T7" fmla="*/ 28 h 28"/>
              <a:gd name="T8" fmla="*/ 0 w 40"/>
              <a:gd name="T9" fmla="*/ 28 h 28"/>
              <a:gd name="T10" fmla="*/ 0 w 40"/>
              <a:gd name="T11" fmla="*/ 0 h 28"/>
              <a:gd name="T12" fmla="*/ 4 w 40"/>
              <a:gd name="T13" fmla="*/ 0 h 28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40"/>
              <a:gd name="T22" fmla="*/ 0 h 28"/>
              <a:gd name="T23" fmla="*/ 40 w 40"/>
              <a:gd name="T24" fmla="*/ 28 h 28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40" h="28">
                <a:moveTo>
                  <a:pt x="4" y="0"/>
                </a:moveTo>
                <a:lnTo>
                  <a:pt x="4" y="24"/>
                </a:lnTo>
                <a:lnTo>
                  <a:pt x="40" y="24"/>
                </a:lnTo>
                <a:lnTo>
                  <a:pt x="40" y="28"/>
                </a:lnTo>
                <a:lnTo>
                  <a:pt x="0" y="28"/>
                </a:lnTo>
                <a:lnTo>
                  <a:pt x="0" y="0"/>
                </a:lnTo>
                <a:lnTo>
                  <a:pt x="4" y="0"/>
                </a:lnTo>
                <a:close/>
              </a:path>
            </a:pathLst>
          </a:custGeom>
          <a:solidFill>
            <a:srgbClr val="969696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4" name="Line 341"/>
          <xdr:cNvSpPr>
            <a:spLocks noChangeShapeType="1"/>
          </xdr:cNvSpPr>
        </xdr:nvSpPr>
        <xdr:spPr bwMode="auto">
          <a:xfrm flipH="1">
            <a:off x="1577" y="194"/>
            <a:ext cx="0" cy="324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5" name="Line 347"/>
          <xdr:cNvSpPr>
            <a:spLocks noChangeShapeType="1"/>
          </xdr:cNvSpPr>
        </xdr:nvSpPr>
        <xdr:spPr bwMode="auto">
          <a:xfrm>
            <a:off x="1324" y="232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266" name="Line 348"/>
          <xdr:cNvSpPr>
            <a:spLocks noChangeShapeType="1"/>
          </xdr:cNvSpPr>
        </xdr:nvSpPr>
        <xdr:spPr bwMode="auto">
          <a:xfrm flipV="1">
            <a:off x="1325" y="115"/>
            <a:ext cx="214" cy="118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19267" name="Group 349"/>
          <xdr:cNvGrpSpPr>
            <a:grpSpLocks/>
          </xdr:cNvGrpSpPr>
        </xdr:nvGrpSpPr>
        <xdr:grpSpPr bwMode="auto">
          <a:xfrm>
            <a:off x="1295" y="96"/>
            <a:ext cx="236" cy="135"/>
            <a:chOff x="15" y="71"/>
            <a:chExt cx="236" cy="135"/>
          </a:xfrm>
        </xdr:grpSpPr>
        <xdr:sp macro="" textlink="">
          <xdr:nvSpPr>
            <xdr:cNvPr id="119270" name="Freeform 350"/>
            <xdr:cNvSpPr>
              <a:spLocks/>
            </xdr:cNvSpPr>
          </xdr:nvSpPr>
          <xdr:spPr bwMode="auto">
            <a:xfrm>
              <a:off x="59" y="71"/>
              <a:ext cx="192" cy="134"/>
            </a:xfrm>
            <a:custGeom>
              <a:avLst/>
              <a:gdLst>
                <a:gd name="T0" fmla="*/ 0 w 192"/>
                <a:gd name="T1" fmla="*/ 107 h 134"/>
                <a:gd name="T2" fmla="*/ 192 w 192"/>
                <a:gd name="T3" fmla="*/ 0 h 134"/>
                <a:gd name="T4" fmla="*/ 192 w 192"/>
                <a:gd name="T5" fmla="*/ 28 h 134"/>
                <a:gd name="T6" fmla="*/ 0 w 192"/>
                <a:gd name="T7" fmla="*/ 134 h 134"/>
                <a:gd name="T8" fmla="*/ 0 w 192"/>
                <a:gd name="T9" fmla="*/ 107 h 134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92"/>
                <a:gd name="T16" fmla="*/ 0 h 134"/>
                <a:gd name="T17" fmla="*/ 192 w 192"/>
                <a:gd name="T18" fmla="*/ 134 h 134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92" h="134">
                  <a:moveTo>
                    <a:pt x="0" y="107"/>
                  </a:moveTo>
                  <a:lnTo>
                    <a:pt x="192" y="0"/>
                  </a:lnTo>
                  <a:lnTo>
                    <a:pt x="192" y="28"/>
                  </a:lnTo>
                  <a:lnTo>
                    <a:pt x="0" y="134"/>
                  </a:lnTo>
                  <a:lnTo>
                    <a:pt x="0" y="107"/>
                  </a:lnTo>
                  <a:close/>
                </a:path>
              </a:pathLst>
            </a:custGeom>
            <a:gradFill rotWithShape="1">
              <a:gsLst>
                <a:gs pos="0">
                  <a:srgbClr val="C0C0C0"/>
                </a:gs>
                <a:gs pos="100000">
                  <a:srgbClr val="FFFFFF"/>
                </a:gs>
              </a:gsLst>
              <a:lin ang="2700000" scaled="1"/>
            </a:gra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271" name="Freeform 351"/>
            <xdr:cNvSpPr>
              <a:spLocks/>
            </xdr:cNvSpPr>
          </xdr:nvSpPr>
          <xdr:spPr bwMode="auto">
            <a:xfrm>
              <a:off x="15" y="71"/>
              <a:ext cx="236" cy="107"/>
            </a:xfrm>
            <a:custGeom>
              <a:avLst/>
              <a:gdLst>
                <a:gd name="T0" fmla="*/ 44 w 236"/>
                <a:gd name="T1" fmla="*/ 107 h 107"/>
                <a:gd name="T2" fmla="*/ 0 w 236"/>
                <a:gd name="T3" fmla="*/ 107 h 107"/>
                <a:gd name="T4" fmla="*/ 195 w 236"/>
                <a:gd name="T5" fmla="*/ 0 h 107"/>
                <a:gd name="T6" fmla="*/ 236 w 236"/>
                <a:gd name="T7" fmla="*/ 0 h 107"/>
                <a:gd name="T8" fmla="*/ 44 w 236"/>
                <a:gd name="T9" fmla="*/ 107 h 10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236"/>
                <a:gd name="T16" fmla="*/ 0 h 107"/>
                <a:gd name="T17" fmla="*/ 236 w 236"/>
                <a:gd name="T18" fmla="*/ 107 h 10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236" h="107">
                  <a:moveTo>
                    <a:pt x="44" y="107"/>
                  </a:moveTo>
                  <a:lnTo>
                    <a:pt x="0" y="107"/>
                  </a:lnTo>
                  <a:lnTo>
                    <a:pt x="195" y="0"/>
                  </a:lnTo>
                  <a:lnTo>
                    <a:pt x="236" y="0"/>
                  </a:lnTo>
                  <a:lnTo>
                    <a:pt x="44" y="107"/>
                  </a:lnTo>
                  <a:close/>
                </a:path>
              </a:pathLst>
            </a:custGeom>
            <a:gradFill rotWithShape="1">
              <a:gsLst>
                <a:gs pos="0">
                  <a:srgbClr val="FFFFFF"/>
                </a:gs>
                <a:gs pos="100000">
                  <a:srgbClr val="C0C0C0"/>
                </a:gs>
              </a:gsLst>
              <a:lin ang="5400000" scaled="1"/>
            </a:gra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19272" name="Freeform 352"/>
            <xdr:cNvSpPr>
              <a:spLocks/>
            </xdr:cNvSpPr>
          </xdr:nvSpPr>
          <xdr:spPr bwMode="auto">
            <a:xfrm>
              <a:off x="15" y="178"/>
              <a:ext cx="45" cy="28"/>
            </a:xfrm>
            <a:custGeom>
              <a:avLst/>
              <a:gdLst>
                <a:gd name="T0" fmla="*/ 41 w 45"/>
                <a:gd name="T1" fmla="*/ 28 h 28"/>
                <a:gd name="T2" fmla="*/ 41 w 45"/>
                <a:gd name="T3" fmla="*/ 3 h 28"/>
                <a:gd name="T4" fmla="*/ 0 w 45"/>
                <a:gd name="T5" fmla="*/ 3 h 28"/>
                <a:gd name="T6" fmla="*/ 0 w 45"/>
                <a:gd name="T7" fmla="*/ 0 h 28"/>
                <a:gd name="T8" fmla="*/ 45 w 45"/>
                <a:gd name="T9" fmla="*/ 0 h 28"/>
                <a:gd name="T10" fmla="*/ 45 w 45"/>
                <a:gd name="T11" fmla="*/ 28 h 28"/>
                <a:gd name="T12" fmla="*/ 41 w 45"/>
                <a:gd name="T13" fmla="*/ 28 h 28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45"/>
                <a:gd name="T22" fmla="*/ 0 h 28"/>
                <a:gd name="T23" fmla="*/ 45 w 45"/>
                <a:gd name="T24" fmla="*/ 28 h 28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45" h="28">
                  <a:moveTo>
                    <a:pt x="41" y="28"/>
                  </a:moveTo>
                  <a:lnTo>
                    <a:pt x="41" y="3"/>
                  </a:lnTo>
                  <a:lnTo>
                    <a:pt x="0" y="3"/>
                  </a:lnTo>
                  <a:lnTo>
                    <a:pt x="0" y="0"/>
                  </a:lnTo>
                  <a:lnTo>
                    <a:pt x="45" y="0"/>
                  </a:lnTo>
                  <a:lnTo>
                    <a:pt x="45" y="28"/>
                  </a:lnTo>
                  <a:lnTo>
                    <a:pt x="41" y="28"/>
                  </a:lnTo>
                  <a:close/>
                </a:path>
              </a:pathLst>
            </a:custGeom>
            <a:solidFill>
              <a:srgbClr val="969696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19268" name="Freeform 355"/>
          <xdr:cNvSpPr>
            <a:spLocks/>
          </xdr:cNvSpPr>
        </xdr:nvSpPr>
        <xdr:spPr bwMode="auto">
          <a:xfrm>
            <a:off x="1376" y="163"/>
            <a:ext cx="197" cy="494"/>
          </a:xfrm>
          <a:custGeom>
            <a:avLst/>
            <a:gdLst>
              <a:gd name="T0" fmla="*/ 0 w 197"/>
              <a:gd name="T1" fmla="*/ 188 h 494"/>
              <a:gd name="T2" fmla="*/ 0 w 197"/>
              <a:gd name="T3" fmla="*/ 172 h 494"/>
              <a:gd name="T4" fmla="*/ 0 w 197"/>
              <a:gd name="T5" fmla="*/ 121 h 494"/>
              <a:gd name="T6" fmla="*/ 1 w 197"/>
              <a:gd name="T7" fmla="*/ 109 h 494"/>
              <a:gd name="T8" fmla="*/ 8 w 197"/>
              <a:gd name="T9" fmla="*/ 106 h 494"/>
              <a:gd name="T10" fmla="*/ 23 w 197"/>
              <a:gd name="T11" fmla="*/ 97 h 494"/>
              <a:gd name="T12" fmla="*/ 77 w 197"/>
              <a:gd name="T13" fmla="*/ 67 h 494"/>
              <a:gd name="T14" fmla="*/ 120 w 197"/>
              <a:gd name="T15" fmla="*/ 42 h 494"/>
              <a:gd name="T16" fmla="*/ 146 w 197"/>
              <a:gd name="T17" fmla="*/ 27 h 494"/>
              <a:gd name="T18" fmla="*/ 172 w 197"/>
              <a:gd name="T19" fmla="*/ 13 h 494"/>
              <a:gd name="T20" fmla="*/ 186 w 197"/>
              <a:gd name="T21" fmla="*/ 4 h 494"/>
              <a:gd name="T22" fmla="*/ 194 w 197"/>
              <a:gd name="T23" fmla="*/ 0 h 494"/>
              <a:gd name="T24" fmla="*/ 197 w 197"/>
              <a:gd name="T25" fmla="*/ 0 h 494"/>
              <a:gd name="T26" fmla="*/ 196 w 197"/>
              <a:gd name="T27" fmla="*/ 72 h 494"/>
              <a:gd name="T28" fmla="*/ 196 w 197"/>
              <a:gd name="T29" fmla="*/ 343 h 494"/>
              <a:gd name="T30" fmla="*/ 196 w 197"/>
              <a:gd name="T31" fmla="*/ 393 h 494"/>
              <a:gd name="T32" fmla="*/ 190 w 197"/>
              <a:gd name="T33" fmla="*/ 397 h 494"/>
              <a:gd name="T34" fmla="*/ 18 w 197"/>
              <a:gd name="T35" fmla="*/ 491 h 494"/>
              <a:gd name="T36" fmla="*/ 5 w 197"/>
              <a:gd name="T37" fmla="*/ 494 h 494"/>
              <a:gd name="T38" fmla="*/ 1 w 197"/>
              <a:gd name="T39" fmla="*/ 492 h 494"/>
              <a:gd name="T40" fmla="*/ 0 w 197"/>
              <a:gd name="T41" fmla="*/ 188 h 494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197"/>
              <a:gd name="T64" fmla="*/ 0 h 494"/>
              <a:gd name="T65" fmla="*/ 197 w 197"/>
              <a:gd name="T66" fmla="*/ 494 h 494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197" h="494">
                <a:moveTo>
                  <a:pt x="0" y="188"/>
                </a:moveTo>
                <a:lnTo>
                  <a:pt x="0" y="172"/>
                </a:lnTo>
                <a:lnTo>
                  <a:pt x="0" y="121"/>
                </a:lnTo>
                <a:lnTo>
                  <a:pt x="1" y="109"/>
                </a:lnTo>
                <a:lnTo>
                  <a:pt x="8" y="106"/>
                </a:lnTo>
                <a:lnTo>
                  <a:pt x="23" y="97"/>
                </a:lnTo>
                <a:lnTo>
                  <a:pt x="77" y="67"/>
                </a:lnTo>
                <a:lnTo>
                  <a:pt x="120" y="42"/>
                </a:lnTo>
                <a:lnTo>
                  <a:pt x="146" y="27"/>
                </a:lnTo>
                <a:lnTo>
                  <a:pt x="172" y="13"/>
                </a:lnTo>
                <a:lnTo>
                  <a:pt x="186" y="4"/>
                </a:lnTo>
                <a:lnTo>
                  <a:pt x="194" y="0"/>
                </a:lnTo>
                <a:lnTo>
                  <a:pt x="197" y="0"/>
                </a:lnTo>
                <a:lnTo>
                  <a:pt x="196" y="72"/>
                </a:lnTo>
                <a:lnTo>
                  <a:pt x="196" y="343"/>
                </a:lnTo>
                <a:lnTo>
                  <a:pt x="196" y="393"/>
                </a:lnTo>
                <a:lnTo>
                  <a:pt x="190" y="397"/>
                </a:lnTo>
                <a:lnTo>
                  <a:pt x="18" y="491"/>
                </a:lnTo>
                <a:lnTo>
                  <a:pt x="5" y="494"/>
                </a:lnTo>
                <a:lnTo>
                  <a:pt x="1" y="492"/>
                </a:lnTo>
                <a:lnTo>
                  <a:pt x="0" y="188"/>
                </a:lnTo>
                <a:close/>
              </a:path>
            </a:pathLst>
          </a:custGeom>
          <a:gradFill rotWithShape="1">
            <a:gsLst>
              <a:gs pos="0">
                <a:srgbClr val="FFFFFF"/>
              </a:gs>
              <a:gs pos="100000">
                <a:srgbClr val="69FFFF"/>
              </a:gs>
            </a:gsLst>
            <a:lin ang="2700000" scaled="1"/>
          </a:gradFill>
          <a:ln w="57150">
            <a:solidFill>
              <a:srgbClr val="A6CAF0"/>
            </a:solidFill>
            <a:round/>
            <a:headEnd/>
            <a:tailEnd/>
          </a:ln>
        </xdr:spPr>
      </xdr:sp>
      <xdr:sp macro="" textlink="">
        <xdr:nvSpPr>
          <xdr:cNvPr id="119269" name="Rectangle 315"/>
          <xdr:cNvSpPr>
            <a:spLocks noChangeArrowheads="1"/>
          </xdr:cNvSpPr>
        </xdr:nvSpPr>
        <xdr:spPr bwMode="auto">
          <a:xfrm>
            <a:off x="1325" y="233"/>
            <a:ext cx="41" cy="473"/>
          </a:xfrm>
          <a:prstGeom prst="rect">
            <a:avLst/>
          </a:prstGeom>
          <a:solidFill>
            <a:srgbClr val="69FFFF"/>
          </a:solidFill>
          <a:ln w="19050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53</xdr:row>
      <xdr:rowOff>76200</xdr:rowOff>
    </xdr:from>
    <xdr:to>
      <xdr:col>11</xdr:col>
      <xdr:colOff>571500</xdr:colOff>
      <xdr:row>73</xdr:row>
      <xdr:rowOff>85725</xdr:rowOff>
    </xdr:to>
    <xdr:grpSp>
      <xdr:nvGrpSpPr>
        <xdr:cNvPr id="119171" name="Group 384"/>
        <xdr:cNvGrpSpPr>
          <a:grpSpLocks/>
        </xdr:cNvGrpSpPr>
      </xdr:nvGrpSpPr>
      <xdr:grpSpPr bwMode="auto">
        <a:xfrm>
          <a:off x="609600" y="8658225"/>
          <a:ext cx="6667500" cy="3248025"/>
          <a:chOff x="64" y="909"/>
          <a:chExt cx="700" cy="341"/>
        </a:xfrm>
      </xdr:grpSpPr>
      <xdr:sp macro="" textlink="">
        <xdr:nvSpPr>
          <xdr:cNvPr id="119172" name="Rectangle 361"/>
          <xdr:cNvSpPr>
            <a:spLocks noChangeArrowheads="1"/>
          </xdr:cNvSpPr>
        </xdr:nvSpPr>
        <xdr:spPr bwMode="auto">
          <a:xfrm>
            <a:off x="64" y="909"/>
            <a:ext cx="448" cy="340"/>
          </a:xfrm>
          <a:prstGeom prst="rect">
            <a:avLst/>
          </a:prstGeom>
          <a:solidFill>
            <a:srgbClr val="FF99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173" name="Rectangle 362" descr="Granite"/>
          <xdr:cNvSpPr>
            <a:spLocks noChangeArrowheads="1"/>
          </xdr:cNvSpPr>
        </xdr:nvSpPr>
        <xdr:spPr bwMode="auto">
          <a:xfrm>
            <a:off x="64" y="918"/>
            <a:ext cx="448" cy="153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174" name="Rectangle 367" descr="Granite"/>
          <xdr:cNvSpPr>
            <a:spLocks noChangeArrowheads="1"/>
          </xdr:cNvSpPr>
        </xdr:nvSpPr>
        <xdr:spPr bwMode="auto">
          <a:xfrm>
            <a:off x="64" y="1088"/>
            <a:ext cx="448" cy="154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9175" name="Line 370"/>
          <xdr:cNvSpPr>
            <a:spLocks noChangeShapeType="1"/>
          </xdr:cNvSpPr>
        </xdr:nvSpPr>
        <xdr:spPr bwMode="auto">
          <a:xfrm>
            <a:off x="128" y="909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76" name="Line 371"/>
          <xdr:cNvSpPr>
            <a:spLocks noChangeShapeType="1"/>
          </xdr:cNvSpPr>
        </xdr:nvSpPr>
        <xdr:spPr bwMode="auto">
          <a:xfrm>
            <a:off x="192" y="909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77" name="Line 372"/>
          <xdr:cNvSpPr>
            <a:spLocks noChangeShapeType="1"/>
          </xdr:cNvSpPr>
        </xdr:nvSpPr>
        <xdr:spPr bwMode="auto">
          <a:xfrm>
            <a:off x="256" y="910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78" name="Line 373"/>
          <xdr:cNvSpPr>
            <a:spLocks noChangeShapeType="1"/>
          </xdr:cNvSpPr>
        </xdr:nvSpPr>
        <xdr:spPr bwMode="auto">
          <a:xfrm>
            <a:off x="320" y="910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79" name="Line 374"/>
          <xdr:cNvSpPr>
            <a:spLocks noChangeShapeType="1"/>
          </xdr:cNvSpPr>
        </xdr:nvSpPr>
        <xdr:spPr bwMode="auto">
          <a:xfrm>
            <a:off x="384" y="909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80" name="Line 375"/>
          <xdr:cNvSpPr>
            <a:spLocks noChangeShapeType="1"/>
          </xdr:cNvSpPr>
        </xdr:nvSpPr>
        <xdr:spPr bwMode="auto">
          <a:xfrm>
            <a:off x="448" y="909"/>
            <a:ext cx="0" cy="34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81" name="Line 376"/>
          <xdr:cNvSpPr>
            <a:spLocks noChangeShapeType="1"/>
          </xdr:cNvSpPr>
        </xdr:nvSpPr>
        <xdr:spPr bwMode="auto">
          <a:xfrm>
            <a:off x="64" y="994"/>
            <a:ext cx="448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82" name="Line 377"/>
          <xdr:cNvSpPr>
            <a:spLocks noChangeShapeType="1"/>
          </xdr:cNvSpPr>
        </xdr:nvSpPr>
        <xdr:spPr bwMode="auto">
          <a:xfrm>
            <a:off x="64" y="1080"/>
            <a:ext cx="448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83" name="Line 378"/>
          <xdr:cNvSpPr>
            <a:spLocks noChangeShapeType="1"/>
          </xdr:cNvSpPr>
        </xdr:nvSpPr>
        <xdr:spPr bwMode="auto">
          <a:xfrm>
            <a:off x="64" y="1165"/>
            <a:ext cx="448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19163" name="AutoShape 379"/>
          <xdr:cNvSpPr>
            <a:spLocks/>
          </xdr:cNvSpPr>
        </xdr:nvSpPr>
        <xdr:spPr bwMode="auto">
          <a:xfrm>
            <a:off x="591" y="929"/>
            <a:ext cx="122" cy="64"/>
          </a:xfrm>
          <a:prstGeom prst="callout2">
            <a:avLst>
              <a:gd name="adj1" fmla="val 18750"/>
              <a:gd name="adj2" fmla="val -6556"/>
              <a:gd name="adj3" fmla="val 18750"/>
              <a:gd name="adj4" fmla="val -50000"/>
              <a:gd name="adj5" fmla="val 45315"/>
              <a:gd name="adj6" fmla="val -85245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en-US" sz="1800" b="1" i="0" strike="noStrike">
                <a:solidFill>
                  <a:srgbClr val="000000"/>
                </a:solidFill>
                <a:latin typeface="Arial"/>
                <a:cs typeface="Arial"/>
              </a:rPr>
              <a:t>Electrode Coating</a:t>
            </a:r>
          </a:p>
        </xdr:txBody>
      </xdr:sp>
      <xdr:sp macro="" textlink="">
        <xdr:nvSpPr>
          <xdr:cNvPr id="119164" name="AutoShape 380"/>
          <xdr:cNvSpPr>
            <a:spLocks/>
          </xdr:cNvSpPr>
        </xdr:nvSpPr>
        <xdr:spPr bwMode="auto">
          <a:xfrm>
            <a:off x="564" y="1147"/>
            <a:ext cx="200" cy="99"/>
          </a:xfrm>
          <a:prstGeom prst="callout2">
            <a:avLst>
              <a:gd name="adj1" fmla="val 12120"/>
              <a:gd name="adj2" fmla="val -4000"/>
              <a:gd name="adj3" fmla="val 12120"/>
              <a:gd name="adj4" fmla="val -20500"/>
              <a:gd name="adj5" fmla="val 57574"/>
              <a:gd name="adj6" fmla="val -585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en-US" sz="1800" b="1" i="0" strike="noStrike">
                <a:solidFill>
                  <a:srgbClr val="000000"/>
                </a:solidFill>
                <a:latin typeface="Arial"/>
                <a:cs typeface="Arial"/>
              </a:rPr>
              <a:t>Lines Showing Places to Cut for Electrodes</a:t>
            </a:r>
          </a:p>
        </xdr:txBody>
      </xdr:sp>
      <xdr:sp macro="" textlink="">
        <xdr:nvSpPr>
          <xdr:cNvPr id="119165" name="AutoShape 381"/>
          <xdr:cNvSpPr>
            <a:spLocks/>
          </xdr:cNvSpPr>
        </xdr:nvSpPr>
        <xdr:spPr bwMode="auto">
          <a:xfrm>
            <a:off x="583" y="1049"/>
            <a:ext cx="178" cy="58"/>
          </a:xfrm>
          <a:prstGeom prst="callout2">
            <a:avLst>
              <a:gd name="adj1" fmla="val 20690"/>
              <a:gd name="adj2" fmla="val -4495"/>
              <a:gd name="adj3" fmla="val 20690"/>
              <a:gd name="adj4" fmla="val -24718"/>
              <a:gd name="adj5" fmla="val 46551"/>
              <a:gd name="adj6" fmla="val -41009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 type="triangle" w="lg" len="lg"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en-US" sz="1800" b="1" i="0" strike="noStrike">
                <a:solidFill>
                  <a:srgbClr val="000000"/>
                </a:solidFill>
                <a:latin typeface="Arial"/>
                <a:cs typeface="Arial"/>
              </a:rPr>
              <a:t>Uncoated Area for CC Tabs</a:t>
            </a:r>
          </a:p>
        </xdr:txBody>
      </xdr:sp>
      <xdr:sp macro="" textlink="">
        <xdr:nvSpPr>
          <xdr:cNvPr id="119187" name="Line 382"/>
          <xdr:cNvSpPr>
            <a:spLocks noChangeShapeType="1"/>
          </xdr:cNvSpPr>
        </xdr:nvSpPr>
        <xdr:spPr bwMode="auto">
          <a:xfrm flipH="1" flipV="1">
            <a:off x="472" y="1079"/>
            <a:ext cx="51" cy="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lg" len="lg"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19050</xdr:rowOff>
    </xdr:from>
    <xdr:to>
      <xdr:col>14</xdr:col>
      <xdr:colOff>390525</xdr:colOff>
      <xdr:row>5</xdr:row>
      <xdr:rowOff>142875</xdr:rowOff>
    </xdr:to>
    <xdr:sp macro="" textlink="">
      <xdr:nvSpPr>
        <xdr:cNvPr id="120942" name="Text Box 110"/>
        <xdr:cNvSpPr txBox="1">
          <a:spLocks noChangeArrowheads="1"/>
        </xdr:cNvSpPr>
      </xdr:nvSpPr>
      <xdr:spPr bwMode="auto">
        <a:xfrm>
          <a:off x="247650" y="19050"/>
          <a:ext cx="8677275" cy="933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600" b="1" i="0" strike="noStrike">
              <a:solidFill>
                <a:srgbClr val="000000"/>
              </a:solidFill>
              <a:latin typeface="Arial"/>
              <a:cs typeface="Arial"/>
            </a:rPr>
            <a:t>Baseline Lithium-Ion Battery Manufacturing Plant Schematic Diagram</a:t>
          </a:r>
          <a:endParaRPr lang="en-US" sz="1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8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100,000 battery NCA-Gr packs per year, 50-kW battery power, 40-Ah capacity, 60 cells per battery</a:t>
          </a:r>
        </a:p>
        <a:p>
          <a:pPr algn="ctr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Arial"/>
              <a:cs typeface="Arial"/>
            </a:rPr>
            <a:t>Operating year: 300 days with three 8-hr shifts per day (two shifts for receiving and shipping)</a:t>
          </a:r>
        </a:p>
      </xdr:txBody>
    </xdr:sp>
    <xdr:clientData/>
  </xdr:twoCellAnchor>
  <xdr:twoCellAnchor>
    <xdr:from>
      <xdr:col>0</xdr:col>
      <xdr:colOff>257175</xdr:colOff>
      <xdr:row>6</xdr:row>
      <xdr:rowOff>85725</xdr:rowOff>
    </xdr:from>
    <xdr:to>
      <xdr:col>14</xdr:col>
      <xdr:colOff>295275</xdr:colOff>
      <xdr:row>42</xdr:row>
      <xdr:rowOff>38100</xdr:rowOff>
    </xdr:to>
    <xdr:grpSp>
      <xdr:nvGrpSpPr>
        <xdr:cNvPr id="120994" name="Group 160"/>
        <xdr:cNvGrpSpPr>
          <a:grpSpLocks/>
        </xdr:cNvGrpSpPr>
      </xdr:nvGrpSpPr>
      <xdr:grpSpPr bwMode="auto">
        <a:xfrm>
          <a:off x="257175" y="1057275"/>
          <a:ext cx="8572500" cy="5781675"/>
          <a:chOff x="2" y="118"/>
          <a:chExt cx="900" cy="607"/>
        </a:xfrm>
      </xdr:grpSpPr>
      <xdr:sp macro="" textlink="">
        <xdr:nvSpPr>
          <xdr:cNvPr id="120945" name="Text Box 113"/>
          <xdr:cNvSpPr txBox="1">
            <a:spLocks noChangeArrowheads="1"/>
          </xdr:cNvSpPr>
        </xdr:nvSpPr>
        <xdr:spPr bwMode="auto">
          <a:xfrm>
            <a:off x="28" y="663"/>
            <a:ext cx="865" cy="6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The areas in this diagram for each processing step are approximately proportional to the estimated plant areas in the baseline plant.</a:t>
            </a:r>
          </a:p>
          <a:p>
            <a:pPr algn="l" rtl="0">
              <a:defRPr sz="1000"/>
            </a:pPr>
            <a:endParaRPr lang="en-US" sz="16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0938" name="Text Box 106"/>
          <xdr:cNvSpPr txBox="1">
            <a:spLocks noChangeArrowheads="1"/>
          </xdr:cNvSpPr>
        </xdr:nvSpPr>
        <xdr:spPr bwMode="auto">
          <a:xfrm>
            <a:off x="2" y="272"/>
            <a:ext cx="128" cy="19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36576" bIns="32004" anchor="ctr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Shipping</a:t>
            </a:r>
          </a:p>
        </xdr:txBody>
      </xdr:sp>
      <xdr:sp macro="" textlink="">
        <xdr:nvSpPr>
          <xdr:cNvPr id="120939" name="Text Box 107"/>
          <xdr:cNvSpPr txBox="1">
            <a:spLocks noChangeArrowheads="1"/>
          </xdr:cNvSpPr>
        </xdr:nvSpPr>
        <xdr:spPr bwMode="auto">
          <a:xfrm>
            <a:off x="2" y="471"/>
            <a:ext cx="128" cy="13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Cell and Scrap Recycling</a:t>
            </a:r>
          </a:p>
        </xdr:txBody>
      </xdr:sp>
      <xdr:sp macro="" textlink="">
        <xdr:nvSpPr>
          <xdr:cNvPr id="120940" name="Text Box 108"/>
          <xdr:cNvSpPr txBox="1">
            <a:spLocks noChangeArrowheads="1"/>
          </xdr:cNvSpPr>
        </xdr:nvSpPr>
        <xdr:spPr bwMode="auto">
          <a:xfrm>
            <a:off x="2" y="118"/>
            <a:ext cx="173" cy="15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36576" bIns="32004" anchor="ctr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Receiving</a:t>
            </a:r>
          </a:p>
        </xdr:txBody>
      </xdr:sp>
      <xdr:sp macro="" textlink="">
        <xdr:nvSpPr>
          <xdr:cNvPr id="120941" name="Text Box 109"/>
          <xdr:cNvSpPr txBox="1">
            <a:spLocks noChangeArrowheads="1"/>
          </xdr:cNvSpPr>
        </xdr:nvSpPr>
        <xdr:spPr bwMode="auto">
          <a:xfrm>
            <a:off x="263" y="272"/>
            <a:ext cx="135" cy="9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Control Laboratory</a:t>
            </a:r>
          </a:p>
        </xdr:txBody>
      </xdr:sp>
      <xdr:sp macro="" textlink="">
        <xdr:nvSpPr>
          <xdr:cNvPr id="121000" name="AutoShape 111"/>
          <xdr:cNvSpPr>
            <a:spLocks noChangeArrowheads="1"/>
          </xdr:cNvSpPr>
        </xdr:nvSpPr>
        <xdr:spPr bwMode="auto">
          <a:xfrm>
            <a:off x="76" y="626"/>
            <a:ext cx="65" cy="14"/>
          </a:xfrm>
          <a:prstGeom prst="rightArrow">
            <a:avLst>
              <a:gd name="adj1" fmla="val 50000"/>
              <a:gd name="adj2" fmla="val 116071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0944" name="Text Box 112"/>
          <xdr:cNvSpPr txBox="1">
            <a:spLocks noChangeArrowheads="1"/>
          </xdr:cNvSpPr>
        </xdr:nvSpPr>
        <xdr:spPr bwMode="auto">
          <a:xfrm>
            <a:off x="150" y="619"/>
            <a:ext cx="18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800080"/>
                </a:solidFill>
                <a:latin typeface="Arial"/>
                <a:cs typeface="Arial"/>
              </a:rPr>
              <a:t>Assembly Route</a:t>
            </a:r>
          </a:p>
        </xdr:txBody>
      </xdr:sp>
      <xdr:sp macro="" textlink="">
        <xdr:nvSpPr>
          <xdr:cNvPr id="120946" name="Text Box 114"/>
          <xdr:cNvSpPr txBox="1">
            <a:spLocks noChangeArrowheads="1"/>
          </xdr:cNvSpPr>
        </xdr:nvSpPr>
        <xdr:spPr bwMode="auto">
          <a:xfrm>
            <a:off x="130" y="271"/>
            <a:ext cx="133" cy="19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Battery Pack Assembly and Testing</a:t>
            </a: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0947" name="Text Box 115"/>
          <xdr:cNvSpPr txBox="1">
            <a:spLocks noChangeArrowheads="1"/>
          </xdr:cNvSpPr>
        </xdr:nvSpPr>
        <xdr:spPr bwMode="auto">
          <a:xfrm>
            <a:off x="263" y="365"/>
            <a:ext cx="135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Module Assembly</a:t>
            </a:r>
          </a:p>
          <a:p>
            <a:pPr algn="ctr" rtl="0">
              <a:defRPr sz="1000"/>
            </a:pPr>
            <a:endParaRPr lang="en-US" sz="16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1004" name="AutoShape 116"/>
          <xdr:cNvSpPr>
            <a:spLocks noChangeArrowheads="1"/>
          </xdr:cNvSpPr>
        </xdr:nvSpPr>
        <xdr:spPr bwMode="auto">
          <a:xfrm>
            <a:off x="837" y="267"/>
            <a:ext cx="15" cy="60"/>
          </a:xfrm>
          <a:prstGeom prst="downArrow">
            <a:avLst>
              <a:gd name="adj1" fmla="val 50000"/>
              <a:gd name="adj2" fmla="val 100000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05" name="AutoShape 117"/>
          <xdr:cNvSpPr>
            <a:spLocks noChangeArrowheads="1"/>
          </xdr:cNvSpPr>
        </xdr:nvSpPr>
        <xdr:spPr bwMode="auto">
          <a:xfrm rot="-5400000">
            <a:off x="30" y="451"/>
            <a:ext cx="70" cy="13"/>
          </a:xfrm>
          <a:prstGeom prst="rightArrow">
            <a:avLst>
              <a:gd name="adj1" fmla="val 50000"/>
              <a:gd name="adj2" fmla="val 134615"/>
            </a:avLst>
          </a:prstGeom>
          <a:solidFill>
            <a:srgbClr val="FFFFFF"/>
          </a:solidFill>
          <a:ln w="9525">
            <a:solidFill>
              <a:srgbClr val="000000"/>
            </a:solidFill>
            <a:prstDash val="dash"/>
            <a:miter lim="800000"/>
            <a:headEnd/>
            <a:tailEnd/>
          </a:ln>
        </xdr:spPr>
      </xdr:sp>
      <xdr:sp macro="" textlink="">
        <xdr:nvSpPr>
          <xdr:cNvPr id="120950" name="Text Box 118"/>
          <xdr:cNvSpPr txBox="1">
            <a:spLocks noChangeArrowheads="1"/>
          </xdr:cNvSpPr>
        </xdr:nvSpPr>
        <xdr:spPr bwMode="auto">
          <a:xfrm>
            <a:off x="398" y="272"/>
            <a:ext cx="238" cy="33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0" bIns="32004" anchor="ctr" upright="1"/>
          <a:lstStyle/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     Formation  </a:t>
            </a:r>
          </a:p>
          <a:p>
            <a:pPr algn="l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       Cycling</a:t>
            </a:r>
          </a:p>
        </xdr:txBody>
      </xdr:sp>
      <xdr:sp macro="" textlink="">
        <xdr:nvSpPr>
          <xdr:cNvPr id="120951" name="Text Box 119"/>
          <xdr:cNvSpPr txBox="1">
            <a:spLocks noChangeArrowheads="1"/>
          </xdr:cNvSpPr>
        </xdr:nvSpPr>
        <xdr:spPr bwMode="auto">
          <a:xfrm>
            <a:off x="774" y="344"/>
            <a:ext cx="127" cy="16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Current Collector</a:t>
            </a: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 Welding</a:t>
            </a:r>
          </a:p>
        </xdr:txBody>
      </xdr:sp>
      <xdr:sp macro="" textlink="">
        <xdr:nvSpPr>
          <xdr:cNvPr id="120952" name="Text Box 120"/>
          <xdr:cNvSpPr txBox="1">
            <a:spLocks noChangeArrowheads="1"/>
          </xdr:cNvSpPr>
        </xdr:nvSpPr>
        <xdr:spPr bwMode="auto">
          <a:xfrm>
            <a:off x="660" y="343"/>
            <a:ext cx="116" cy="16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Enclosing Cell in Container</a:t>
            </a:r>
          </a:p>
        </xdr:txBody>
      </xdr:sp>
      <xdr:sp macro="" textlink="">
        <xdr:nvSpPr>
          <xdr:cNvPr id="120953" name="Text Box 121"/>
          <xdr:cNvSpPr txBox="1">
            <a:spLocks noChangeArrowheads="1"/>
          </xdr:cNvSpPr>
        </xdr:nvSpPr>
        <xdr:spPr bwMode="auto">
          <a:xfrm>
            <a:off x="637" y="509"/>
            <a:ext cx="263" cy="9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Electrolyte Filling</a:t>
            </a: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and Cell Closing</a:t>
            </a:r>
          </a:p>
        </xdr:txBody>
      </xdr:sp>
      <xdr:sp macro="" textlink="">
        <xdr:nvSpPr>
          <xdr:cNvPr id="120954" name="Text Box 122"/>
          <xdr:cNvSpPr txBox="1">
            <a:spLocks noChangeArrowheads="1"/>
          </xdr:cNvSpPr>
        </xdr:nvSpPr>
        <xdr:spPr bwMode="auto">
          <a:xfrm>
            <a:off x="636" y="272"/>
            <a:ext cx="266" cy="8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Cell Stacking</a:t>
            </a:r>
          </a:p>
        </xdr:txBody>
      </xdr:sp>
      <xdr:sp macro="" textlink="">
        <xdr:nvSpPr>
          <xdr:cNvPr id="121011" name="AutoShape 123"/>
          <xdr:cNvSpPr>
            <a:spLocks noChangeArrowheads="1"/>
          </xdr:cNvSpPr>
        </xdr:nvSpPr>
        <xdr:spPr bwMode="auto">
          <a:xfrm rot="10800000">
            <a:off x="702" y="494"/>
            <a:ext cx="34" cy="39"/>
          </a:xfrm>
          <a:custGeom>
            <a:avLst/>
            <a:gdLst>
              <a:gd name="T0" fmla="*/ 22 w 21600"/>
              <a:gd name="T1" fmla="*/ 0 h 21600"/>
              <a:gd name="T2" fmla="*/ 22 w 21600"/>
              <a:gd name="T3" fmla="*/ 22 h 21600"/>
              <a:gd name="T4" fmla="*/ 3 w 21600"/>
              <a:gd name="T5" fmla="*/ 39 h 21600"/>
              <a:gd name="T6" fmla="*/ 34 w 21600"/>
              <a:gd name="T7" fmla="*/ 11 h 21600"/>
              <a:gd name="T8" fmla="*/ 17694720 60000 65536"/>
              <a:gd name="T9" fmla="*/ 5898240 60000 65536"/>
              <a:gd name="T10" fmla="*/ 5898240 60000 65536"/>
              <a:gd name="T11" fmla="*/ 0 60000 65536"/>
              <a:gd name="T12" fmla="*/ 12706 w 21600"/>
              <a:gd name="T13" fmla="*/ 3877 h 21600"/>
              <a:gd name="T14" fmla="*/ 19059 w 21600"/>
              <a:gd name="T15" fmla="*/ 8308 h 2160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600" h="21600">
                <a:moveTo>
                  <a:pt x="21600" y="6079"/>
                </a:moveTo>
                <a:lnTo>
                  <a:pt x="13976" y="0"/>
                </a:lnTo>
                <a:lnTo>
                  <a:pt x="13976" y="3978"/>
                </a:lnTo>
                <a:lnTo>
                  <a:pt x="12427" y="3978"/>
                </a:lnTo>
                <a:cubicBezTo>
                  <a:pt x="5564" y="3978"/>
                  <a:pt x="0" y="7640"/>
                  <a:pt x="0" y="12158"/>
                </a:cubicBezTo>
                <a:lnTo>
                  <a:pt x="0" y="21600"/>
                </a:lnTo>
                <a:lnTo>
                  <a:pt x="4295" y="21600"/>
                </a:lnTo>
                <a:lnTo>
                  <a:pt x="4295" y="12158"/>
                </a:lnTo>
                <a:cubicBezTo>
                  <a:pt x="4295" y="9961"/>
                  <a:pt x="7936" y="8180"/>
                  <a:pt x="12427" y="8180"/>
                </a:cubicBezTo>
                <a:lnTo>
                  <a:pt x="13976" y="8180"/>
                </a:lnTo>
                <a:lnTo>
                  <a:pt x="13976" y="12158"/>
                </a:lnTo>
                <a:close/>
              </a:path>
            </a:pathLst>
          </a:cu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0956" name="Text Box 124"/>
          <xdr:cNvSpPr txBox="1">
            <a:spLocks noChangeArrowheads="1"/>
          </xdr:cNvSpPr>
        </xdr:nvSpPr>
        <xdr:spPr bwMode="auto">
          <a:xfrm>
            <a:off x="493" y="118"/>
            <a:ext cx="175" cy="15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Solvent Evaporation</a:t>
            </a: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Positive</a:t>
            </a: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Negative</a:t>
            </a: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0957" name="Text Box 125"/>
          <xdr:cNvSpPr txBox="1">
            <a:spLocks noChangeArrowheads="1"/>
          </xdr:cNvSpPr>
        </xdr:nvSpPr>
        <xdr:spPr bwMode="auto">
          <a:xfrm>
            <a:off x="394" y="118"/>
            <a:ext cx="100" cy="15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Electrode Coating</a:t>
            </a: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Positive</a:t>
            </a:r>
          </a:p>
          <a:p>
            <a:pPr algn="ctr" rtl="0">
              <a:defRPr sz="1000"/>
            </a:pPr>
            <a:endParaRPr lang="en-US" sz="1400" b="1" i="0" strike="noStrike">
              <a:solidFill>
                <a:srgbClr val="80808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Negative</a:t>
            </a:r>
          </a:p>
        </xdr:txBody>
      </xdr:sp>
      <xdr:sp macro="" textlink="">
        <xdr:nvSpPr>
          <xdr:cNvPr id="120958" name="Text Box 126"/>
          <xdr:cNvSpPr txBox="1">
            <a:spLocks noChangeArrowheads="1"/>
          </xdr:cNvSpPr>
        </xdr:nvSpPr>
        <xdr:spPr bwMode="auto">
          <a:xfrm>
            <a:off x="805" y="118"/>
            <a:ext cx="97" cy="8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Electrode Slitting</a:t>
            </a:r>
          </a:p>
        </xdr:txBody>
      </xdr:sp>
      <xdr:sp macro="" textlink="">
        <xdr:nvSpPr>
          <xdr:cNvPr id="120959" name="Text Box 127"/>
          <xdr:cNvSpPr txBox="1">
            <a:spLocks noChangeArrowheads="1"/>
          </xdr:cNvSpPr>
        </xdr:nvSpPr>
        <xdr:spPr bwMode="auto">
          <a:xfrm>
            <a:off x="805" y="200"/>
            <a:ext cx="97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Vacuum Drying</a:t>
            </a:r>
          </a:p>
        </xdr:txBody>
      </xdr:sp>
      <xdr:sp macro="" textlink="">
        <xdr:nvSpPr>
          <xdr:cNvPr id="120960" name="Text Box 128"/>
          <xdr:cNvSpPr txBox="1">
            <a:spLocks noChangeArrowheads="1"/>
          </xdr:cNvSpPr>
        </xdr:nvSpPr>
        <xdr:spPr bwMode="auto">
          <a:xfrm>
            <a:off x="174" y="118"/>
            <a:ext cx="221" cy="15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Electrode Materials Preparation</a:t>
            </a: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Positive</a:t>
            </a: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400" b="1" i="0" strike="noStrike">
                <a:solidFill>
                  <a:srgbClr val="808080"/>
                </a:solidFill>
                <a:latin typeface="Arial"/>
                <a:cs typeface="Arial"/>
              </a:rPr>
              <a:t>Negative</a:t>
            </a: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0961" name="Text Box 129"/>
          <xdr:cNvSpPr txBox="1">
            <a:spLocks noChangeArrowheads="1"/>
          </xdr:cNvSpPr>
        </xdr:nvSpPr>
        <xdr:spPr bwMode="auto">
          <a:xfrm>
            <a:off x="668" y="170"/>
            <a:ext cx="137" cy="10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Calendering</a:t>
            </a:r>
          </a:p>
        </xdr:txBody>
      </xdr:sp>
      <xdr:sp macro="" textlink="">
        <xdr:nvSpPr>
          <xdr:cNvPr id="120962" name="Text Box 130"/>
          <xdr:cNvSpPr txBox="1">
            <a:spLocks noChangeArrowheads="1"/>
          </xdr:cNvSpPr>
        </xdr:nvSpPr>
        <xdr:spPr bwMode="auto">
          <a:xfrm>
            <a:off x="668" y="118"/>
            <a:ext cx="137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Solvent Recovery</a:t>
            </a:r>
          </a:p>
        </xdr:txBody>
      </xdr:sp>
      <xdr:sp macro="" textlink="">
        <xdr:nvSpPr>
          <xdr:cNvPr id="121019" name="Line 131"/>
          <xdr:cNvSpPr>
            <a:spLocks noChangeShapeType="1"/>
          </xdr:cNvSpPr>
        </xdr:nvSpPr>
        <xdr:spPr bwMode="auto">
          <a:xfrm flipV="1">
            <a:off x="177" y="197"/>
            <a:ext cx="49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</xdr:spPr>
      </xdr:sp>
      <xdr:sp macro="" textlink="">
        <xdr:nvSpPr>
          <xdr:cNvPr id="121020" name="AutoShape 132"/>
          <xdr:cNvSpPr>
            <a:spLocks noChangeArrowheads="1"/>
          </xdr:cNvSpPr>
        </xdr:nvSpPr>
        <xdr:spPr bwMode="auto">
          <a:xfrm>
            <a:off x="333" y="175"/>
            <a:ext cx="71" cy="14"/>
          </a:xfrm>
          <a:prstGeom prst="rightArrow">
            <a:avLst>
              <a:gd name="adj1" fmla="val 50000"/>
              <a:gd name="adj2" fmla="val 126786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1" name="AutoShape 133"/>
          <xdr:cNvSpPr>
            <a:spLocks noChangeArrowheads="1"/>
          </xdr:cNvSpPr>
        </xdr:nvSpPr>
        <xdr:spPr bwMode="auto">
          <a:xfrm>
            <a:off x="644" y="177"/>
            <a:ext cx="65" cy="13"/>
          </a:xfrm>
          <a:prstGeom prst="rightArrow">
            <a:avLst>
              <a:gd name="adj1" fmla="val 50000"/>
              <a:gd name="adj2" fmla="val 125000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2" name="AutoShape 134"/>
          <xdr:cNvSpPr>
            <a:spLocks noChangeArrowheads="1"/>
          </xdr:cNvSpPr>
        </xdr:nvSpPr>
        <xdr:spPr bwMode="auto">
          <a:xfrm>
            <a:off x="332" y="247"/>
            <a:ext cx="71" cy="14"/>
          </a:xfrm>
          <a:prstGeom prst="rightArrow">
            <a:avLst>
              <a:gd name="adj1" fmla="val 50000"/>
              <a:gd name="adj2" fmla="val 126786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3" name="AutoShape 135"/>
          <xdr:cNvSpPr>
            <a:spLocks noChangeArrowheads="1"/>
          </xdr:cNvSpPr>
        </xdr:nvSpPr>
        <xdr:spPr bwMode="auto">
          <a:xfrm>
            <a:off x="463" y="247"/>
            <a:ext cx="66" cy="13"/>
          </a:xfrm>
          <a:prstGeom prst="rightArrow">
            <a:avLst>
              <a:gd name="adj1" fmla="val 50000"/>
              <a:gd name="adj2" fmla="val 126923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4" name="AutoShape 136"/>
          <xdr:cNvSpPr>
            <a:spLocks noChangeArrowheads="1"/>
          </xdr:cNvSpPr>
        </xdr:nvSpPr>
        <xdr:spPr bwMode="auto">
          <a:xfrm>
            <a:off x="642" y="248"/>
            <a:ext cx="65" cy="12"/>
          </a:xfrm>
          <a:prstGeom prst="rightArrow">
            <a:avLst>
              <a:gd name="adj1" fmla="val 50000"/>
              <a:gd name="adj2" fmla="val 135417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5" name="AutoShape 137"/>
          <xdr:cNvSpPr>
            <a:spLocks noChangeArrowheads="1"/>
          </xdr:cNvSpPr>
        </xdr:nvSpPr>
        <xdr:spPr bwMode="auto">
          <a:xfrm>
            <a:off x="146" y="174"/>
            <a:ext cx="57" cy="14"/>
          </a:xfrm>
          <a:prstGeom prst="rightArrow">
            <a:avLst>
              <a:gd name="adj1" fmla="val 50000"/>
              <a:gd name="adj2" fmla="val 101786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6" name="AutoShape 138"/>
          <xdr:cNvSpPr>
            <a:spLocks noChangeArrowheads="1"/>
          </xdr:cNvSpPr>
        </xdr:nvSpPr>
        <xdr:spPr bwMode="auto">
          <a:xfrm>
            <a:off x="146" y="246"/>
            <a:ext cx="55" cy="13"/>
          </a:xfrm>
          <a:prstGeom prst="rightArrow">
            <a:avLst>
              <a:gd name="adj1" fmla="val 50000"/>
              <a:gd name="adj2" fmla="val 105769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27" name="AutoShape 139"/>
          <xdr:cNvSpPr>
            <a:spLocks noChangeArrowheads="1"/>
          </xdr:cNvSpPr>
        </xdr:nvSpPr>
        <xdr:spPr bwMode="auto">
          <a:xfrm>
            <a:off x="632" y="126"/>
            <a:ext cx="64" cy="15"/>
          </a:xfrm>
          <a:prstGeom prst="rightArrow">
            <a:avLst>
              <a:gd name="adj1" fmla="val 50000"/>
              <a:gd name="adj2" fmla="val 106667"/>
            </a:avLst>
          </a:prstGeom>
          <a:solidFill>
            <a:srgbClr val="FFFFFF"/>
          </a:solidFill>
          <a:ln w="9525">
            <a:solidFill>
              <a:srgbClr val="000000"/>
            </a:solidFill>
            <a:prstDash val="dash"/>
            <a:miter lim="800000"/>
            <a:headEnd/>
            <a:tailEnd/>
          </a:ln>
        </xdr:spPr>
      </xdr:sp>
      <xdr:sp macro="" textlink="">
        <xdr:nvSpPr>
          <xdr:cNvPr id="120972" name="Text Box 140"/>
          <xdr:cNvSpPr txBox="1">
            <a:spLocks noChangeArrowheads="1"/>
          </xdr:cNvSpPr>
        </xdr:nvSpPr>
        <xdr:spPr bwMode="auto">
          <a:xfrm>
            <a:off x="567" y="272"/>
            <a:ext cx="100" cy="23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en-US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20973" name="Text Box 141"/>
          <xdr:cNvSpPr txBox="1">
            <a:spLocks noChangeArrowheads="1"/>
          </xdr:cNvSpPr>
        </xdr:nvSpPr>
        <xdr:spPr bwMode="auto">
          <a:xfrm>
            <a:off x="636" y="274"/>
            <a:ext cx="67" cy="54"/>
          </a:xfrm>
          <a:prstGeom prst="rect">
            <a:avLst/>
          </a:prstGeom>
          <a:solidFill>
            <a:srgbClr val="FFFFFF"/>
          </a:solidFill>
          <a:ln w="28575">
            <a:solidFill>
              <a:srgbClr val="0000FF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FF"/>
                </a:solidFill>
                <a:latin typeface="Arial"/>
                <a:cs typeface="Arial"/>
              </a:rPr>
              <a:t>Air Locks</a:t>
            </a:r>
          </a:p>
        </xdr:txBody>
      </xdr:sp>
      <xdr:sp macro="" textlink="">
        <xdr:nvSpPr>
          <xdr:cNvPr id="121030" name="AutoShape 142"/>
          <xdr:cNvSpPr>
            <a:spLocks noChangeArrowheads="1"/>
          </xdr:cNvSpPr>
        </xdr:nvSpPr>
        <xdr:spPr bwMode="auto">
          <a:xfrm>
            <a:off x="486" y="175"/>
            <a:ext cx="36" cy="13"/>
          </a:xfrm>
          <a:prstGeom prst="rightArrow">
            <a:avLst>
              <a:gd name="adj1" fmla="val 50000"/>
              <a:gd name="adj2" fmla="val 69231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1" name="AutoShape 143"/>
          <xdr:cNvSpPr>
            <a:spLocks noChangeArrowheads="1"/>
          </xdr:cNvSpPr>
        </xdr:nvSpPr>
        <xdr:spPr bwMode="auto">
          <a:xfrm>
            <a:off x="783" y="183"/>
            <a:ext cx="46" cy="13"/>
          </a:xfrm>
          <a:prstGeom prst="rightArrow">
            <a:avLst>
              <a:gd name="adj1" fmla="val 50000"/>
              <a:gd name="adj2" fmla="val 88462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2" name="AutoShape 144"/>
          <xdr:cNvSpPr>
            <a:spLocks noChangeArrowheads="1"/>
          </xdr:cNvSpPr>
        </xdr:nvSpPr>
        <xdr:spPr bwMode="auto">
          <a:xfrm>
            <a:off x="850" y="265"/>
            <a:ext cx="16" cy="61"/>
          </a:xfrm>
          <a:prstGeom prst="downArrow">
            <a:avLst>
              <a:gd name="adj1" fmla="val 50000"/>
              <a:gd name="adj2" fmla="val 95313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3" name="AutoShape 145"/>
          <xdr:cNvSpPr>
            <a:spLocks noChangeArrowheads="1"/>
          </xdr:cNvSpPr>
        </xdr:nvSpPr>
        <xdr:spPr bwMode="auto">
          <a:xfrm rot="-5400000" flipH="1" flipV="1">
            <a:off x="855" y="181"/>
            <a:ext cx="34" cy="39"/>
          </a:xfrm>
          <a:custGeom>
            <a:avLst/>
            <a:gdLst>
              <a:gd name="T0" fmla="*/ 22 w 21600"/>
              <a:gd name="T1" fmla="*/ 0 h 21600"/>
              <a:gd name="T2" fmla="*/ 22 w 21600"/>
              <a:gd name="T3" fmla="*/ 22 h 21600"/>
              <a:gd name="T4" fmla="*/ 3 w 21600"/>
              <a:gd name="T5" fmla="*/ 39 h 21600"/>
              <a:gd name="T6" fmla="*/ 34 w 21600"/>
              <a:gd name="T7" fmla="*/ 11 h 21600"/>
              <a:gd name="T8" fmla="*/ 17694720 60000 65536"/>
              <a:gd name="T9" fmla="*/ 5898240 60000 65536"/>
              <a:gd name="T10" fmla="*/ 5898240 60000 65536"/>
              <a:gd name="T11" fmla="*/ 0 60000 65536"/>
              <a:gd name="T12" fmla="*/ 12706 w 21600"/>
              <a:gd name="T13" fmla="*/ 3877 h 21600"/>
              <a:gd name="T14" fmla="*/ 19059 w 21600"/>
              <a:gd name="T15" fmla="*/ 8308 h 2160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600" h="21600">
                <a:moveTo>
                  <a:pt x="21600" y="6079"/>
                </a:moveTo>
                <a:lnTo>
                  <a:pt x="13976" y="0"/>
                </a:lnTo>
                <a:lnTo>
                  <a:pt x="13976" y="3978"/>
                </a:lnTo>
                <a:lnTo>
                  <a:pt x="12427" y="3978"/>
                </a:lnTo>
                <a:cubicBezTo>
                  <a:pt x="5564" y="3978"/>
                  <a:pt x="0" y="7640"/>
                  <a:pt x="0" y="12158"/>
                </a:cubicBezTo>
                <a:lnTo>
                  <a:pt x="0" y="21600"/>
                </a:lnTo>
                <a:lnTo>
                  <a:pt x="4295" y="21600"/>
                </a:lnTo>
                <a:lnTo>
                  <a:pt x="4295" y="12158"/>
                </a:lnTo>
                <a:cubicBezTo>
                  <a:pt x="4295" y="9961"/>
                  <a:pt x="7936" y="8180"/>
                  <a:pt x="12427" y="8180"/>
                </a:cubicBezTo>
                <a:lnTo>
                  <a:pt x="13976" y="8180"/>
                </a:lnTo>
                <a:lnTo>
                  <a:pt x="13976" y="12158"/>
                </a:lnTo>
                <a:close/>
              </a:path>
            </a:pathLst>
          </a:cu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4" name="AutoShape 146"/>
          <xdr:cNvSpPr>
            <a:spLocks noChangeArrowheads="1"/>
          </xdr:cNvSpPr>
        </xdr:nvSpPr>
        <xdr:spPr bwMode="auto">
          <a:xfrm rot="10800000">
            <a:off x="601" y="544"/>
            <a:ext cx="64" cy="13"/>
          </a:xfrm>
          <a:prstGeom prst="rightArrow">
            <a:avLst>
              <a:gd name="adj1" fmla="val 50000"/>
              <a:gd name="adj2" fmla="val 123077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5" name="AutoShape 147"/>
          <xdr:cNvSpPr>
            <a:spLocks noChangeArrowheads="1"/>
          </xdr:cNvSpPr>
        </xdr:nvSpPr>
        <xdr:spPr bwMode="auto">
          <a:xfrm rot="10800000">
            <a:off x="752" y="364"/>
            <a:ext cx="64" cy="13"/>
          </a:xfrm>
          <a:prstGeom prst="rightArrow">
            <a:avLst>
              <a:gd name="adj1" fmla="val 50000"/>
              <a:gd name="adj2" fmla="val 123077"/>
            </a:avLst>
          </a:prstGeom>
          <a:solidFill>
            <a:srgbClr val="800080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36" name="Freeform 148"/>
          <xdr:cNvSpPr>
            <a:spLocks/>
          </xdr:cNvSpPr>
        </xdr:nvSpPr>
        <xdr:spPr bwMode="auto">
          <a:xfrm>
            <a:off x="636" y="273"/>
            <a:ext cx="265" cy="333"/>
          </a:xfrm>
          <a:custGeom>
            <a:avLst/>
            <a:gdLst>
              <a:gd name="T0" fmla="*/ 535 w 535"/>
              <a:gd name="T1" fmla="*/ 110 h 110"/>
              <a:gd name="T2" fmla="*/ 535 w 535"/>
              <a:gd name="T3" fmla="*/ 0 h 110"/>
              <a:gd name="T4" fmla="*/ 0 w 535"/>
              <a:gd name="T5" fmla="*/ 0 h 110"/>
              <a:gd name="T6" fmla="*/ 0 w 535"/>
              <a:gd name="T7" fmla="*/ 110 h 110"/>
              <a:gd name="T8" fmla="*/ 535 w 535"/>
              <a:gd name="T9" fmla="*/ 110 h 11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535"/>
              <a:gd name="T16" fmla="*/ 0 h 110"/>
              <a:gd name="T17" fmla="*/ 535 w 535"/>
              <a:gd name="T18" fmla="*/ 110 h 11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535" h="110">
                <a:moveTo>
                  <a:pt x="535" y="110"/>
                </a:moveTo>
                <a:lnTo>
                  <a:pt x="535" y="0"/>
                </a:lnTo>
                <a:lnTo>
                  <a:pt x="0" y="0"/>
                </a:lnTo>
                <a:lnTo>
                  <a:pt x="0" y="110"/>
                </a:lnTo>
                <a:lnTo>
                  <a:pt x="535" y="110"/>
                </a:lnTo>
                <a:close/>
              </a:path>
            </a:pathLst>
          </a:custGeom>
          <a:noFill/>
          <a:ln w="28575">
            <a:solidFill>
              <a:srgbClr val="0000FF"/>
            </a:solidFill>
            <a:round/>
            <a:headEnd/>
            <a:tailEnd/>
          </a:ln>
        </xdr:spPr>
      </xdr:sp>
      <xdr:sp macro="" textlink="">
        <xdr:nvSpPr>
          <xdr:cNvPr id="120981" name="Text Box 149"/>
          <xdr:cNvSpPr txBox="1">
            <a:spLocks noChangeArrowheads="1"/>
          </xdr:cNvSpPr>
        </xdr:nvSpPr>
        <xdr:spPr bwMode="auto">
          <a:xfrm>
            <a:off x="130" y="464"/>
            <a:ext cx="176" cy="14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endParaRPr lang="en-US" sz="16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Charge-Retention    </a:t>
            </a:r>
          </a:p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Testing </a:t>
            </a:r>
          </a:p>
        </xdr:txBody>
      </xdr:sp>
      <xdr:sp macro="" textlink="">
        <xdr:nvSpPr>
          <xdr:cNvPr id="120982" name="Text Box 150"/>
          <xdr:cNvSpPr txBox="1">
            <a:spLocks noChangeArrowheads="1"/>
          </xdr:cNvSpPr>
        </xdr:nvSpPr>
        <xdr:spPr bwMode="auto">
          <a:xfrm>
            <a:off x="304" y="464"/>
            <a:ext cx="94" cy="14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endParaRPr lang="en-US" sz="16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cs typeface="Arial"/>
              </a:rPr>
              <a:t>Final Cell Sealing</a:t>
            </a:r>
          </a:p>
        </xdr:txBody>
      </xdr:sp>
      <xdr:sp macro="" textlink="">
        <xdr:nvSpPr>
          <xdr:cNvPr id="121039" name="AutoShape 151"/>
          <xdr:cNvSpPr>
            <a:spLocks noChangeArrowheads="1"/>
          </xdr:cNvSpPr>
        </xdr:nvSpPr>
        <xdr:spPr bwMode="auto">
          <a:xfrm rot="10800000">
            <a:off x="369" y="580"/>
            <a:ext cx="58" cy="13"/>
          </a:xfrm>
          <a:prstGeom prst="rightArrow">
            <a:avLst>
              <a:gd name="adj1" fmla="val 50000"/>
              <a:gd name="adj2" fmla="val 111538"/>
            </a:avLst>
          </a:prstGeom>
          <a:solidFill>
            <a:srgbClr val="993366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40" name="AutoShape 152"/>
          <xdr:cNvSpPr>
            <a:spLocks noChangeArrowheads="1"/>
          </xdr:cNvSpPr>
        </xdr:nvSpPr>
        <xdr:spPr bwMode="auto">
          <a:xfrm rot="10800000">
            <a:off x="219" y="398"/>
            <a:ext cx="55" cy="13"/>
          </a:xfrm>
          <a:prstGeom prst="rightArrow">
            <a:avLst>
              <a:gd name="adj1" fmla="val 50000"/>
              <a:gd name="adj2" fmla="val 105769"/>
            </a:avLst>
          </a:prstGeom>
          <a:solidFill>
            <a:srgbClr val="993366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41" name="AutoShape 153"/>
          <xdr:cNvSpPr>
            <a:spLocks noChangeArrowheads="1"/>
          </xdr:cNvSpPr>
        </xdr:nvSpPr>
        <xdr:spPr bwMode="auto">
          <a:xfrm rot="10800000">
            <a:off x="275" y="581"/>
            <a:ext cx="58" cy="13"/>
          </a:xfrm>
          <a:prstGeom prst="rightArrow">
            <a:avLst>
              <a:gd name="adj1" fmla="val 50000"/>
              <a:gd name="adj2" fmla="val 111538"/>
            </a:avLst>
          </a:prstGeom>
          <a:solidFill>
            <a:srgbClr val="993366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42" name="AutoShape 154"/>
          <xdr:cNvSpPr>
            <a:spLocks noChangeArrowheads="1"/>
          </xdr:cNvSpPr>
        </xdr:nvSpPr>
        <xdr:spPr bwMode="auto">
          <a:xfrm rot="10800000">
            <a:off x="99" y="398"/>
            <a:ext cx="55" cy="13"/>
          </a:xfrm>
          <a:prstGeom prst="rightArrow">
            <a:avLst>
              <a:gd name="adj1" fmla="val 50000"/>
              <a:gd name="adj2" fmla="val 105769"/>
            </a:avLst>
          </a:prstGeom>
          <a:solidFill>
            <a:srgbClr val="993366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1043" name="AutoShape 155"/>
          <xdr:cNvSpPr>
            <a:spLocks noChangeArrowheads="1"/>
          </xdr:cNvSpPr>
        </xdr:nvSpPr>
        <xdr:spPr bwMode="auto">
          <a:xfrm rot="-5400000">
            <a:off x="258" y="470"/>
            <a:ext cx="58" cy="13"/>
          </a:xfrm>
          <a:prstGeom prst="rightArrow">
            <a:avLst>
              <a:gd name="adj1" fmla="val 50000"/>
              <a:gd name="adj2" fmla="val 111538"/>
            </a:avLst>
          </a:prstGeom>
          <a:solidFill>
            <a:srgbClr val="993366">
              <a:alpha val="50195"/>
            </a:srgbClr>
          </a:solidFill>
          <a:ln w="9525">
            <a:solidFill>
              <a:srgbClr val="800080"/>
            </a:solidFill>
            <a:miter lim="800000"/>
            <a:headEnd/>
            <a:tailEnd/>
          </a:ln>
        </xdr:spPr>
      </xdr:sp>
      <xdr:sp macro="" textlink="">
        <xdr:nvSpPr>
          <xdr:cNvPr id="120988" name="AutoShape 156"/>
          <xdr:cNvSpPr>
            <a:spLocks/>
          </xdr:cNvSpPr>
        </xdr:nvSpPr>
        <xdr:spPr bwMode="auto">
          <a:xfrm>
            <a:off x="383" y="620"/>
            <a:ext cx="129" cy="42"/>
          </a:xfrm>
          <a:prstGeom prst="callout2">
            <a:avLst>
              <a:gd name="adj1" fmla="val 28569"/>
              <a:gd name="adj2" fmla="val 106204"/>
              <a:gd name="adj3" fmla="val 28569"/>
              <a:gd name="adj4" fmla="val 134884"/>
              <a:gd name="adj5" fmla="val -121431"/>
              <a:gd name="adj6" fmla="val 196125"/>
            </a:avLst>
          </a:prstGeom>
          <a:solidFill>
            <a:srgbClr val="FFFFFF"/>
          </a:solidFill>
          <a:ln w="19050">
            <a:solidFill>
              <a:srgbClr val="0000FF"/>
            </a:solidFill>
            <a:miter lim="800000"/>
            <a:headEnd/>
            <a:tailEnd type="triangle" w="lg" len="lg"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r>
              <a:rPr lang="en-US" sz="1600" b="1" i="0" strike="noStrike">
                <a:solidFill>
                  <a:srgbClr val="0000FF"/>
                </a:solidFill>
                <a:latin typeface="Arial"/>
                <a:cs typeface="Arial"/>
              </a:rPr>
              <a:t>Dry Room</a:t>
            </a:r>
          </a:p>
        </xdr:txBody>
      </xdr:sp>
      <xdr:sp macro="" textlink="">
        <xdr:nvSpPr>
          <xdr:cNvPr id="120989" name="Text Box 157"/>
          <xdr:cNvSpPr txBox="1">
            <a:spLocks noChangeArrowheads="1"/>
          </xdr:cNvSpPr>
        </xdr:nvSpPr>
        <xdr:spPr bwMode="auto">
          <a:xfrm>
            <a:off x="571" y="378"/>
            <a:ext cx="95" cy="51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1400" b="1" i="0" strike="noStrike">
                <a:solidFill>
                  <a:srgbClr val="000000"/>
                </a:solidFill>
                <a:latin typeface="Arial"/>
                <a:cs typeface="Arial"/>
              </a:rPr>
              <a:t>Materials Handling</a:t>
            </a:r>
          </a:p>
        </xdr:txBody>
      </xdr:sp>
      <xdr:sp macro="" textlink="">
        <xdr:nvSpPr>
          <xdr:cNvPr id="120990" name="Text Box 158"/>
          <xdr:cNvSpPr txBox="1">
            <a:spLocks noChangeArrowheads="1"/>
          </xdr:cNvSpPr>
        </xdr:nvSpPr>
        <xdr:spPr bwMode="auto">
          <a:xfrm>
            <a:off x="674" y="607"/>
            <a:ext cx="193" cy="4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27432" anchor="ctr" upright="1"/>
          <a:lstStyle/>
          <a:p>
            <a:pPr algn="ctr" rtl="0">
              <a:defRPr sz="1000"/>
            </a:pPr>
            <a:r>
              <a:rPr lang="en-US" sz="1200" b="1" i="0" strike="noStrike">
                <a:solidFill>
                  <a:srgbClr val="000000"/>
                </a:solidFill>
                <a:latin typeface="Arial"/>
                <a:cs typeface="Arial"/>
              </a:rPr>
              <a:t>Outdoor dry-room air processing equipment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se.anl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X79"/>
  <sheetViews>
    <sheetView tabSelected="1" zoomScaleNormal="100" workbookViewId="0">
      <selection activeCell="E3" sqref="E3"/>
    </sheetView>
  </sheetViews>
  <sheetFormatPr defaultRowHeight="12.75"/>
  <cols>
    <col min="3" max="3" width="11" customWidth="1"/>
    <col min="4" max="4" width="10.5703125" customWidth="1"/>
    <col min="12" max="12" width="11.140625" customWidth="1"/>
  </cols>
  <sheetData>
    <row r="1" spans="1:21" ht="18">
      <c r="A1" s="268" t="s">
        <v>242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179"/>
    </row>
    <row r="2" spans="1:21" ht="16.5" thickBot="1">
      <c r="A2" s="16"/>
      <c r="B2" s="8"/>
      <c r="C2" s="8"/>
      <c r="D2" s="8"/>
      <c r="E2" s="8"/>
      <c r="F2" s="267" t="s">
        <v>254</v>
      </c>
      <c r="G2" s="267"/>
      <c r="H2" s="267"/>
      <c r="I2" s="267"/>
      <c r="J2" s="267"/>
      <c r="K2" s="267"/>
      <c r="L2" s="19" t="s">
        <v>264</v>
      </c>
    </row>
    <row r="3" spans="1:21" ht="15.75">
      <c r="A3" s="16"/>
      <c r="B3" s="16"/>
      <c r="C3" s="36"/>
      <c r="D3" s="164" t="s">
        <v>259</v>
      </c>
      <c r="E3" s="1" t="s">
        <v>255</v>
      </c>
      <c r="F3" s="1" t="s">
        <v>255</v>
      </c>
      <c r="G3" s="1" t="s">
        <v>436</v>
      </c>
      <c r="H3" s="1" t="s">
        <v>257</v>
      </c>
      <c r="I3" s="1" t="s">
        <v>483</v>
      </c>
      <c r="J3" s="1" t="s">
        <v>267</v>
      </c>
      <c r="K3" s="1" t="s">
        <v>256</v>
      </c>
      <c r="L3" s="1" t="s">
        <v>258</v>
      </c>
      <c r="M3" s="16"/>
      <c r="N3" s="16"/>
      <c r="O3" s="36"/>
      <c r="P3" s="164"/>
      <c r="Q3" s="1"/>
      <c r="R3" s="1"/>
      <c r="S3" s="1"/>
      <c r="T3" s="1"/>
      <c r="U3" s="1"/>
    </row>
    <row r="4" spans="1:21">
      <c r="A4" s="63" t="s">
        <v>7</v>
      </c>
      <c r="B4" s="160"/>
      <c r="C4" s="23"/>
      <c r="D4" s="23"/>
      <c r="E4" s="10"/>
      <c r="M4" s="63"/>
      <c r="N4" s="160"/>
      <c r="O4" s="23"/>
      <c r="P4" s="23"/>
      <c r="Q4" s="10"/>
    </row>
    <row r="5" spans="1:21">
      <c r="A5" t="s">
        <v>252</v>
      </c>
      <c r="B5" s="160"/>
      <c r="C5" s="23"/>
      <c r="D5" s="23"/>
      <c r="E5" s="113">
        <f>IF(L5&gt;0,L5,IF($E$3=$F$3,F5,IF($E$3=$G$3,G5,IF($E$3=$H$3,H5,IF($E$3=$I$3,I5,IF($E$3=$J$3,J5,IF($E$3=$K$3,K5)))))))</f>
        <v>160</v>
      </c>
      <c r="F5" s="143">
        <v>160</v>
      </c>
      <c r="G5" s="143">
        <v>175</v>
      </c>
      <c r="H5" s="3">
        <v>155</v>
      </c>
      <c r="I5" s="143">
        <v>100</v>
      </c>
      <c r="J5" s="143">
        <v>100</v>
      </c>
      <c r="L5" s="143"/>
      <c r="N5" s="160"/>
      <c r="O5" s="23"/>
      <c r="P5" s="23"/>
      <c r="Q5" s="143"/>
      <c r="R5" s="143"/>
      <c r="S5" s="3"/>
      <c r="T5" s="143"/>
      <c r="U5" s="143"/>
    </row>
    <row r="6" spans="1:21">
      <c r="A6" s="177" t="s">
        <v>10</v>
      </c>
      <c r="B6" s="23"/>
      <c r="C6" s="23"/>
      <c r="D6" s="23"/>
      <c r="E6" s="113"/>
      <c r="F6" s="115"/>
      <c r="G6" s="115"/>
      <c r="I6" s="165"/>
      <c r="J6" s="165"/>
      <c r="M6" s="177"/>
      <c r="N6" s="23"/>
      <c r="O6" s="23"/>
      <c r="P6" s="23"/>
      <c r="Q6" s="143"/>
      <c r="R6" s="115"/>
      <c r="T6" s="165"/>
      <c r="U6" s="165"/>
    </row>
    <row r="7" spans="1:21">
      <c r="A7" s="12" t="s">
        <v>8</v>
      </c>
      <c r="B7" s="11"/>
      <c r="C7" s="11"/>
      <c r="D7" s="11"/>
      <c r="E7" s="113">
        <f>IF(L7&gt;0,L7,IF($E$3=$F$3,F7,IF($E$3=$G$3,G7,IF($E$3=$H$3,H7,IF($E$3=$I$3,I7,IF($E$3=$J$3,J7,IF($E$3=$K$3,K7)))))))</f>
        <v>89</v>
      </c>
      <c r="F7" s="143">
        <f>100-F8-F9</f>
        <v>89</v>
      </c>
      <c r="G7" s="143">
        <f>100-G8-G9</f>
        <v>89</v>
      </c>
      <c r="H7" s="143">
        <f>100-H8-H9</f>
        <v>89</v>
      </c>
      <c r="I7" s="143">
        <f>100-I8-I9</f>
        <v>89</v>
      </c>
      <c r="J7" s="143">
        <f>100-J8-J9</f>
        <v>89</v>
      </c>
      <c r="M7" s="12"/>
      <c r="N7" s="11"/>
      <c r="O7" s="11"/>
      <c r="P7" s="11"/>
      <c r="Q7" s="143"/>
      <c r="R7" s="143"/>
      <c r="S7" s="143"/>
      <c r="T7" s="143"/>
      <c r="U7" s="143"/>
    </row>
    <row r="8" spans="1:21">
      <c r="A8" s="12" t="s">
        <v>12</v>
      </c>
      <c r="B8" s="37"/>
      <c r="C8" s="37"/>
      <c r="D8" s="37"/>
      <c r="E8" s="113">
        <f>IF(L8&gt;0,L8,IF($E$3=$F$3,F8,IF($E$3=$G$3,G8,IF($E$3=$H$3,H8,IF($E$3=$I$3,I8,IF($E$3=$J$3,J8,IF($E$3=$K$3,K8)))))))</f>
        <v>6</v>
      </c>
      <c r="F8" s="143">
        <v>6</v>
      </c>
      <c r="G8" s="143">
        <v>6</v>
      </c>
      <c r="H8" s="143">
        <v>6</v>
      </c>
      <c r="I8" s="143">
        <v>6</v>
      </c>
      <c r="J8" s="143">
        <v>6</v>
      </c>
      <c r="M8" s="12"/>
      <c r="N8" s="37"/>
      <c r="O8" s="37"/>
      <c r="P8" s="37"/>
      <c r="Q8" s="143"/>
      <c r="R8" s="143"/>
      <c r="S8" s="143"/>
      <c r="T8" s="143"/>
      <c r="U8" s="143"/>
    </row>
    <row r="9" spans="1:21">
      <c r="A9" s="10" t="s">
        <v>13</v>
      </c>
      <c r="B9" s="10"/>
      <c r="C9" s="10"/>
      <c r="D9" s="10"/>
      <c r="E9" s="113">
        <f>IF(L9&gt;0,L9,IF($E$3=$F$3,F9,IF($E$3=$G$3,G9,IF($E$3=$H$3,H9,IF($E$3=$I$3,I9,IF($E$3=$J$3,J9,IF($E$3=$K$3,K9)))))))</f>
        <v>5</v>
      </c>
      <c r="F9" s="166">
        <v>5</v>
      </c>
      <c r="G9" s="166">
        <v>5</v>
      </c>
      <c r="H9" s="166">
        <v>5</v>
      </c>
      <c r="I9" s="166">
        <v>5</v>
      </c>
      <c r="J9" s="166">
        <v>5</v>
      </c>
      <c r="M9" s="10"/>
      <c r="N9" s="10"/>
      <c r="O9" s="10"/>
      <c r="P9" s="10"/>
      <c r="Q9" s="143"/>
      <c r="R9" s="166"/>
      <c r="S9" s="166"/>
      <c r="T9" s="166"/>
      <c r="U9" s="166"/>
    </row>
    <row r="10" spans="1:21">
      <c r="A10" s="161" t="s">
        <v>364</v>
      </c>
      <c r="B10" s="10"/>
      <c r="C10" s="10"/>
      <c r="D10" s="10"/>
      <c r="E10" s="113" t="str">
        <f>IF(L10&gt;0,L10,IF($E$3=$F$3,F10,IF($E$3=$G$3,G10,IF($E$3=$H$3,H10,IF($E$3=$I$3,I10,IF($E$3=$J$3,J10,IF($E$3=$K$3,K10)))))))</f>
        <v>NMP</v>
      </c>
      <c r="F10" s="166" t="s">
        <v>365</v>
      </c>
      <c r="G10" s="166" t="s">
        <v>365</v>
      </c>
      <c r="H10" s="166" t="s">
        <v>365</v>
      </c>
      <c r="I10" s="166" t="s">
        <v>365</v>
      </c>
      <c r="J10" s="166" t="s">
        <v>365</v>
      </c>
      <c r="M10" s="161"/>
      <c r="N10" s="10"/>
      <c r="O10" s="10"/>
      <c r="P10" s="10"/>
      <c r="Q10" s="143"/>
      <c r="R10" s="166"/>
      <c r="S10" s="166"/>
      <c r="T10" s="166"/>
      <c r="U10" s="166"/>
    </row>
    <row r="11" spans="1:21">
      <c r="A11" s="161" t="s">
        <v>442</v>
      </c>
      <c r="B11" s="15"/>
      <c r="C11" s="15"/>
      <c r="D11" s="15"/>
      <c r="E11" s="113">
        <f>IF(L11&gt;0,L11,IF($E$3=$F$3,F11,IF($E$3=$G$3,G11,IF($E$3=$H$3,H11,IF($E$3=$I$3,I11,IF($E$3=$J$3,J11,IF($E$3=$K$3,K11)))))))</f>
        <v>32</v>
      </c>
      <c r="F11" s="167">
        <v>32</v>
      </c>
      <c r="G11" s="167">
        <v>32</v>
      </c>
      <c r="H11" s="167">
        <v>50</v>
      </c>
      <c r="I11" s="167">
        <v>32</v>
      </c>
      <c r="J11" s="167">
        <v>32</v>
      </c>
      <c r="L11" s="167"/>
      <c r="M11" s="161"/>
      <c r="N11" s="15"/>
      <c r="O11" s="15"/>
      <c r="P11" s="15"/>
      <c r="Q11" s="143"/>
      <c r="R11" s="167"/>
      <c r="S11" s="167"/>
      <c r="T11" s="167"/>
      <c r="U11" s="167"/>
    </row>
    <row r="12" spans="1:21" ht="14.25">
      <c r="A12" s="161" t="s">
        <v>243</v>
      </c>
      <c r="B12" s="15"/>
      <c r="C12" s="15"/>
      <c r="D12" s="15"/>
      <c r="E12" s="113"/>
      <c r="F12" s="115"/>
      <c r="G12" s="115"/>
      <c r="I12" s="167"/>
      <c r="J12" s="167"/>
      <c r="M12" s="161"/>
      <c r="N12" s="15"/>
      <c r="O12" s="15"/>
      <c r="P12" s="15"/>
      <c r="Q12" s="143"/>
      <c r="R12" s="115"/>
      <c r="T12" s="167"/>
      <c r="U12" s="167"/>
    </row>
    <row r="13" spans="1:21">
      <c r="A13" s="12" t="s">
        <v>8</v>
      </c>
      <c r="B13" s="15"/>
      <c r="C13" s="15"/>
      <c r="D13" s="15"/>
      <c r="E13" s="113">
        <f>IF(L13&gt;0,L13,IF($E$3=$F$3,F13,IF($E$3=$G$3,G13,IF($E$3=$H$3,H13,IF($E$3=$I$3,I13,IF($E$3=$J$3,J13,IF($E$3=$K$3,K13)))))))</f>
        <v>4.78</v>
      </c>
      <c r="F13" s="166">
        <v>4.78</v>
      </c>
      <c r="G13" s="166">
        <v>4.6500000000000004</v>
      </c>
      <c r="H13" s="166">
        <v>3.45</v>
      </c>
      <c r="I13" s="166">
        <v>4.2300000000000004</v>
      </c>
      <c r="J13" s="166">
        <v>4.2300000000000004</v>
      </c>
      <c r="M13" s="12"/>
      <c r="N13" s="15"/>
      <c r="O13" s="15"/>
      <c r="P13" s="15"/>
      <c r="Q13" s="143"/>
      <c r="R13" s="166"/>
      <c r="S13" s="166"/>
      <c r="T13" s="166"/>
      <c r="U13" s="166"/>
    </row>
    <row r="14" spans="1:21">
      <c r="A14" s="12" t="s">
        <v>12</v>
      </c>
      <c r="B14" s="15"/>
      <c r="C14" s="15"/>
      <c r="D14" s="15"/>
      <c r="E14" s="113">
        <f>IF(L14&gt;0,L14,IF($E$3=$F$3,F14,IF($E$3=$G$3,G14,IF($E$3=$H$3,H14,IF($E$3=$I$3,I14,IF($E$3=$J$3,J14,IF($E$3=$K$3,K14)))))))</f>
        <v>1.825</v>
      </c>
      <c r="F14" s="166">
        <v>1.825</v>
      </c>
      <c r="G14" s="166">
        <v>1.825</v>
      </c>
      <c r="H14" s="166">
        <v>1.825</v>
      </c>
      <c r="I14" s="166">
        <v>1.825</v>
      </c>
      <c r="J14" s="166">
        <v>1.825</v>
      </c>
      <c r="M14" s="12"/>
      <c r="N14" s="15"/>
      <c r="O14" s="15"/>
      <c r="P14" s="15"/>
      <c r="Q14" s="143"/>
      <c r="R14" s="166"/>
      <c r="S14" s="166"/>
      <c r="T14" s="166"/>
      <c r="U14" s="166"/>
    </row>
    <row r="15" spans="1:21">
      <c r="A15" s="10" t="s">
        <v>13</v>
      </c>
      <c r="B15" s="15"/>
      <c r="C15" s="15"/>
      <c r="D15" s="15"/>
      <c r="E15" s="113">
        <f>IF(L15&gt;0,L15,IF($E$3=$F$3,F15,IF($E$3=$G$3,G15,IF($E$3=$H$3,H15,IF($E$3=$I$3,I15,IF($E$3=$J$3,J15,IF($E$3=$K$3,K15)))))))</f>
        <v>1.77</v>
      </c>
      <c r="F15" s="166">
        <v>1.77</v>
      </c>
      <c r="G15" s="166">
        <v>1.77</v>
      </c>
      <c r="H15" s="166">
        <v>1.77</v>
      </c>
      <c r="I15" s="166">
        <v>1.77</v>
      </c>
      <c r="J15" s="166">
        <v>1.77</v>
      </c>
      <c r="M15" s="10"/>
      <c r="N15" s="15"/>
      <c r="O15" s="15"/>
      <c r="P15" s="15"/>
      <c r="Q15" s="143"/>
      <c r="R15" s="166"/>
      <c r="S15" s="166"/>
      <c r="T15" s="166"/>
      <c r="U15" s="166"/>
    </row>
    <row r="16" spans="1:21">
      <c r="A16" s="160" t="s">
        <v>244</v>
      </c>
      <c r="B16" s="27"/>
      <c r="C16" s="27"/>
      <c r="D16" s="27"/>
      <c r="E16" s="113"/>
      <c r="F16" s="115"/>
      <c r="G16" s="115"/>
      <c r="I16" s="168"/>
      <c r="J16" s="168"/>
      <c r="M16" s="160"/>
      <c r="N16" s="27"/>
      <c r="O16" s="27"/>
      <c r="P16" s="27"/>
      <c r="Q16" s="143"/>
      <c r="R16" s="115"/>
      <c r="T16" s="168"/>
      <c r="U16" s="168"/>
    </row>
    <row r="17" spans="1:21">
      <c r="A17" s="29" t="s">
        <v>251</v>
      </c>
      <c r="B17" s="27"/>
      <c r="C17" s="27"/>
      <c r="D17" s="27"/>
      <c r="E17" s="113">
        <f>IF(L17&gt;0,L17,IF($E$3=$F$3,F17,IF($E$3=$G$3,G17,IF($E$3=$H$3,H17,IF($E$3=$I$3,I17,IF($E$3=$J$3,J17,IF($E$3=$K$3,K17)))))))</f>
        <v>1.25</v>
      </c>
      <c r="F17" s="166">
        <v>1.25</v>
      </c>
      <c r="G17" s="166">
        <v>1.25</v>
      </c>
      <c r="H17" s="166">
        <v>1.25</v>
      </c>
      <c r="I17" s="169">
        <v>1.1000000000000001</v>
      </c>
      <c r="J17" s="166">
        <v>1.25</v>
      </c>
      <c r="L17" s="166"/>
      <c r="M17" s="29"/>
      <c r="N17" s="27"/>
      <c r="O17" s="27"/>
      <c r="P17" s="27"/>
      <c r="Q17" s="111"/>
      <c r="R17" s="166"/>
      <c r="S17" s="166"/>
      <c r="T17" s="169"/>
      <c r="U17" s="166"/>
    </row>
    <row r="18" spans="1:21">
      <c r="A18" t="s">
        <v>252</v>
      </c>
      <c r="B18" s="27"/>
      <c r="C18" s="27"/>
      <c r="D18" s="27"/>
      <c r="E18" s="113">
        <f>IF(L18&gt;0,L18,IF($E$3=$F$3,F18,IF($E$3=$G$3,G18,IF($E$3=$H$3,H18,IF($E$3=$I$3,I18,IF($E$3=$J$3,J18,IF($E$3=$K$3,K18)))))))</f>
        <v>290</v>
      </c>
      <c r="F18" s="166">
        <v>290</v>
      </c>
      <c r="G18" s="166">
        <v>290</v>
      </c>
      <c r="H18" s="166">
        <v>290</v>
      </c>
      <c r="I18" s="144">
        <v>170</v>
      </c>
      <c r="J18" s="166">
        <v>290</v>
      </c>
      <c r="L18" s="166"/>
      <c r="N18" s="27"/>
      <c r="O18" s="27"/>
      <c r="P18" s="27"/>
      <c r="Q18" s="143"/>
      <c r="R18" s="166"/>
      <c r="S18" s="166"/>
      <c r="T18" s="144"/>
      <c r="U18" s="166"/>
    </row>
    <row r="19" spans="1:21">
      <c r="A19" s="178" t="s">
        <v>10</v>
      </c>
      <c r="B19" s="27"/>
      <c r="C19" s="27"/>
      <c r="D19" s="27"/>
      <c r="E19" s="113"/>
      <c r="F19" s="115"/>
      <c r="G19" s="115"/>
      <c r="I19" s="168"/>
      <c r="J19" s="115"/>
      <c r="M19" s="178"/>
      <c r="N19" s="27"/>
      <c r="O19" s="27"/>
      <c r="P19" s="27"/>
      <c r="Q19" s="143"/>
      <c r="R19" s="115"/>
      <c r="T19" s="168"/>
      <c r="U19" s="115"/>
    </row>
    <row r="20" spans="1:21">
      <c r="A20" s="55" t="s">
        <v>8</v>
      </c>
      <c r="B20" s="27"/>
      <c r="C20" s="27"/>
      <c r="D20" s="27"/>
      <c r="E20" s="113">
        <f>IF(L20&gt;0,L20,IF($E$3=$F$3,F20,IF($E$3=$G$3,G20,IF($E$3=$H$3,H20,IF($E$3=$I$3,I20,IF($E$3=$J$3,J20,IF($E$3=$K$3,K20)))))))</f>
        <v>95</v>
      </c>
      <c r="F20" s="170">
        <f>100-F21-F22</f>
        <v>95</v>
      </c>
      <c r="G20" s="170">
        <f>100-G21-G22</f>
        <v>95</v>
      </c>
      <c r="H20" s="170">
        <f>100-H21-H22</f>
        <v>95</v>
      </c>
      <c r="I20" s="170">
        <f>100-I21-I22</f>
        <v>89</v>
      </c>
      <c r="J20" s="170">
        <f>100-J21-J22</f>
        <v>95</v>
      </c>
      <c r="M20" s="55"/>
      <c r="N20" s="27"/>
      <c r="O20" s="27"/>
      <c r="P20" s="27"/>
      <c r="Q20" s="143"/>
      <c r="R20" s="170"/>
      <c r="S20" s="170"/>
      <c r="T20" s="170"/>
      <c r="U20" s="170"/>
    </row>
    <row r="21" spans="1:21">
      <c r="A21" s="29" t="s">
        <v>12</v>
      </c>
      <c r="B21" s="27"/>
      <c r="C21" s="27"/>
      <c r="D21" s="27"/>
      <c r="E21" s="113">
        <f>IF(L21&gt;0,L21,IF($E$3=$F$3,F21,IF($E$3=$G$3,G21,IF($E$3=$H$3,H21,IF($E$3=$I$3,I21,IF($E$3=$J$3,J21,IF($E$3=$K$3,K21)))))))</f>
        <v>0</v>
      </c>
      <c r="F21" s="170">
        <v>0</v>
      </c>
      <c r="G21" s="170">
        <v>0</v>
      </c>
      <c r="H21" s="170">
        <v>0</v>
      </c>
      <c r="I21" s="170">
        <v>6</v>
      </c>
      <c r="J21" s="170">
        <v>0</v>
      </c>
      <c r="M21" s="29"/>
      <c r="N21" s="27"/>
      <c r="O21" s="161"/>
      <c r="P21" s="27"/>
      <c r="Q21" s="143"/>
      <c r="R21" s="170"/>
      <c r="S21" s="170"/>
      <c r="T21" s="170"/>
      <c r="U21" s="170"/>
    </row>
    <row r="22" spans="1:21">
      <c r="A22" s="29" t="s">
        <v>13</v>
      </c>
      <c r="B22" s="27"/>
      <c r="C22" s="27"/>
      <c r="D22" s="27"/>
      <c r="E22" s="113">
        <f>IF(L22&gt;0,L22,IF($E$3=$F$3,F22,IF($E$3=$G$3,G22,IF($E$3=$H$3,H22,IF($E$3=$I$3,I22,IF($E$3=$J$3,J22,IF($E$3=$K$3,K22)))))))</f>
        <v>5</v>
      </c>
      <c r="F22" s="170">
        <v>5</v>
      </c>
      <c r="G22" s="170">
        <v>5</v>
      </c>
      <c r="H22" s="170">
        <v>5</v>
      </c>
      <c r="I22" s="170">
        <v>5</v>
      </c>
      <c r="J22" s="170">
        <v>5</v>
      </c>
      <c r="M22" s="29"/>
      <c r="N22" s="27"/>
      <c r="O22" s="27"/>
      <c r="P22" s="27"/>
      <c r="Q22" s="143"/>
      <c r="R22" s="170"/>
      <c r="S22" s="170"/>
      <c r="T22" s="170"/>
      <c r="U22" s="170"/>
    </row>
    <row r="23" spans="1:21">
      <c r="A23" s="161" t="s">
        <v>364</v>
      </c>
      <c r="B23" s="27"/>
      <c r="C23" s="27"/>
      <c r="D23" s="27"/>
      <c r="E23" s="113" t="str">
        <f>IF(L23&gt;0,L23,IF($E$3=$F$3,F23,IF($E$3=$G$3,G23,IF($E$3=$H$3,H23,IF($E$3=$I$3,I23,IF($E$3=$J$3,J23,IF($E$3=$K$3,K23)))))))</f>
        <v>Water</v>
      </c>
      <c r="F23" s="170" t="s">
        <v>366</v>
      </c>
      <c r="G23" s="170" t="s">
        <v>366</v>
      </c>
      <c r="H23" s="170" t="s">
        <v>366</v>
      </c>
      <c r="I23" s="170" t="s">
        <v>366</v>
      </c>
      <c r="J23" s="170" t="s">
        <v>366</v>
      </c>
      <c r="M23" s="10"/>
      <c r="N23" s="27"/>
      <c r="O23" s="27"/>
      <c r="P23" s="27"/>
      <c r="Q23" s="143"/>
      <c r="R23" s="170"/>
      <c r="S23" s="170"/>
      <c r="T23" s="170"/>
      <c r="U23" s="170"/>
    </row>
    <row r="24" spans="1:21">
      <c r="A24" s="161" t="s">
        <v>442</v>
      </c>
      <c r="B24" s="32"/>
      <c r="C24" s="32"/>
      <c r="D24" s="32"/>
      <c r="E24" s="113">
        <f>IF(L24&gt;0,L24,IF($E$3=$F$3,F24,IF($E$3=$G$3,G24,IF($E$3=$H$3,H24,IF($E$3=$I$3,I24,IF($E$3=$J$3,J24,IF($E$3=$K$3,K24)))))))</f>
        <v>34</v>
      </c>
      <c r="F24" s="144">
        <v>34</v>
      </c>
      <c r="G24" s="144">
        <v>34</v>
      </c>
      <c r="H24" s="144">
        <v>34</v>
      </c>
      <c r="I24" s="144">
        <v>40</v>
      </c>
      <c r="J24" s="144">
        <v>34</v>
      </c>
      <c r="M24" s="161"/>
      <c r="N24" s="32"/>
      <c r="O24" s="32"/>
      <c r="P24" s="32"/>
      <c r="Q24" s="143"/>
      <c r="R24" s="144"/>
      <c r="S24" s="144"/>
      <c r="T24" s="144"/>
      <c r="U24" s="144"/>
    </row>
    <row r="25" spans="1:21" ht="14.25">
      <c r="A25" s="161" t="s">
        <v>243</v>
      </c>
      <c r="B25" s="32"/>
      <c r="C25" s="32"/>
      <c r="D25" s="32"/>
      <c r="E25" s="113"/>
      <c r="F25" s="115"/>
      <c r="G25" s="115"/>
      <c r="H25" s="115"/>
      <c r="I25" s="144"/>
      <c r="J25" s="115"/>
      <c r="M25" s="161"/>
      <c r="N25" s="32"/>
      <c r="O25" s="32"/>
      <c r="P25" s="32"/>
      <c r="Q25" s="143"/>
      <c r="R25" s="115"/>
      <c r="S25" s="115"/>
      <c r="T25" s="144"/>
      <c r="U25" s="115"/>
    </row>
    <row r="26" spans="1:21">
      <c r="A26" s="55" t="s">
        <v>8</v>
      </c>
      <c r="B26" s="32"/>
      <c r="C26" s="32"/>
      <c r="D26" s="32"/>
      <c r="E26" s="113">
        <f>IF(L26&gt;0,L26,IF($E$3=$F$3,F26,IF($E$3=$G$3,G26,IF($E$3=$H$3,H26,IF($E$3=$I$3,I26,IF($E$3=$J$3,J26,IF($E$3=$K$3,K26)))))))</f>
        <v>2.2400000000000002</v>
      </c>
      <c r="F26" s="129">
        <v>2.2400000000000002</v>
      </c>
      <c r="G26" s="129">
        <v>2.2400000000000002</v>
      </c>
      <c r="H26" s="129">
        <v>2.2400000000000002</v>
      </c>
      <c r="I26" s="129">
        <v>3.4</v>
      </c>
      <c r="J26" s="129">
        <v>2.2400000000000002</v>
      </c>
      <c r="K26" s="95"/>
      <c r="L26" s="95"/>
      <c r="M26" s="55"/>
      <c r="N26" s="32"/>
      <c r="O26" s="32"/>
      <c r="P26" s="32"/>
      <c r="Q26" s="111"/>
      <c r="R26" s="129"/>
      <c r="S26" s="129"/>
      <c r="T26" s="129"/>
      <c r="U26" s="129"/>
    </row>
    <row r="27" spans="1:21">
      <c r="A27" s="29" t="s">
        <v>12</v>
      </c>
      <c r="B27" s="32"/>
      <c r="C27" s="32"/>
      <c r="D27" s="32"/>
      <c r="E27" s="113">
        <f>IF(L27&gt;0,L27,IF($E$3=$F$3,F27,IF($E$3=$G$3,G27,IF($E$3=$H$3,H27,IF($E$3=$I$3,I27,IF($E$3=$J$3,J27,IF($E$3=$K$3,K27)))))))</f>
        <v>1.95</v>
      </c>
      <c r="F27" s="129">
        <v>1.95</v>
      </c>
      <c r="G27" s="129">
        <v>1.95</v>
      </c>
      <c r="H27" s="129">
        <v>1.95</v>
      </c>
      <c r="I27" s="129">
        <v>1.95</v>
      </c>
      <c r="J27" s="129">
        <v>1.95</v>
      </c>
      <c r="K27" s="95"/>
      <c r="L27" s="95"/>
      <c r="M27" s="29"/>
      <c r="N27" s="32"/>
      <c r="O27" s="32"/>
      <c r="P27" s="32"/>
      <c r="Q27" s="143"/>
      <c r="R27" s="129"/>
      <c r="S27" s="129"/>
      <c r="T27" s="129"/>
      <c r="U27" s="129"/>
    </row>
    <row r="28" spans="1:21">
      <c r="A28" s="29" t="s">
        <v>13</v>
      </c>
      <c r="B28" s="32"/>
      <c r="C28" s="32"/>
      <c r="D28" s="32"/>
      <c r="E28" s="113">
        <f>IF(L28&gt;0,L28,IF($E$3=$F$3,F28,IF($E$3=$G$3,G28,IF($E$3=$H$3,H28,IF($E$3=$I$3,I28,IF($E$3=$J$3,J28,IF($E$3=$K$3,K28)))))))</f>
        <v>1.1000000000000001</v>
      </c>
      <c r="F28" s="129">
        <v>1.1000000000000001</v>
      </c>
      <c r="G28" s="129">
        <v>1.1000000000000001</v>
      </c>
      <c r="H28" s="129">
        <v>1.1000000000000001</v>
      </c>
      <c r="I28" s="129">
        <v>1.1000000000000001</v>
      </c>
      <c r="J28" s="129">
        <v>1.1000000000000001</v>
      </c>
      <c r="K28" s="95"/>
      <c r="L28" s="95"/>
      <c r="M28" s="29"/>
      <c r="N28" s="32"/>
      <c r="O28" s="32"/>
      <c r="P28" s="32"/>
      <c r="Q28" s="143"/>
      <c r="R28" s="129"/>
      <c r="S28" s="129"/>
      <c r="T28" s="129"/>
      <c r="U28" s="129"/>
    </row>
    <row r="29" spans="1:21">
      <c r="A29" s="160" t="s">
        <v>245</v>
      </c>
      <c r="B29" s="63"/>
      <c r="C29" s="63"/>
      <c r="D29" s="63"/>
      <c r="E29" s="113"/>
      <c r="F29" s="115"/>
      <c r="G29" s="115"/>
      <c r="I29" s="81"/>
      <c r="J29" s="81"/>
      <c r="M29" s="160"/>
      <c r="N29" s="63"/>
      <c r="O29" s="63"/>
      <c r="P29" s="63"/>
      <c r="Q29" s="143"/>
      <c r="R29" s="115"/>
      <c r="T29" s="81"/>
      <c r="U29" s="81"/>
    </row>
    <row r="30" spans="1:21">
      <c r="A30" s="29" t="s">
        <v>246</v>
      </c>
      <c r="B30" s="27"/>
      <c r="C30" s="27"/>
      <c r="D30" s="27"/>
      <c r="E30" s="113" t="str">
        <f>IF(L30&gt;0,L30,IF($E$3=$F$3,F30,IF($E$3=$G$3,G30,IF($E$3=$H$3,H30,IF($E$3=$I$3,I30,IF($E$3=$J$3,J30,IF($E$3=$K$3,K30)))))))</f>
        <v>Aluminum</v>
      </c>
      <c r="F30" s="144" t="s">
        <v>250</v>
      </c>
      <c r="G30" s="144" t="s">
        <v>250</v>
      </c>
      <c r="H30" s="144" t="s">
        <v>250</v>
      </c>
      <c r="I30" s="144" t="s">
        <v>250</v>
      </c>
      <c r="J30" s="144" t="s">
        <v>250</v>
      </c>
      <c r="M30" s="29"/>
      <c r="N30" s="27"/>
      <c r="O30" s="27"/>
      <c r="P30" s="27"/>
      <c r="Q30" s="143"/>
      <c r="R30" s="144"/>
      <c r="S30" s="144"/>
      <c r="T30" s="144"/>
      <c r="U30" s="144"/>
    </row>
    <row r="31" spans="1:21">
      <c r="A31" s="29" t="s">
        <v>248</v>
      </c>
      <c r="B31" s="27"/>
      <c r="C31" s="27"/>
      <c r="D31" s="27"/>
      <c r="E31" s="113">
        <f>IF(L31&gt;0,L31,IF($E$3=$F$3,F31,IF($E$3=$G$3,G31,IF($E$3=$H$3,H31,IF($E$3=$I$3,I31,IF($E$3=$J$3,J31,IF($E$3=$K$3,K31)))))))</f>
        <v>20</v>
      </c>
      <c r="F31" s="144">
        <v>20</v>
      </c>
      <c r="G31" s="144">
        <v>20</v>
      </c>
      <c r="H31" s="144">
        <v>20</v>
      </c>
      <c r="I31" s="144">
        <v>20</v>
      </c>
      <c r="J31" s="144">
        <v>20</v>
      </c>
      <c r="M31" s="29"/>
      <c r="N31" s="27"/>
      <c r="O31" s="27"/>
      <c r="P31" s="27"/>
      <c r="Q31" s="143"/>
      <c r="R31" s="144"/>
      <c r="S31" s="144"/>
      <c r="T31" s="144"/>
      <c r="U31" s="144"/>
    </row>
    <row r="32" spans="1:21">
      <c r="A32" s="160" t="s">
        <v>247</v>
      </c>
      <c r="B32" s="27"/>
      <c r="C32" s="27"/>
      <c r="D32" s="27"/>
      <c r="E32" s="113"/>
      <c r="F32" s="115"/>
      <c r="G32" s="115"/>
      <c r="I32" s="144"/>
      <c r="M32" s="160"/>
      <c r="N32" s="27"/>
      <c r="O32" s="27"/>
      <c r="P32" s="27"/>
      <c r="Q32" s="143"/>
      <c r="R32" s="115"/>
      <c r="T32" s="144"/>
    </row>
    <row r="33" spans="1:24">
      <c r="A33" s="29" t="s">
        <v>246</v>
      </c>
      <c r="B33" s="27"/>
      <c r="C33" s="27"/>
      <c r="D33" s="27"/>
      <c r="E33" s="113" t="str">
        <f>IF(L33&gt;0,L33,IF($E$3=$F$3,F33,IF($E$3=$G$3,G33,IF($E$3=$H$3,H33,IF($E$3=$I$3,I33,IF($E$3=$J$3,J33,IF($E$3=$K$3,K33)))))))</f>
        <v>Copper</v>
      </c>
      <c r="F33" s="143" t="s">
        <v>261</v>
      </c>
      <c r="G33" s="143" t="s">
        <v>261</v>
      </c>
      <c r="H33" s="143" t="s">
        <v>261</v>
      </c>
      <c r="I33" s="144" t="s">
        <v>250</v>
      </c>
      <c r="J33" s="143" t="s">
        <v>261</v>
      </c>
      <c r="M33" s="29"/>
      <c r="N33" s="27"/>
      <c r="O33" s="27"/>
      <c r="P33" s="27"/>
      <c r="Q33" s="143"/>
      <c r="R33" s="143"/>
      <c r="S33" s="143"/>
      <c r="T33" s="144"/>
      <c r="U33" s="143"/>
    </row>
    <row r="34" spans="1:24">
      <c r="A34" s="29" t="s">
        <v>248</v>
      </c>
      <c r="B34" s="27"/>
      <c r="C34" s="27"/>
      <c r="D34" s="27"/>
      <c r="E34" s="113">
        <f>IF(L34&gt;0,L34,IF($E$3=$F$3,F34,IF($E$3=$G$3,G34,IF($E$3=$H$3,H34,IF($E$3=$I$3,I34,IF($E$3=$J$3,J34,IF($E$3=$K$3,K34)))))))</f>
        <v>12</v>
      </c>
      <c r="F34" s="143">
        <v>12</v>
      </c>
      <c r="G34" s="143">
        <v>12</v>
      </c>
      <c r="H34" s="143">
        <v>12</v>
      </c>
      <c r="I34" s="144">
        <v>20</v>
      </c>
      <c r="J34" s="143">
        <v>12</v>
      </c>
      <c r="L34" s="144"/>
      <c r="M34" s="29"/>
      <c r="N34" s="27"/>
      <c r="O34" s="27"/>
      <c r="P34" s="27"/>
      <c r="Q34" s="143"/>
      <c r="R34" s="143"/>
      <c r="S34" s="143"/>
      <c r="T34" s="144"/>
      <c r="U34" s="143"/>
    </row>
    <row r="35" spans="1:24">
      <c r="A35" s="163" t="s">
        <v>249</v>
      </c>
      <c r="B35" s="27"/>
      <c r="C35" s="27"/>
      <c r="D35" s="27"/>
      <c r="E35" s="113"/>
      <c r="F35" s="143"/>
      <c r="G35" s="143"/>
      <c r="I35" s="144"/>
      <c r="J35" s="144"/>
      <c r="M35" s="163"/>
      <c r="N35" s="27"/>
      <c r="O35" s="27"/>
      <c r="P35" s="27"/>
      <c r="Q35" s="143"/>
      <c r="R35" s="143"/>
      <c r="T35" s="144"/>
      <c r="U35" s="144"/>
      <c r="V35" s="205"/>
    </row>
    <row r="36" spans="1:24">
      <c r="A36" s="29" t="s">
        <v>248</v>
      </c>
      <c r="B36" s="27"/>
      <c r="C36" s="27"/>
      <c r="D36" s="27"/>
      <c r="E36" s="113">
        <f>IF(L36&gt;0,L36,IF($E$3=$F$3,F36,IF($E$3=$G$3,G36,IF($E$3=$H$3,H36,IF($E$3=$I$3,I36,IF($E$3=$J$3,J36,IF($E$3=$K$3,K36)))))))</f>
        <v>20</v>
      </c>
      <c r="F36" s="143">
        <v>20</v>
      </c>
      <c r="G36" s="143">
        <v>20</v>
      </c>
      <c r="H36" s="143">
        <v>20</v>
      </c>
      <c r="I36" s="143">
        <v>20</v>
      </c>
      <c r="J36" s="143">
        <v>20</v>
      </c>
      <c r="M36" s="29"/>
      <c r="N36" s="27"/>
      <c r="O36" s="27"/>
      <c r="P36" s="27"/>
      <c r="Q36" s="143"/>
      <c r="R36" s="143"/>
      <c r="S36" s="143"/>
      <c r="T36" s="170"/>
      <c r="U36" s="143"/>
      <c r="V36" s="205"/>
    </row>
    <row r="37" spans="1:24">
      <c r="A37" s="29" t="s">
        <v>442</v>
      </c>
      <c r="B37" s="27"/>
      <c r="C37" s="27"/>
      <c r="D37" s="27"/>
      <c r="E37" s="113">
        <f>IF(L37&gt;0,L37,IF($E$3=$F$3,F37,IF($E$3=$G$3,G37,IF($E$3=$H$3,H37,IF($E$3=$I$3,I37,IF($E$3=$J$3,J37,IF($E$3=$K$3,K37)))))))</f>
        <v>50</v>
      </c>
      <c r="F37" s="143">
        <v>50</v>
      </c>
      <c r="G37" s="143">
        <v>50</v>
      </c>
      <c r="H37" s="143">
        <v>50</v>
      </c>
      <c r="I37" s="143">
        <v>50</v>
      </c>
      <c r="J37" s="143">
        <v>50</v>
      </c>
      <c r="M37" s="162"/>
      <c r="N37" s="27"/>
      <c r="O37" s="27"/>
      <c r="P37" s="27"/>
      <c r="Q37" s="111"/>
      <c r="R37" s="111"/>
      <c r="S37" s="111"/>
      <c r="T37" s="111"/>
      <c r="U37" s="111"/>
      <c r="V37" s="3"/>
    </row>
    <row r="38" spans="1:24" ht="14.25">
      <c r="A38" s="162" t="s">
        <v>344</v>
      </c>
      <c r="B38" s="27"/>
      <c r="C38" s="27"/>
      <c r="D38" s="27"/>
      <c r="E38" s="113">
        <f>IF(L38&gt;0,L38,IF($E$3=$F$3,F38,IF($E$3=$G$3,G38,IF($E$3=$H$3,H38,IF($E$3=$I$3,I38,IF($E$3=$J$3,J38,IF($E$3=$K$3,K38)))))))</f>
        <v>0.46</v>
      </c>
      <c r="F38" s="111">
        <f>(1-F37/100)*0.92</f>
        <v>0.46</v>
      </c>
      <c r="G38" s="111">
        <f>(1-G37/100)*0.92</f>
        <v>0.46</v>
      </c>
      <c r="H38" s="111">
        <f>(1-H37/100)*0.92</f>
        <v>0.46</v>
      </c>
      <c r="I38" s="111">
        <f>(1-I37/100)*0.92</f>
        <v>0.46</v>
      </c>
      <c r="J38" s="111">
        <f>(1-J37/100)*0.92</f>
        <v>0.46</v>
      </c>
      <c r="M38" s="63"/>
      <c r="N38" s="27"/>
      <c r="O38" s="27"/>
      <c r="P38" s="27"/>
      <c r="Q38" s="143"/>
      <c r="R38" s="143"/>
      <c r="T38" s="168"/>
      <c r="V38" s="3"/>
    </row>
    <row r="39" spans="1:24" ht="14.25">
      <c r="A39" s="63" t="s">
        <v>316</v>
      </c>
      <c r="B39" s="27"/>
      <c r="C39" s="27"/>
      <c r="D39" s="27"/>
      <c r="E39" s="113">
        <f>IF(L39&gt;0,L39,IF($E$3=$F$3,F39,IF($E$3=$G$3,G39,IF($E$3=$H$3,H39,IF($E$3=$I$3,I39,IF($E$3=$J$3,J39,IF($E$3=$K$3,K39)))))))</f>
        <v>1.2</v>
      </c>
      <c r="F39" s="111">
        <v>1.2</v>
      </c>
      <c r="G39" s="111">
        <v>1.2</v>
      </c>
      <c r="H39" s="111">
        <v>1.2</v>
      </c>
      <c r="I39" s="129">
        <v>1.2</v>
      </c>
      <c r="J39" s="111">
        <v>1.2</v>
      </c>
      <c r="M39" s="162"/>
      <c r="N39" s="27"/>
      <c r="O39" s="27"/>
      <c r="P39" s="27"/>
      <c r="Q39" s="111"/>
      <c r="R39" s="111"/>
      <c r="S39" s="111"/>
      <c r="T39" s="129"/>
      <c r="U39" s="111"/>
      <c r="V39" s="8"/>
      <c r="W39" s="5"/>
      <c r="X39" s="36"/>
    </row>
    <row r="40" spans="1:24">
      <c r="A40" s="63" t="s">
        <v>317</v>
      </c>
      <c r="B40" s="27"/>
      <c r="C40" s="27"/>
      <c r="D40" s="27"/>
      <c r="E40" s="113"/>
      <c r="F40" s="143"/>
      <c r="G40" s="143"/>
      <c r="I40" s="168"/>
      <c r="M40" s="160"/>
      <c r="N40" s="18"/>
      <c r="O40" s="18"/>
      <c r="P40" s="18"/>
      <c r="Q40" s="143"/>
      <c r="R40" s="143"/>
      <c r="T40" s="171"/>
      <c r="V40" s="21"/>
    </row>
    <row r="41" spans="1:24">
      <c r="A41" s="47" t="s">
        <v>318</v>
      </c>
      <c r="B41" s="27"/>
      <c r="C41" s="27"/>
      <c r="D41" s="27"/>
      <c r="E41" s="113">
        <f>IF(L41&gt;0,L41,IF($E$3=$F$3,F41,IF($E$3=$G$3,G41,IF($E$3=$H$3,H41,IF($E$3=$I$3,I41,IF($E$3=$J$3,J41,IF($E$3=$K$3,K41)))))))</f>
        <v>1.3</v>
      </c>
      <c r="F41" s="143">
        <v>1.3</v>
      </c>
      <c r="G41" s="143">
        <v>1.3</v>
      </c>
      <c r="H41" s="3">
        <v>1.3</v>
      </c>
      <c r="I41" s="144">
        <v>1.3</v>
      </c>
      <c r="J41" s="144">
        <v>1.3</v>
      </c>
      <c r="M41" s="23"/>
      <c r="N41" s="18"/>
      <c r="O41" s="18"/>
      <c r="P41" s="18"/>
      <c r="Q41" s="194"/>
      <c r="R41" s="194"/>
      <c r="S41" s="71"/>
      <c r="T41" s="194"/>
      <c r="U41" s="71"/>
      <c r="V41" s="21"/>
    </row>
    <row r="42" spans="1:24">
      <c r="A42" s="162" t="s">
        <v>315</v>
      </c>
      <c r="B42" s="27"/>
      <c r="C42" s="27"/>
      <c r="D42" s="27"/>
      <c r="E42" s="113">
        <f>IF(L42&gt;0,L42,IF($E$3=$F$3,F42,IF($E$3=$G$3,G42,IF($E$3=$H$3,H42,IF($E$3=$I$3,I42,IF($E$3=$J$3,J42,IF($E$3=$K$3,K42)))))))</f>
        <v>150</v>
      </c>
      <c r="F42" s="148">
        <v>150</v>
      </c>
      <c r="G42" s="148">
        <v>150</v>
      </c>
      <c r="H42" s="148">
        <v>150</v>
      </c>
      <c r="I42" s="170">
        <v>150</v>
      </c>
      <c r="J42" s="148">
        <v>150</v>
      </c>
      <c r="Q42" s="143"/>
      <c r="R42" s="194"/>
      <c r="S42" s="71"/>
      <c r="T42" s="194"/>
      <c r="U42" s="71"/>
      <c r="V42" s="21"/>
    </row>
    <row r="43" spans="1:24" ht="14.25">
      <c r="A43" s="10" t="s">
        <v>322</v>
      </c>
      <c r="B43" s="27"/>
      <c r="C43" s="27"/>
      <c r="D43" s="27"/>
      <c r="E43" s="113">
        <f>IF(L43&gt;0,L43,IF($E$3=$F$3,F43,IF($E$3=$G$3,G43,IF($E$3=$H$3,H43,IF($E$3=$I$3,I43,IF($E$3=$J$3,J43,IF($E$3=$K$3,K43)))))))</f>
        <v>2.12</v>
      </c>
      <c r="F43" s="111">
        <v>2.12</v>
      </c>
      <c r="G43" s="111">
        <v>2.12</v>
      </c>
      <c r="H43" s="111">
        <v>2.12</v>
      </c>
      <c r="I43" s="111">
        <v>2.12</v>
      </c>
      <c r="J43" s="111">
        <v>2.12</v>
      </c>
      <c r="Q43" s="143"/>
      <c r="V43" s="21"/>
    </row>
    <row r="44" spans="1:24">
      <c r="A44" s="52" t="s">
        <v>411</v>
      </c>
      <c r="B44" s="27"/>
      <c r="C44" s="27"/>
      <c r="D44" s="27"/>
      <c r="E44" s="113">
        <f>IF(L44&gt;0,L44,IF($E$3=$F$3,F44,IF($E$3=$G$3,G44,IF($E$3=$H$3,H44,IF($E$3=$I$3,I44,IF($E$3=$J$3,J44,IF($E$3=$K$3,K44)))))))</f>
        <v>15</v>
      </c>
      <c r="F44" s="3">
        <v>15</v>
      </c>
      <c r="G44" s="3">
        <v>15</v>
      </c>
      <c r="H44" s="3">
        <v>15</v>
      </c>
      <c r="I44" s="3">
        <v>15</v>
      </c>
      <c r="J44" s="3">
        <v>15</v>
      </c>
      <c r="Q44" s="143"/>
      <c r="R44" s="143"/>
      <c r="S44" s="3"/>
      <c r="T44" s="143"/>
      <c r="U44" s="3"/>
      <c r="V44" s="21"/>
    </row>
    <row r="45" spans="1:24">
      <c r="A45" s="160" t="s">
        <v>37</v>
      </c>
      <c r="B45" s="18"/>
      <c r="C45" s="18"/>
      <c r="D45" s="18"/>
      <c r="E45" s="113"/>
      <c r="F45" s="143"/>
      <c r="G45" s="143"/>
      <c r="I45" s="171"/>
      <c r="Q45" s="143"/>
      <c r="R45" s="143"/>
      <c r="S45" s="3"/>
      <c r="T45" s="143"/>
      <c r="U45" s="3"/>
      <c r="V45" s="21"/>
    </row>
    <row r="46" spans="1:24">
      <c r="A46" t="s">
        <v>412</v>
      </c>
      <c r="B46" s="18"/>
      <c r="C46" s="18"/>
      <c r="D46" s="18"/>
      <c r="E46" s="113">
        <f>IF(L46&gt;0,L46,IF(OR('Battery Design'!F48="microHEV",'Battery Design'!F48="HEV-HP"),'System Selection'!E47,IF($E$3=$F$3,F46,IF($E$3=$G$3,G46,IF($E$3=$H$3,H46,IF($E$3=$I$3,I46,IF($E$3=$J$3,J46,IF($E$3=$K$3,K46))))))))</f>
        <v>3.5510000000000002</v>
      </c>
      <c r="F46" s="194">
        <v>3.5510000000000002</v>
      </c>
      <c r="G46" s="194">
        <v>3.6629999999999998</v>
      </c>
      <c r="H46" s="71">
        <v>3.35</v>
      </c>
      <c r="I46" s="194">
        <v>2.4079999999999999</v>
      </c>
      <c r="J46" s="71">
        <v>3.819</v>
      </c>
      <c r="N46" s="227"/>
      <c r="Q46" s="143"/>
      <c r="R46" s="143"/>
      <c r="S46" s="3"/>
      <c r="T46" s="143"/>
      <c r="U46" s="3"/>
      <c r="V46" s="21"/>
    </row>
    <row r="47" spans="1:24">
      <c r="A47" s="23" t="s">
        <v>338</v>
      </c>
      <c r="B47" s="18"/>
      <c r="C47" s="18"/>
      <c r="D47" s="18"/>
      <c r="E47" s="113">
        <f>IF(L47&gt;0,L47,IF($E$3=$F$3,F47,IF($E$3=$G$3,G47,IF($E$3=$H$3,H47,IF($E$3=$I$3,I47,IF($E$3=$J$3,J47,IF($E$3=$K$3,K47)))))))</f>
        <v>3.68</v>
      </c>
      <c r="F47" s="194">
        <v>3.68</v>
      </c>
      <c r="G47" s="194">
        <v>3.75</v>
      </c>
      <c r="H47" s="71">
        <v>3.35</v>
      </c>
      <c r="I47" s="194">
        <v>2.5139999999999998</v>
      </c>
      <c r="J47" s="71">
        <v>3.9540000000000002</v>
      </c>
      <c r="M47" s="24"/>
      <c r="N47" s="227"/>
      <c r="Q47" s="145"/>
      <c r="R47" s="145"/>
      <c r="S47" s="145"/>
      <c r="T47" s="145"/>
      <c r="U47" s="145"/>
      <c r="V47" s="21"/>
    </row>
    <row r="48" spans="1:24">
      <c r="A48" s="24" t="s">
        <v>339</v>
      </c>
      <c r="E48" s="113">
        <f>IF(L48&gt;0,L48,IF($E$3=$F$3,F48,IF($E$3=$G$3,G48,IF($E$3=$H$3,H48,IF($E$3=$I$3,I48,IF($E$3=$J$3,J48,IF($E$3=$K$3,K48)))))))</f>
        <v>27</v>
      </c>
      <c r="F48" s="3">
        <v>27</v>
      </c>
      <c r="G48" s="3">
        <v>27</v>
      </c>
      <c r="H48" s="3">
        <v>120</v>
      </c>
      <c r="I48" s="3">
        <v>200</v>
      </c>
      <c r="J48" s="3">
        <v>120</v>
      </c>
      <c r="L48" s="3"/>
      <c r="M48" s="24"/>
      <c r="N48" s="3"/>
      <c r="O48" s="3"/>
      <c r="P48" s="3"/>
      <c r="Q48" s="145"/>
      <c r="R48" s="143"/>
      <c r="S48" s="143"/>
      <c r="T48" s="143"/>
      <c r="U48" s="143"/>
    </row>
    <row r="49" spans="1:21" ht="14.25">
      <c r="A49" s="24" t="s">
        <v>335</v>
      </c>
      <c r="E49" s="113">
        <f>IF(L49&gt;0,L49,IF($E$3=$F$3,F49,IF($E$3=$G$3,G49,IF($E$3=$H$3,H49,IF($E$3=$I$3,I49,IF($E$3=$J$3,J49,IF($E$3=$K$3,K49)))))))</f>
        <v>74000</v>
      </c>
      <c r="F49" s="148">
        <v>74000</v>
      </c>
      <c r="G49" s="148">
        <v>74000</v>
      </c>
      <c r="H49" s="4">
        <v>74000</v>
      </c>
      <c r="I49" s="148">
        <v>500000</v>
      </c>
      <c r="J49" s="4">
        <v>74000</v>
      </c>
      <c r="K49" s="21"/>
      <c r="M49" s="5"/>
      <c r="N49" s="3"/>
      <c r="O49" s="3"/>
      <c r="P49" s="3"/>
      <c r="Q49" s="143"/>
      <c r="R49" s="143"/>
      <c r="S49" s="3"/>
      <c r="T49" s="143"/>
      <c r="U49" s="3"/>
    </row>
    <row r="50" spans="1:21" ht="14.25">
      <c r="A50" s="24" t="s">
        <v>336</v>
      </c>
      <c r="E50" s="113">
        <f>IF(L50&gt;0,L50,IF($E$3=$F$3,F50,IF($E$3=$G$3,G50,IF($E$3=$H$3,H50,IF($E$3=$I$3,I50,IF($E$3=$J$3,J50,IF($E$3=$K$3,K50)))))))</f>
        <v>8900</v>
      </c>
      <c r="F50" s="148">
        <v>8900</v>
      </c>
      <c r="G50" s="148">
        <v>8900</v>
      </c>
      <c r="H50" s="4">
        <v>420000</v>
      </c>
      <c r="I50" s="148">
        <v>49200</v>
      </c>
      <c r="J50" s="4">
        <v>49200</v>
      </c>
      <c r="N50" s="143"/>
      <c r="O50" s="3"/>
      <c r="P50" s="143"/>
      <c r="Q50" s="3"/>
      <c r="R50" s="3"/>
      <c r="S50" s="3"/>
    </row>
    <row r="51" spans="1:21" ht="14.25">
      <c r="A51" t="s">
        <v>16</v>
      </c>
      <c r="E51" s="199"/>
      <c r="N51" s="143"/>
      <c r="O51" s="3"/>
      <c r="P51" s="143"/>
      <c r="Q51" s="3"/>
      <c r="R51" s="3"/>
      <c r="S51" s="3"/>
    </row>
    <row r="52" spans="1:21">
      <c r="A52" s="24" t="s">
        <v>417</v>
      </c>
      <c r="E52" s="113">
        <f>IF('Battery Design'!F$48="microHEV",E53,IF('Battery Design'!F$48="HEV-HP",E54,IF('Battery Design'!F$48="PHEV",E55,IF('Battery Design'!F$48="EV",E55,"ERROR"))))</f>
        <v>30</v>
      </c>
      <c r="N52" s="143"/>
      <c r="O52" s="3"/>
      <c r="P52" s="143"/>
      <c r="Q52" s="3"/>
      <c r="R52" s="3"/>
      <c r="S52" s="3"/>
    </row>
    <row r="53" spans="1:21">
      <c r="A53" t="s">
        <v>341</v>
      </c>
      <c r="E53" s="113">
        <f t="shared" ref="E53:E63" si="0">IF(L53&gt;0,L53,IF($E$3=$F$3,F53,IF($E$3=$G$3,G53,IF($E$3=$H$3,H53,IF($E$3=$I$3,I53,IF($E$3=$J$3,J53,IF($E$3=$K$3,K53)))))))</f>
        <v>18</v>
      </c>
      <c r="F53" s="143">
        <v>18</v>
      </c>
      <c r="G53" s="143">
        <v>21</v>
      </c>
      <c r="H53" s="3">
        <v>20</v>
      </c>
      <c r="I53" s="143">
        <v>6</v>
      </c>
      <c r="J53" s="3">
        <v>16</v>
      </c>
      <c r="L53" s="3"/>
      <c r="N53" s="143"/>
      <c r="O53" s="3"/>
      <c r="P53" s="143"/>
      <c r="Q53" s="3"/>
      <c r="R53" s="3"/>
      <c r="S53" s="3"/>
    </row>
    <row r="54" spans="1:21">
      <c r="A54" t="s">
        <v>342</v>
      </c>
      <c r="E54" s="113">
        <f t="shared" si="0"/>
        <v>23.6</v>
      </c>
      <c r="F54" s="143">
        <v>23.6</v>
      </c>
      <c r="G54" s="143">
        <v>26.6</v>
      </c>
      <c r="H54" s="3">
        <v>25</v>
      </c>
      <c r="I54" s="143">
        <v>8</v>
      </c>
      <c r="J54" s="3">
        <v>20</v>
      </c>
      <c r="L54" s="3"/>
      <c r="N54" s="145"/>
      <c r="O54" s="145"/>
      <c r="P54" s="145"/>
      <c r="Q54" s="145"/>
      <c r="R54" s="3"/>
      <c r="S54" s="3"/>
    </row>
    <row r="55" spans="1:21">
      <c r="A55" t="s">
        <v>415</v>
      </c>
      <c r="E55" s="113">
        <f t="shared" si="0"/>
        <v>30</v>
      </c>
      <c r="F55" s="143">
        <v>30</v>
      </c>
      <c r="G55" s="143">
        <v>33</v>
      </c>
      <c r="H55" s="3">
        <v>32</v>
      </c>
      <c r="I55" s="143">
        <v>10</v>
      </c>
      <c r="J55" s="3">
        <v>25</v>
      </c>
      <c r="L55" s="3"/>
      <c r="N55" s="231"/>
      <c r="O55" s="145"/>
      <c r="P55" s="145"/>
      <c r="Q55" s="145"/>
      <c r="R55" s="3"/>
      <c r="S55" s="3"/>
    </row>
    <row r="56" spans="1:21">
      <c r="A56" t="s">
        <v>343</v>
      </c>
      <c r="E56" s="113">
        <f t="shared" si="0"/>
        <v>3</v>
      </c>
      <c r="F56" s="143">
        <v>3</v>
      </c>
      <c r="G56" s="143">
        <v>3</v>
      </c>
      <c r="H56" s="3">
        <v>1.5</v>
      </c>
      <c r="I56" s="143">
        <v>1.5</v>
      </c>
      <c r="J56" s="3">
        <v>2</v>
      </c>
      <c r="L56" s="3"/>
      <c r="N56" s="143"/>
      <c r="O56" s="3"/>
      <c r="P56" s="143"/>
      <c r="Q56" s="3"/>
      <c r="R56" s="21"/>
      <c r="S56" s="21"/>
    </row>
    <row r="57" spans="1:21" ht="14.25">
      <c r="A57" s="24" t="s">
        <v>21</v>
      </c>
      <c r="E57" s="113">
        <f t="shared" si="0"/>
        <v>51.920000000000009</v>
      </c>
      <c r="F57" s="145">
        <f>2.2*F54</f>
        <v>51.920000000000009</v>
      </c>
      <c r="G57" s="145">
        <f>2.2*G54</f>
        <v>58.52000000000001</v>
      </c>
      <c r="H57" s="145">
        <f>2.2*H54</f>
        <v>55.000000000000007</v>
      </c>
      <c r="I57" s="145">
        <f>5/3*I54</f>
        <v>13.333333333333334</v>
      </c>
      <c r="J57" s="145">
        <f>2.2*J54</f>
        <v>44</v>
      </c>
      <c r="L57" s="3"/>
    </row>
    <row r="58" spans="1:21">
      <c r="A58" s="24" t="s">
        <v>253</v>
      </c>
      <c r="B58" s="3"/>
      <c r="C58" s="3"/>
      <c r="D58" s="3"/>
      <c r="E58" s="113">
        <f t="shared" si="0"/>
        <v>300</v>
      </c>
      <c r="F58" s="143">
        <v>300</v>
      </c>
      <c r="G58" s="143">
        <v>300</v>
      </c>
      <c r="H58" s="143">
        <v>300</v>
      </c>
      <c r="I58" s="143">
        <v>300</v>
      </c>
      <c r="J58" s="143">
        <v>300</v>
      </c>
      <c r="L58" s="143"/>
    </row>
    <row r="59" spans="1:21">
      <c r="A59" s="5" t="s">
        <v>240</v>
      </c>
      <c r="B59" s="3"/>
      <c r="C59" s="3"/>
      <c r="D59" s="3"/>
      <c r="K59" s="227"/>
      <c r="L59" s="3"/>
      <c r="N59" s="227"/>
    </row>
    <row r="60" spans="1:21">
      <c r="A60" s="7" t="s">
        <v>446</v>
      </c>
      <c r="B60" s="3"/>
      <c r="C60" s="9"/>
      <c r="D60" s="9"/>
      <c r="E60" s="113">
        <f>IF('Battery Design'!F$48="microHEV",E61,IF('Battery Design'!F$48="HEV-HP",E61,IF('Battery Design'!F$48="PHEV",E62,IF('Battery Design'!F$48="EV",E63,"ERROR"))))</f>
        <v>70</v>
      </c>
      <c r="F60" s="166"/>
      <c r="G60" s="166"/>
      <c r="H60" s="9"/>
      <c r="I60" s="166"/>
      <c r="J60" s="9"/>
      <c r="L60" s="3"/>
      <c r="N60" s="227"/>
    </row>
    <row r="61" spans="1:21">
      <c r="A61" s="7" t="s">
        <v>491</v>
      </c>
      <c r="B61" s="9"/>
      <c r="C61" s="9"/>
      <c r="D61" s="9"/>
      <c r="E61" s="113">
        <f t="shared" si="0"/>
        <v>25</v>
      </c>
      <c r="F61" s="166">
        <v>25</v>
      </c>
      <c r="G61" s="166">
        <v>25</v>
      </c>
      <c r="H61" s="166">
        <v>25</v>
      </c>
      <c r="I61" s="166">
        <v>25</v>
      </c>
      <c r="J61" s="166">
        <v>25</v>
      </c>
      <c r="L61" s="3"/>
      <c r="N61" s="227"/>
    </row>
    <row r="62" spans="1:21">
      <c r="A62" s="7" t="s">
        <v>444</v>
      </c>
      <c r="B62" s="9"/>
      <c r="C62" s="9"/>
      <c r="D62" s="9"/>
      <c r="E62" s="113">
        <f t="shared" si="0"/>
        <v>70</v>
      </c>
      <c r="F62" s="143">
        <v>70</v>
      </c>
      <c r="G62" s="143">
        <v>70</v>
      </c>
      <c r="H62" s="3">
        <v>70</v>
      </c>
      <c r="I62" s="143">
        <v>75</v>
      </c>
      <c r="J62" s="3">
        <v>70</v>
      </c>
      <c r="L62" s="3"/>
      <c r="N62" s="227"/>
    </row>
    <row r="63" spans="1:21">
      <c r="A63" s="7" t="s">
        <v>445</v>
      </c>
      <c r="B63" s="9"/>
      <c r="C63" s="9"/>
      <c r="D63" s="9"/>
      <c r="E63" s="113">
        <f t="shared" si="0"/>
        <v>80</v>
      </c>
      <c r="F63" s="166">
        <v>80</v>
      </c>
      <c r="G63" s="166">
        <v>80</v>
      </c>
      <c r="H63" s="166">
        <v>80</v>
      </c>
      <c r="I63" s="166">
        <v>80</v>
      </c>
      <c r="J63" s="166">
        <v>80</v>
      </c>
      <c r="L63" s="3"/>
      <c r="N63" s="227"/>
    </row>
    <row r="64" spans="1:21" ht="16.5" thickBot="1">
      <c r="A64" s="19" t="s">
        <v>260</v>
      </c>
      <c r="F64" s="1" t="s">
        <v>255</v>
      </c>
      <c r="G64" s="1" t="s">
        <v>436</v>
      </c>
      <c r="H64" s="1" t="s">
        <v>257</v>
      </c>
      <c r="I64" s="1" t="s">
        <v>268</v>
      </c>
      <c r="J64" s="1" t="s">
        <v>267</v>
      </c>
      <c r="L64" s="215" t="s">
        <v>266</v>
      </c>
      <c r="M64" s="215"/>
    </row>
    <row r="65" spans="1:13">
      <c r="A65" s="7" t="s">
        <v>52</v>
      </c>
      <c r="B65" s="7"/>
      <c r="C65" s="7"/>
      <c r="D65" s="8"/>
      <c r="E65" s="68" t="s">
        <v>53</v>
      </c>
      <c r="L65" s="8" t="s">
        <v>51</v>
      </c>
      <c r="M65" s="68" t="s">
        <v>53</v>
      </c>
    </row>
    <row r="66" spans="1:13">
      <c r="A66" s="12" t="s">
        <v>262</v>
      </c>
      <c r="B66" s="7"/>
      <c r="C66" s="7"/>
      <c r="D66" s="131">
        <f>IF(L66&gt;0,L66,IF($E$3=$F$3,F66,IF($E$3=$G$3,G66,IF($E$3=$H$3,H66,IF($E$3=$I$3,I66,IF($E$3=$J$3,J66,IF($E$3=$K$3,K66)))))))</f>
        <v>36</v>
      </c>
      <c r="E66" s="132">
        <f>IF(M66=0,0.95,M66)</f>
        <v>0.95</v>
      </c>
      <c r="F66" s="172">
        <v>36</v>
      </c>
      <c r="G66" s="172">
        <v>33</v>
      </c>
      <c r="H66" s="175">
        <v>20</v>
      </c>
      <c r="I66" s="172">
        <v>10</v>
      </c>
      <c r="J66" s="172">
        <v>10</v>
      </c>
      <c r="L66" s="111"/>
      <c r="M66" s="3"/>
    </row>
    <row r="67" spans="1:13">
      <c r="A67" s="12" t="s">
        <v>263</v>
      </c>
      <c r="B67" s="7"/>
      <c r="C67" s="7"/>
      <c r="D67" s="131">
        <f t="shared" ref="D67:D79" si="1">IF(L67&gt;0,L67,IF($E$3=$F$3,F67,IF($E$3=$G$3,G67,IF($E$3=$H$3,H67,IF($E$3=$I$3,I67,IF($E$3=$J$3,J67,IF($E$3=$K$3,K67)))))))</f>
        <v>6.8</v>
      </c>
      <c r="E67" s="132">
        <f>IF(M67=0,1,M67)</f>
        <v>1</v>
      </c>
      <c r="F67" s="172">
        <v>6.8</v>
      </c>
      <c r="G67" s="172">
        <v>6.8</v>
      </c>
      <c r="H67" s="172">
        <v>6.8</v>
      </c>
      <c r="I67" s="172">
        <v>6.8</v>
      </c>
      <c r="J67" s="172">
        <v>6.8</v>
      </c>
      <c r="L67" s="3"/>
      <c r="M67" s="3"/>
    </row>
    <row r="68" spans="1:13">
      <c r="A68" s="7" t="s">
        <v>62</v>
      </c>
      <c r="B68" s="7"/>
      <c r="C68" s="7"/>
      <c r="D68" s="131">
        <f t="shared" si="1"/>
        <v>10</v>
      </c>
      <c r="E68" s="132">
        <f>IF(M68=0,1,M68)</f>
        <v>1</v>
      </c>
      <c r="F68" s="173">
        <v>10</v>
      </c>
      <c r="G68" s="173">
        <v>10</v>
      </c>
      <c r="H68" s="173">
        <v>10</v>
      </c>
      <c r="I68" s="173">
        <v>10</v>
      </c>
      <c r="J68" s="173">
        <v>10</v>
      </c>
      <c r="L68" s="3"/>
      <c r="M68" s="3"/>
    </row>
    <row r="69" spans="1:13">
      <c r="A69" s="7" t="s">
        <v>64</v>
      </c>
      <c r="B69" s="7"/>
      <c r="C69" s="7"/>
      <c r="D69" s="131">
        <f t="shared" si="1"/>
        <v>3.2</v>
      </c>
      <c r="E69" s="132">
        <f>IF(M69=0,1,M69)</f>
        <v>1</v>
      </c>
      <c r="F69" s="173">
        <v>3.2</v>
      </c>
      <c r="G69" s="173">
        <v>3.2</v>
      </c>
      <c r="H69" s="173">
        <v>3.2</v>
      </c>
      <c r="I69" s="173">
        <v>3.2</v>
      </c>
      <c r="J69" s="173">
        <v>3.2</v>
      </c>
      <c r="L69" s="3"/>
      <c r="M69" s="3"/>
    </row>
    <row r="70" spans="1:13">
      <c r="A70" s="7" t="s">
        <v>66</v>
      </c>
      <c r="B70" s="7"/>
      <c r="C70" s="7"/>
      <c r="D70" s="131"/>
      <c r="E70" s="111"/>
      <c r="F70" s="172"/>
      <c r="G70" s="172"/>
      <c r="H70" s="111"/>
      <c r="I70" s="172"/>
      <c r="J70" s="172"/>
      <c r="L70" s="3"/>
      <c r="M70" s="3"/>
    </row>
    <row r="71" spans="1:13">
      <c r="A71" s="7" t="s">
        <v>56</v>
      </c>
      <c r="B71" s="7"/>
      <c r="C71" s="7"/>
      <c r="D71" s="131">
        <f t="shared" si="1"/>
        <v>19</v>
      </c>
      <c r="E71" s="132">
        <f>IF(M71=0,0.95,M71)</f>
        <v>0.95</v>
      </c>
      <c r="F71" s="172">
        <v>19</v>
      </c>
      <c r="G71" s="172">
        <v>19</v>
      </c>
      <c r="H71" s="172">
        <v>19</v>
      </c>
      <c r="I71" s="172">
        <v>12</v>
      </c>
      <c r="J71" s="172">
        <v>19</v>
      </c>
      <c r="L71" s="3"/>
      <c r="M71" s="3"/>
    </row>
    <row r="72" spans="1:13">
      <c r="A72" s="7" t="s">
        <v>60</v>
      </c>
      <c r="B72" s="7"/>
      <c r="C72" s="7"/>
      <c r="D72" s="131">
        <f t="shared" si="1"/>
        <v>6.8</v>
      </c>
      <c r="E72" s="132">
        <f t="shared" ref="E72:E79" si="2">IF(M72=0,1,M72)</f>
        <v>1</v>
      </c>
      <c r="F72" s="172">
        <v>6.8</v>
      </c>
      <c r="G72" s="172">
        <v>6.8</v>
      </c>
      <c r="H72" s="172">
        <v>6.8</v>
      </c>
      <c r="I72" s="172">
        <v>6.8</v>
      </c>
      <c r="J72" s="172">
        <v>6.8</v>
      </c>
      <c r="L72" s="3"/>
      <c r="M72" s="3"/>
    </row>
    <row r="73" spans="1:13">
      <c r="A73" s="7" t="s">
        <v>62</v>
      </c>
      <c r="B73" s="7"/>
      <c r="C73" s="7"/>
      <c r="D73" s="131">
        <f t="shared" si="1"/>
        <v>10</v>
      </c>
      <c r="E73" s="132">
        <f t="shared" si="2"/>
        <v>1</v>
      </c>
      <c r="F73" s="172">
        <v>10</v>
      </c>
      <c r="G73" s="172">
        <v>10</v>
      </c>
      <c r="H73" s="172">
        <v>10</v>
      </c>
      <c r="I73" s="172">
        <v>10</v>
      </c>
      <c r="J73" s="172">
        <v>10</v>
      </c>
      <c r="L73" s="3"/>
      <c r="M73" s="3"/>
    </row>
    <row r="74" spans="1:13">
      <c r="A74" s="7" t="s">
        <v>368</v>
      </c>
      <c r="B74" s="7"/>
      <c r="C74" s="7"/>
      <c r="D74" s="131">
        <f t="shared" si="1"/>
        <v>0</v>
      </c>
      <c r="E74" s="132">
        <f t="shared" si="2"/>
        <v>1</v>
      </c>
      <c r="F74" s="172">
        <v>0</v>
      </c>
      <c r="G74" s="172">
        <v>0</v>
      </c>
      <c r="H74" s="172">
        <v>0</v>
      </c>
      <c r="I74" s="172">
        <v>0</v>
      </c>
      <c r="J74" s="172">
        <v>0</v>
      </c>
      <c r="L74" s="3"/>
      <c r="M74" s="3"/>
    </row>
    <row r="75" spans="1:13" ht="14.25">
      <c r="A75" s="7" t="s">
        <v>195</v>
      </c>
      <c r="B75" s="7"/>
      <c r="C75" s="7"/>
      <c r="D75" s="131">
        <f t="shared" si="1"/>
        <v>0.8</v>
      </c>
      <c r="E75" s="132">
        <f t="shared" si="2"/>
        <v>1</v>
      </c>
      <c r="F75" s="174">
        <v>0.8</v>
      </c>
      <c r="G75" s="174">
        <v>0.8</v>
      </c>
      <c r="H75" s="174">
        <v>0.8</v>
      </c>
      <c r="I75" s="174">
        <v>0.8</v>
      </c>
      <c r="J75" s="174">
        <v>0.8</v>
      </c>
      <c r="L75" s="3"/>
      <c r="M75" s="3"/>
    </row>
    <row r="76" spans="1:13" ht="14.25">
      <c r="A76" s="7" t="s">
        <v>196</v>
      </c>
      <c r="B76" s="7"/>
      <c r="C76" s="7"/>
      <c r="D76" s="131">
        <f t="shared" si="1"/>
        <v>3</v>
      </c>
      <c r="E76" s="132">
        <f t="shared" si="2"/>
        <v>1</v>
      </c>
      <c r="F76" s="172">
        <v>3</v>
      </c>
      <c r="G76" s="172">
        <v>3</v>
      </c>
      <c r="H76" s="172">
        <v>3</v>
      </c>
      <c r="I76" s="172">
        <v>0.8</v>
      </c>
      <c r="J76" s="172">
        <v>3</v>
      </c>
      <c r="L76" s="3"/>
      <c r="M76" s="3"/>
    </row>
    <row r="77" spans="1:13" ht="14.25">
      <c r="A77" s="7" t="s">
        <v>72</v>
      </c>
      <c r="B77" s="7"/>
      <c r="C77" s="7"/>
      <c r="D77" s="131">
        <f t="shared" si="1"/>
        <v>2</v>
      </c>
      <c r="E77" s="132">
        <f t="shared" si="2"/>
        <v>1</v>
      </c>
      <c r="F77" s="172">
        <v>2</v>
      </c>
      <c r="G77" s="172">
        <v>2</v>
      </c>
      <c r="H77" s="172">
        <v>2</v>
      </c>
      <c r="I77" s="172">
        <v>2</v>
      </c>
      <c r="J77" s="172">
        <v>2</v>
      </c>
      <c r="L77" s="3"/>
      <c r="M77" s="3"/>
    </row>
    <row r="78" spans="1:13">
      <c r="A78" s="47" t="s">
        <v>73</v>
      </c>
      <c r="B78" s="47"/>
      <c r="C78" s="47"/>
      <c r="D78" s="131">
        <f t="shared" si="1"/>
        <v>5</v>
      </c>
      <c r="E78" s="132">
        <f t="shared" si="2"/>
        <v>1</v>
      </c>
      <c r="F78" s="172">
        <v>5</v>
      </c>
      <c r="G78" s="172">
        <v>5</v>
      </c>
      <c r="H78" s="172">
        <v>5</v>
      </c>
      <c r="I78" s="172">
        <v>5</v>
      </c>
      <c r="J78" s="172">
        <v>5</v>
      </c>
      <c r="L78" s="3"/>
      <c r="M78" s="3"/>
    </row>
    <row r="79" spans="1:13">
      <c r="A79" s="7" t="s">
        <v>74</v>
      </c>
      <c r="B79" s="7"/>
      <c r="C79" s="7"/>
      <c r="D79" s="131">
        <f t="shared" si="1"/>
        <v>16</v>
      </c>
      <c r="E79" s="132">
        <f t="shared" si="2"/>
        <v>1</v>
      </c>
      <c r="F79" s="172">
        <v>16</v>
      </c>
      <c r="G79" s="172">
        <v>16</v>
      </c>
      <c r="H79" s="172">
        <v>16</v>
      </c>
      <c r="I79" s="172">
        <v>16</v>
      </c>
      <c r="J79" s="172">
        <v>16</v>
      </c>
      <c r="L79" s="3"/>
      <c r="M79" s="3"/>
    </row>
  </sheetData>
  <mergeCells count="2">
    <mergeCell ref="F2:K2"/>
    <mergeCell ref="A1:K1"/>
  </mergeCells>
  <phoneticPr fontId="5" type="noConversion"/>
  <pageMargins left="0.5" right="0.5" top="0.5" bottom="0.5" header="0.5" footer="0.5"/>
  <pageSetup scale="89" orientation="portrait" verticalDpi="300" r:id="rId1"/>
  <headerFooter alignWithMargins="0">
    <oddFooter>&amp;C &amp;P&amp;R&amp;F&amp;D</oddFooter>
  </headerFooter>
  <rowBreaks count="1" manualBreakCount="1">
    <brk id="6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</sheetPr>
  <dimension ref="A1:T186"/>
  <sheetViews>
    <sheetView zoomScaleNormal="100" workbookViewId="0">
      <selection activeCell="E4" sqref="E4"/>
    </sheetView>
  </sheetViews>
  <sheetFormatPr defaultRowHeight="12.75"/>
  <cols>
    <col min="1" max="4" width="10.7109375" customWidth="1"/>
    <col min="5" max="5" width="13.5703125" customWidth="1"/>
    <col min="6" max="10" width="10.7109375" customWidth="1"/>
    <col min="11" max="11" width="10.7109375" style="115" customWidth="1"/>
    <col min="12" max="20" width="10.7109375" customWidth="1"/>
  </cols>
  <sheetData>
    <row r="1" spans="1:10" ht="15.75">
      <c r="A1" s="269" t="s">
        <v>433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5.75">
      <c r="A2" s="270" t="str">
        <f>IF('System Selection'!E3="NCA-G","LiNi0.80Co0.15Al0.05O2-Graphite",IF('System Selection'!E3="NMC-G","Li1.05(Ni4/9Mn4/9Co1/9)0.95O2-Graphite",IF('System Selection'!E3="LFP-G","LiFePO4-Graphite",IF('System Selection'!E3="LMO-LTOO","Manganese-Spinel/Li4Ti5O12",IF('System Selection'!E3="LMO-G","Manganese-Spinel/Graphite")))))</f>
        <v>LiNi0.80Co0.15Al0.05O2-Graphite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0" ht="15.75">
      <c r="A3" s="8"/>
      <c r="B3" s="8"/>
      <c r="C3" s="8"/>
      <c r="D3" s="8"/>
      <c r="E3" s="1"/>
    </row>
    <row r="4" spans="1:10" ht="15.75">
      <c r="A4" s="16" t="s">
        <v>17</v>
      </c>
      <c r="B4" s="8"/>
      <c r="C4" s="8"/>
      <c r="D4" s="8"/>
      <c r="E4" s="1"/>
      <c r="F4" s="8"/>
    </row>
    <row r="5" spans="1:10">
      <c r="A5" s="36" t="s">
        <v>23</v>
      </c>
      <c r="B5" s="36"/>
      <c r="C5" s="36"/>
      <c r="D5" s="36"/>
      <c r="E5" s="36"/>
      <c r="F5" s="8" t="s">
        <v>2</v>
      </c>
      <c r="G5" s="8" t="s">
        <v>3</v>
      </c>
      <c r="H5" s="8" t="s">
        <v>4</v>
      </c>
      <c r="I5" s="8" t="s">
        <v>5</v>
      </c>
      <c r="J5" s="8" t="s">
        <v>6</v>
      </c>
    </row>
    <row r="6" spans="1:10">
      <c r="A6" s="17" t="s">
        <v>24</v>
      </c>
      <c r="B6" s="45"/>
      <c r="C6" s="10"/>
      <c r="D6" s="25" t="s">
        <v>10</v>
      </c>
      <c r="E6" s="9" t="s">
        <v>9</v>
      </c>
    </row>
    <row r="7" spans="1:10">
      <c r="A7" s="12" t="s">
        <v>8</v>
      </c>
      <c r="B7" s="11"/>
      <c r="C7" s="11"/>
      <c r="D7" s="113">
        <f>'System Selection'!E7</f>
        <v>89</v>
      </c>
      <c r="E7" s="114">
        <f>'System Selection'!E13</f>
        <v>4.78</v>
      </c>
      <c r="F7" s="39">
        <f ca="1">F68/F32*1000</f>
        <v>63.426763407514827</v>
      </c>
      <c r="G7" s="39">
        <f ca="1">G68/G32*1000</f>
        <v>127.68304513895465</v>
      </c>
      <c r="H7" s="39">
        <f ca="1">H68/H32*1000</f>
        <v>192.65408023720053</v>
      </c>
      <c r="I7" s="39">
        <f ca="1">I68/I32*1000</f>
        <v>258.3931468034707</v>
      </c>
      <c r="J7" s="39">
        <f ca="1">J68/J32*1000</f>
        <v>324.92415704492913</v>
      </c>
    </row>
    <row r="8" spans="1:10">
      <c r="A8" s="12" t="s">
        <v>25</v>
      </c>
      <c r="B8" s="37" t="s">
        <v>26</v>
      </c>
      <c r="C8" s="115"/>
      <c r="D8" s="113">
        <f>'System Selection'!E8</f>
        <v>6</v>
      </c>
      <c r="E8" s="114">
        <f>'System Selection'!E14</f>
        <v>1.825</v>
      </c>
      <c r="F8" s="40">
        <f t="shared" ref="F8:J10" ca="1" si="0">F$11*$D8/100</f>
        <v>4.2759615780348836</v>
      </c>
      <c r="G8" s="40">
        <f t="shared" ca="1" si="0"/>
        <v>8.6078457397048069</v>
      </c>
      <c r="H8" s="40">
        <f t="shared" ca="1" si="0"/>
        <v>12.987915521609025</v>
      </c>
      <c r="I8" s="40">
        <f t="shared" ca="1" si="0"/>
        <v>17.419762705851959</v>
      </c>
      <c r="J8" s="40">
        <f t="shared" ca="1" si="0"/>
        <v>21.904999351343534</v>
      </c>
    </row>
    <row r="9" spans="1:10">
      <c r="A9" s="10" t="s">
        <v>13</v>
      </c>
      <c r="B9" s="10"/>
      <c r="C9" s="10"/>
      <c r="D9" s="113">
        <f>'System Selection'!E9</f>
        <v>5</v>
      </c>
      <c r="E9" s="114">
        <f>'System Selection'!E15</f>
        <v>1.77</v>
      </c>
      <c r="F9" s="40">
        <f t="shared" ca="1" si="0"/>
        <v>3.5633013150290695</v>
      </c>
      <c r="G9" s="40">
        <f t="shared" ca="1" si="0"/>
        <v>7.17320478308734</v>
      </c>
      <c r="H9" s="40">
        <f t="shared" ca="1" si="0"/>
        <v>10.823262934674187</v>
      </c>
      <c r="I9" s="40">
        <f t="shared" ca="1" si="0"/>
        <v>14.516468921543298</v>
      </c>
      <c r="J9" s="40">
        <f t="shared" ca="1" si="0"/>
        <v>18.254166126119614</v>
      </c>
    </row>
    <row r="10" spans="1:10">
      <c r="A10" s="10" t="s">
        <v>14</v>
      </c>
      <c r="B10" s="15" t="s">
        <v>11</v>
      </c>
      <c r="C10" s="116">
        <f>'System Selection'!E11</f>
        <v>32</v>
      </c>
      <c r="D10" s="13"/>
      <c r="E10" s="13"/>
      <c r="F10" s="41">
        <f t="shared" ca="1" si="0"/>
        <v>0</v>
      </c>
      <c r="G10" s="41">
        <f t="shared" ca="1" si="0"/>
        <v>0</v>
      </c>
      <c r="H10" s="41">
        <f t="shared" ca="1" si="0"/>
        <v>0</v>
      </c>
      <c r="I10" s="41">
        <f t="shared" ca="1" si="0"/>
        <v>0</v>
      </c>
      <c r="J10" s="41">
        <f t="shared" ca="1" si="0"/>
        <v>0</v>
      </c>
    </row>
    <row r="11" spans="1:10">
      <c r="A11" s="10" t="s">
        <v>15</v>
      </c>
      <c r="B11" s="10"/>
      <c r="C11" s="10"/>
      <c r="D11" s="9">
        <f>SUM(D7:D10)</f>
        <v>100</v>
      </c>
      <c r="E11" s="14">
        <f>(100-C10)/(D7/E7+D8/E8+D9/E9)</f>
        <v>2.7494991729587834</v>
      </c>
      <c r="F11" s="38">
        <f ca="1">F7/$D7*100</f>
        <v>71.26602630057846</v>
      </c>
      <c r="G11" s="38">
        <f ca="1">G7/$D7*100</f>
        <v>143.4640956617468</v>
      </c>
      <c r="H11" s="38">
        <f ca="1">H7/$D7*100</f>
        <v>216.46525869348375</v>
      </c>
      <c r="I11" s="38">
        <f ca="1">I7/$D7*100</f>
        <v>290.32937843086597</v>
      </c>
      <c r="J11" s="38">
        <f ca="1">J7/$D7*100</f>
        <v>365.08332252239228</v>
      </c>
    </row>
    <row r="12" spans="1:10">
      <c r="A12" s="45" t="s">
        <v>197</v>
      </c>
      <c r="B12" s="46"/>
      <c r="C12" s="27"/>
      <c r="D12" s="28" t="s">
        <v>10</v>
      </c>
      <c r="E12" s="28" t="s">
        <v>9</v>
      </c>
      <c r="F12" s="29"/>
      <c r="G12" s="29"/>
      <c r="H12" s="29"/>
      <c r="I12" s="29"/>
      <c r="J12" s="29"/>
    </row>
    <row r="13" spans="1:10">
      <c r="A13" s="55" t="s">
        <v>8</v>
      </c>
      <c r="B13" s="27"/>
      <c r="C13" s="27"/>
      <c r="D13" s="117">
        <f>'System Selection'!E20</f>
        <v>95</v>
      </c>
      <c r="E13" s="119">
        <f>'System Selection'!E26</f>
        <v>2.2400000000000002</v>
      </c>
      <c r="F13" s="42">
        <f ca="1">F68/$F34*1000*F36*(1+F41/100)</f>
        <v>45.351307104561762</v>
      </c>
      <c r="G13" s="42">
        <f ca="1">G68/$F34*1000*G36*(1+G41/100)</f>
        <v>90.849580228027762</v>
      </c>
      <c r="H13" s="42">
        <f ca="1">H68/$F34*1000*H36*(1+H41/100)</f>
        <v>136.45503226630547</v>
      </c>
      <c r="I13" s="42">
        <f ca="1">I68/$F34*1000*I36*(1+I41/100)</f>
        <v>182.45167512602836</v>
      </c>
      <c r="J13" s="42">
        <f ca="1">J68/$F34*1000*J36*(1+J41/100)</f>
        <v>228.91241427054308</v>
      </c>
    </row>
    <row r="14" spans="1:10">
      <c r="A14" s="29" t="s">
        <v>12</v>
      </c>
      <c r="B14" s="27"/>
      <c r="C14" s="27"/>
      <c r="D14" s="117">
        <f>'System Selection'!E21</f>
        <v>0</v>
      </c>
      <c r="E14" s="119">
        <f>'System Selection'!E27</f>
        <v>1.95</v>
      </c>
      <c r="F14" s="43">
        <f t="shared" ref="F14:J16" ca="1" si="1">F$17*$D14/100</f>
        <v>0</v>
      </c>
      <c r="G14" s="43">
        <f t="shared" ca="1" si="1"/>
        <v>0</v>
      </c>
      <c r="H14" s="43">
        <f t="shared" ca="1" si="1"/>
        <v>0</v>
      </c>
      <c r="I14" s="43">
        <f t="shared" ca="1" si="1"/>
        <v>0</v>
      </c>
      <c r="J14" s="43">
        <f t="shared" ca="1" si="1"/>
        <v>0</v>
      </c>
    </row>
    <row r="15" spans="1:10">
      <c r="A15" s="29" t="s">
        <v>13</v>
      </c>
      <c r="B15" s="27"/>
      <c r="C15" s="27"/>
      <c r="D15" s="117">
        <f>'System Selection'!E22</f>
        <v>5</v>
      </c>
      <c r="E15" s="119">
        <f>'System Selection'!E28</f>
        <v>1.1000000000000001</v>
      </c>
      <c r="F15" s="43">
        <f t="shared" ca="1" si="1"/>
        <v>2.3869109002403781</v>
      </c>
      <c r="G15" s="43">
        <f t="shared" ca="1" si="1"/>
        <v>4.7815568541067242</v>
      </c>
      <c r="H15" s="43">
        <f t="shared" ca="1" si="1"/>
        <v>7.1818438034897607</v>
      </c>
      <c r="I15" s="43">
        <f t="shared" ca="1" si="1"/>
        <v>9.602719743475177</v>
      </c>
      <c r="J15" s="43">
        <f t="shared" ca="1" si="1"/>
        <v>12.048021803712794</v>
      </c>
    </row>
    <row r="16" spans="1:10">
      <c r="A16" s="29" t="s">
        <v>14</v>
      </c>
      <c r="B16" s="32" t="s">
        <v>11</v>
      </c>
      <c r="C16" s="118">
        <f>'System Selection'!E24</f>
        <v>34</v>
      </c>
      <c r="D16" s="33"/>
      <c r="E16" s="34"/>
      <c r="F16" s="44">
        <f t="shared" ca="1" si="1"/>
        <v>0</v>
      </c>
      <c r="G16" s="44">
        <f t="shared" ca="1" si="1"/>
        <v>0</v>
      </c>
      <c r="H16" s="44">
        <f t="shared" ca="1" si="1"/>
        <v>0</v>
      </c>
      <c r="I16" s="44">
        <f t="shared" ca="1" si="1"/>
        <v>0</v>
      </c>
      <c r="J16" s="44">
        <f t="shared" ca="1" si="1"/>
        <v>0</v>
      </c>
    </row>
    <row r="17" spans="1:11">
      <c r="A17" s="29" t="s">
        <v>15</v>
      </c>
      <c r="B17" s="27"/>
      <c r="C17" s="27"/>
      <c r="D17" s="31">
        <f>SUM(D13:D16)</f>
        <v>100</v>
      </c>
      <c r="E17" s="30">
        <f>(100-C16)/(D13/E13+D15/E15+D14/E14)</f>
        <v>1.4055661192739843</v>
      </c>
      <c r="F17" s="43">
        <f ca="1">F13/$D13*100</f>
        <v>47.738218004801851</v>
      </c>
      <c r="G17" s="43">
        <f ca="1">G13/$D13*100</f>
        <v>95.631137082134487</v>
      </c>
      <c r="H17" s="43">
        <f ca="1">H13/$D13*100</f>
        <v>143.63687606979522</v>
      </c>
      <c r="I17" s="43">
        <f ca="1">I13/$D13*100</f>
        <v>192.05439486950354</v>
      </c>
      <c r="J17" s="43">
        <f ca="1">J13/$D13*100</f>
        <v>240.96043607425588</v>
      </c>
    </row>
    <row r="18" spans="1:11">
      <c r="A18" s="56" t="s">
        <v>43</v>
      </c>
      <c r="B18" s="46"/>
      <c r="C18" s="46"/>
      <c r="D18" s="31" t="s">
        <v>27</v>
      </c>
      <c r="E18" s="30" t="s">
        <v>9</v>
      </c>
      <c r="F18" s="43"/>
      <c r="G18" s="43"/>
      <c r="H18" s="43"/>
      <c r="I18" s="43"/>
      <c r="J18" s="43"/>
    </row>
    <row r="19" spans="1:11" ht="14.25">
      <c r="A19" s="29" t="s">
        <v>28</v>
      </c>
      <c r="B19" s="27"/>
      <c r="C19" s="118" t="str">
        <f>IF('System Selection'!E30="aluminum","Al","Cu")</f>
        <v>Al</v>
      </c>
      <c r="D19" s="113">
        <f>'System Selection'!E31</f>
        <v>20</v>
      </c>
      <c r="E19" s="119">
        <f>IF(C19="Al",2.7,8.92)</f>
        <v>2.7</v>
      </c>
      <c r="F19" s="50">
        <f ca="1">F90*F91*(F92+F93)/1000000</f>
        <v>0.90035378454007864</v>
      </c>
      <c r="G19" s="50">
        <f ca="1">G90*G91*(G92+G93)/1000000</f>
        <v>0.57308346273324384</v>
      </c>
      <c r="H19" s="50">
        <f ca="1">H90*H91*(H92+H93)/1000000</f>
        <v>0.53045277001945257</v>
      </c>
      <c r="I19" s="50">
        <f ca="1">I90*I91*(I92+I93)/1000000</f>
        <v>0.51227804634344432</v>
      </c>
      <c r="J19" s="50">
        <f ca="1">J90*J91*(J92+J93)/1000000</f>
        <v>0.50254502899134501</v>
      </c>
      <c r="K19" s="207"/>
    </row>
    <row r="20" spans="1:11" ht="14.25">
      <c r="A20" s="29" t="s">
        <v>29</v>
      </c>
      <c r="B20" s="27"/>
      <c r="C20" s="118" t="str">
        <f>IF('System Selection'!E33="aluminum","Al","Cu")</f>
        <v>Cu</v>
      </c>
      <c r="D20" s="113">
        <f>'System Selection'!E34</f>
        <v>12</v>
      </c>
      <c r="E20" s="119">
        <f>IF(C20="Al",2.7,8.92)</f>
        <v>8.92</v>
      </c>
      <c r="F20" s="50">
        <f ca="1">(F90+1)*(F91+2)*(F92+F93+2)/1000000</f>
        <v>0.9461329749920856</v>
      </c>
      <c r="G20" s="50">
        <f ca="1">(G90+1)*(G91+2)*(G92+G93+2)/1000000</f>
        <v>0.60940122878680725</v>
      </c>
      <c r="H20" s="50">
        <f ca="1">(H90+1)*(H91+2)*(H92+H93+2)/1000000</f>
        <v>0.5697958240224299</v>
      </c>
      <c r="I20" s="50">
        <f ca="1">(I90+1)*(I91+2)*(I92+I93+2)/1000000</f>
        <v>0.55641076372834253</v>
      </c>
      <c r="J20" s="50">
        <f ca="1">(J90+1)*(J91+2)*(J92+J93+2)/1000000</f>
        <v>0.55222778411365403</v>
      </c>
      <c r="K20" s="207"/>
    </row>
    <row r="21" spans="1:11" ht="14.25">
      <c r="A21" s="29" t="s">
        <v>30</v>
      </c>
      <c r="B21" s="27"/>
      <c r="C21" s="27"/>
      <c r="D21" s="117">
        <f>'System Selection'!E36</f>
        <v>20</v>
      </c>
      <c r="E21" s="120">
        <f>'System Selection'!E38</f>
        <v>0.46</v>
      </c>
      <c r="F21" s="50">
        <f ca="1">(F91+4)*(F92+6)*2*F90/1000000</f>
        <v>1.7188789919050704</v>
      </c>
      <c r="G21" s="50">
        <f ca="1">(G91+4)*(G92+6)*2*G90/1000000</f>
        <v>1.100186628478383</v>
      </c>
      <c r="H21" s="50">
        <f ca="1">(H91+4)*(H92+6)*2*H90/1000000</f>
        <v>1.0238281607336632</v>
      </c>
      <c r="I21" s="50">
        <f ca="1">(I91+4)*(I92+6)*2*I90/1000000</f>
        <v>0.99247374437053082</v>
      </c>
      <c r="J21" s="50">
        <f ca="1">(J91+4)*(J92+6)*2*J90/1000000</f>
        <v>0.97634456499107236</v>
      </c>
      <c r="K21" s="207"/>
    </row>
    <row r="22" spans="1:11">
      <c r="A22" s="7" t="s">
        <v>31</v>
      </c>
      <c r="B22" s="27"/>
      <c r="C22" s="27"/>
      <c r="D22" s="117"/>
      <c r="E22" s="119">
        <f>'System Selection'!E39</f>
        <v>1.2</v>
      </c>
      <c r="F22" s="51">
        <f ca="1">(F11/$E11*$C10/100+F17/$E17*$C16/100+F21*$D21*'System Selection'!$E37/100+F28*F91*F92/1000*0.02)/1000</f>
        <v>3.9480926144834512E-2</v>
      </c>
      <c r="G22" s="51">
        <f ca="1">(G11/$E11*$C10/100+G17/$E17*$C16/100+G21*$D21*'System Selection'!$E37/100+G28*G91*G92/1000*0.02)/1000</f>
        <v>5.4119381492992565E-2</v>
      </c>
      <c r="H22" s="51">
        <f ca="1">(H11/$E11*$C10/100+H17/$E17*$C16/100+H21*$D21*'System Selection'!$E37/100+H28*H91*H92/1000*0.02)/1000</f>
        <v>7.4694266874194212E-2</v>
      </c>
      <c r="I22" s="51">
        <f ca="1">(I11/$E11*$C10/100+I17/$E17*$C16/100+I21*$D21*'System Selection'!$E37/100+I28*I91*I92/1000*0.02)/1000</f>
        <v>9.5963337628564807E-2</v>
      </c>
      <c r="J22" s="51">
        <f ca="1">(J11/$E11*$C10/100+J17/$E17*$C16/100+J21*$D21*'System Selection'!$E37/100+J28*J91*J92/1000*0.02)/1000</f>
        <v>0.11763130780417654</v>
      </c>
      <c r="K22" s="208"/>
    </row>
    <row r="23" spans="1:11">
      <c r="A23" s="47" t="s">
        <v>40</v>
      </c>
      <c r="B23" s="27"/>
      <c r="C23" s="27"/>
      <c r="D23" s="203"/>
      <c r="E23" s="119"/>
      <c r="F23" s="53">
        <f ca="1">$E19*(F95*F29*F94)/1000</f>
        <v>7.2151892211347457</v>
      </c>
      <c r="G23" s="53">
        <f ca="1">$E19*(G95*G29*G94)/1000</f>
        <v>8.4605002032833738</v>
      </c>
      <c r="H23" s="53">
        <f ca="1">$E19*(H95*H29*H94)/1000</f>
        <v>10.029086110164213</v>
      </c>
      <c r="I23" s="53">
        <f ca="1">$E19*(I95*I29*I94)/1000</f>
        <v>11.441187738559874</v>
      </c>
      <c r="J23" s="53">
        <f ca="1">$E19*(J95*J29*J94)/1000</f>
        <v>12.72830140441193</v>
      </c>
      <c r="K23" s="209"/>
    </row>
    <row r="24" spans="1:11">
      <c r="A24" s="47" t="s">
        <v>41</v>
      </c>
      <c r="B24" s="27"/>
      <c r="C24" s="27"/>
      <c r="D24" s="117"/>
      <c r="E24" s="119"/>
      <c r="F24" s="53">
        <f ca="1">$E20*(F95*F29*F94)/1000</f>
        <v>23.836847352785899</v>
      </c>
      <c r="G24" s="53">
        <f ca="1">$E20*(G95*G29*G94)/1000</f>
        <v>27.950985856773219</v>
      </c>
      <c r="H24" s="53">
        <f ca="1">$E20*(H95*H29*H94)/1000</f>
        <v>33.133128926912875</v>
      </c>
      <c r="I24" s="53">
        <f ca="1">$E20*(I95*I29*I94)/1000</f>
        <v>37.798294306649659</v>
      </c>
      <c r="J24" s="53">
        <f ca="1">$E20*(J95*J29*J94)/1000</f>
        <v>42.050536491612746</v>
      </c>
      <c r="K24" s="210"/>
    </row>
    <row r="25" spans="1:11">
      <c r="A25" s="47" t="s">
        <v>39</v>
      </c>
      <c r="B25" s="27"/>
      <c r="C25" s="27"/>
      <c r="D25" s="117">
        <f>'System Selection'!E42</f>
        <v>150</v>
      </c>
      <c r="E25" s="119">
        <f>'System Selection'!E43</f>
        <v>2.12</v>
      </c>
      <c r="F25" s="53">
        <f ca="1">(F96+2*F28+6)*(F97-6)*$D25*2/1000*$E25/1000</f>
        <v>12.521306857195379</v>
      </c>
      <c r="G25" s="53">
        <f ca="1">(G96+2*G28+6)*(G97-6)*$D25*2/1000*$E25/1000</f>
        <v>15.851547439952869</v>
      </c>
      <c r="H25" s="53">
        <f ca="1">(H96+2*H28+6)*(H97-6)*$D25*2/1000*$E25/1000</f>
        <v>20.602518009042203</v>
      </c>
      <c r="I25" s="53">
        <f ca="1">(I96+2*I28+6)*(I97-6)*$D25*2/1000*$E25/1000</f>
        <v>25.409936629644204</v>
      </c>
      <c r="J25" s="53">
        <f ca="1">(J96+2*J28+6)*(J97-6)*$D25*2/1000*$E25/1000</f>
        <v>30.229650108269986</v>
      </c>
      <c r="K25" s="143"/>
    </row>
    <row r="26" spans="1:11">
      <c r="A26" s="52" t="s">
        <v>38</v>
      </c>
      <c r="B26" s="27"/>
      <c r="C26" s="27"/>
      <c r="D26" s="31"/>
      <c r="E26" s="35"/>
      <c r="F26" s="54">
        <f ca="1">F11+F17+F19*$D19*$E19+F20*$D20*$E20+F21*$D21*$E21+F22*$E22*1000+F23+F24+F25</f>
        <v>375.66156384414143</v>
      </c>
      <c r="G26" s="54">
        <f ca="1">G11+G17+G19*$D19*$E19+G20*$D20*$E20+G21*$D21*$E21+G22*$E22*1000+G23+G24+G25</f>
        <v>462.60005553441795</v>
      </c>
      <c r="H26" s="54">
        <f ca="1">H11+H17+H19*$D19*$E19+H20*$D20*$E20+H21*$D21*$E21+H22*$E22*1000+H23+H24+H25</f>
        <v>612.55460172159235</v>
      </c>
      <c r="I26" s="54">
        <f ca="1">I11+I17+I19*$D19*$E19+I20*$D20*$E20+I21*$D21*$E21+I22*$E22*1000+I23+I24+I25</f>
        <v>768.54117822973762</v>
      </c>
      <c r="J26" s="54">
        <f ca="1">J11+J17+J19*$D19*$E19+J20*$D20*$E20+J21*$D21*$E21+J22*$E22*1000+J23+J24+J25</f>
        <v>927.4400795409307</v>
      </c>
      <c r="K26" s="143"/>
    </row>
    <row r="27" spans="1:11">
      <c r="A27" s="52" t="s">
        <v>402</v>
      </c>
      <c r="B27" s="27"/>
      <c r="C27" s="27"/>
      <c r="D27" s="198"/>
      <c r="E27" s="35"/>
      <c r="F27" s="223">
        <f>'System Selection'!$E41</f>
        <v>1.3</v>
      </c>
      <c r="G27" s="223">
        <f>'System Selection'!$E41</f>
        <v>1.3</v>
      </c>
      <c r="H27" s="223">
        <f>'System Selection'!$E41</f>
        <v>1.3</v>
      </c>
      <c r="I27" s="223">
        <f>'System Selection'!$E41</f>
        <v>1.3</v>
      </c>
      <c r="J27" s="223">
        <f>'System Selection'!$E41</f>
        <v>1.3</v>
      </c>
      <c r="K27" s="211"/>
    </row>
    <row r="28" spans="1:11">
      <c r="A28" s="52" t="s">
        <v>314</v>
      </c>
      <c r="B28" s="27"/>
      <c r="C28" s="27"/>
      <c r="D28" s="198"/>
      <c r="F28" s="222">
        <f>IF(F52&gt;1,6,IF(F48="microHEV",6,IF(F48="HEV-HP",6,IF(F48="PHEV",10,14))))</f>
        <v>10</v>
      </c>
      <c r="G28" s="222">
        <f>IF(G52&gt;1,6,IF(G48="HEV-25",6,IF(G48="HEV-HP",6,IF(G48="PHEV",10,14))))</f>
        <v>10</v>
      </c>
      <c r="H28" s="222">
        <f>IF(H52&gt;1,6,IF(H48="HEV-25",6,IF(H48="HEV-HP",6,IF(H48="PHEV",10,14))))</f>
        <v>10</v>
      </c>
      <c r="I28" s="222">
        <f>IF(I52&gt;1,6,IF(I48="HEV-25",6,IF(I48="HEV-HP",6,IF(I48="PHEV",10,14))))</f>
        <v>10</v>
      </c>
      <c r="J28" s="222">
        <f>IF(J52&gt;1,6,IF(J48="HEV-25",6,IF(J48="HEV-HP",6,IF(J48="PHEV",10,14))))</f>
        <v>10</v>
      </c>
      <c r="K28" s="111"/>
    </row>
    <row r="29" spans="1:11">
      <c r="A29" s="52" t="s">
        <v>401</v>
      </c>
      <c r="C29" s="4"/>
      <c r="F29" s="224">
        <v>1</v>
      </c>
      <c r="G29" s="224">
        <v>1</v>
      </c>
      <c r="H29" s="224">
        <v>1</v>
      </c>
      <c r="I29" s="224">
        <v>1</v>
      </c>
      <c r="J29" s="224">
        <v>1</v>
      </c>
      <c r="K29" s="111"/>
    </row>
    <row r="30" spans="1:11">
      <c r="A30" s="52" t="s">
        <v>411</v>
      </c>
      <c r="C30" s="4"/>
      <c r="F30" s="228">
        <v>15</v>
      </c>
      <c r="G30" s="228">
        <v>15</v>
      </c>
      <c r="H30" s="228">
        <v>15</v>
      </c>
      <c r="I30" s="228">
        <v>15</v>
      </c>
      <c r="J30" s="228">
        <v>15</v>
      </c>
      <c r="K30" s="111"/>
    </row>
    <row r="31" spans="1:11">
      <c r="A31" s="48" t="s">
        <v>36</v>
      </c>
      <c r="B31" s="46"/>
      <c r="C31" s="46"/>
      <c r="D31" s="31"/>
      <c r="E31" s="35"/>
      <c r="F31" s="43"/>
      <c r="G31" s="43"/>
      <c r="H31" s="43"/>
      <c r="I31" s="43"/>
      <c r="J31" s="43"/>
      <c r="K31" s="111"/>
    </row>
    <row r="32" spans="1:11">
      <c r="A32" t="s">
        <v>32</v>
      </c>
      <c r="E32" s="35"/>
      <c r="F32" s="113">
        <f>'System Selection'!$E5</f>
        <v>160</v>
      </c>
      <c r="G32" s="113">
        <f>'System Selection'!$E5</f>
        <v>160</v>
      </c>
      <c r="H32" s="113">
        <f>'System Selection'!$E5</f>
        <v>160</v>
      </c>
      <c r="I32" s="113">
        <f>'System Selection'!$E5</f>
        <v>160</v>
      </c>
      <c r="J32" s="113">
        <f>'System Selection'!$E5</f>
        <v>160</v>
      </c>
      <c r="K32" s="111"/>
    </row>
    <row r="33" spans="1:20" ht="14.25">
      <c r="A33" s="23" t="s">
        <v>33</v>
      </c>
      <c r="B33" s="18"/>
      <c r="C33" s="18"/>
      <c r="E33" s="35"/>
      <c r="F33" s="22">
        <f>F32/1000*$D7/100*$E11</f>
        <v>0.39152868222933074</v>
      </c>
      <c r="G33" s="22">
        <f>G32/1000*$D7/100*$E11</f>
        <v>0.39152868222933074</v>
      </c>
      <c r="H33" s="22">
        <f>H32/1000*$D7/100*$E11</f>
        <v>0.39152868222933074</v>
      </c>
      <c r="I33" s="22">
        <f>I32/1000*$D7/100*$E11</f>
        <v>0.39152868222933074</v>
      </c>
      <c r="J33" s="22">
        <f>J32/1000*$D7/100*$E11</f>
        <v>0.39152868222933074</v>
      </c>
      <c r="K33" s="111"/>
    </row>
    <row r="34" spans="1:20">
      <c r="A34" t="s">
        <v>34</v>
      </c>
      <c r="B34" s="27"/>
      <c r="C34" s="27"/>
      <c r="E34" s="27"/>
      <c r="F34" s="118">
        <f>'System Selection'!$E18</f>
        <v>290</v>
      </c>
      <c r="G34" s="118">
        <f>'System Selection'!$E18</f>
        <v>290</v>
      </c>
      <c r="H34" s="118">
        <f>'System Selection'!$E18</f>
        <v>290</v>
      </c>
      <c r="I34" s="118">
        <f>'System Selection'!$E18</f>
        <v>290</v>
      </c>
      <c r="J34" s="118">
        <f>'System Selection'!$E18</f>
        <v>290</v>
      </c>
      <c r="K34" s="111"/>
    </row>
    <row r="35" spans="1:20" ht="14.25">
      <c r="A35" s="23" t="s">
        <v>35</v>
      </c>
      <c r="B35" s="27"/>
      <c r="C35" s="27"/>
      <c r="E35" s="27"/>
      <c r="F35" s="30">
        <f>F34/1000*$D13/100*$E17</f>
        <v>0.38723346585998264</v>
      </c>
      <c r="G35" s="30">
        <f>G34/1000*$D13/100*$E17</f>
        <v>0.38723346585998264</v>
      </c>
      <c r="H35" s="30">
        <f>H34/1000*$D13/100*$E17</f>
        <v>0.38723346585998264</v>
      </c>
      <c r="I35" s="30">
        <f>I34/1000*$D13/100*$E17</f>
        <v>0.38723346585998264</v>
      </c>
      <c r="J35" s="30">
        <f>J34/1000*$D13/100*$E17</f>
        <v>0.38723346585998264</v>
      </c>
      <c r="K35" s="111"/>
    </row>
    <row r="36" spans="1:20">
      <c r="A36" s="29" t="s">
        <v>204</v>
      </c>
      <c r="B36" s="27"/>
      <c r="C36" s="27"/>
      <c r="E36" s="27"/>
      <c r="F36" s="119">
        <f>'System Selection'!$E17</f>
        <v>1.25</v>
      </c>
      <c r="G36" s="119">
        <f>'System Selection'!$E17</f>
        <v>1.25</v>
      </c>
      <c r="H36" s="119">
        <f>'System Selection'!$E17</f>
        <v>1.25</v>
      </c>
      <c r="I36" s="119">
        <f>'System Selection'!$E17</f>
        <v>1.25</v>
      </c>
      <c r="J36" s="119">
        <f>'System Selection'!$E17</f>
        <v>1.25</v>
      </c>
      <c r="K36" s="111"/>
    </row>
    <row r="37" spans="1:20">
      <c r="A37" s="45" t="s">
        <v>37</v>
      </c>
      <c r="B37" s="17"/>
      <c r="C37" s="17"/>
      <c r="D37" s="49"/>
      <c r="E37" s="18"/>
      <c r="F37" s="23"/>
      <c r="G37" s="23"/>
      <c r="H37" s="23"/>
      <c r="I37" s="23"/>
      <c r="J37" s="23"/>
    </row>
    <row r="38" spans="1:20">
      <c r="A38" t="s">
        <v>449</v>
      </c>
      <c r="E38" s="3"/>
      <c r="F38" s="113">
        <f>'System Selection'!$E46</f>
        <v>3.5510000000000002</v>
      </c>
      <c r="G38" s="113">
        <f>'System Selection'!$E46</f>
        <v>3.5510000000000002</v>
      </c>
      <c r="H38" s="113">
        <f>'System Selection'!$E46</f>
        <v>3.5510000000000002</v>
      </c>
      <c r="I38" s="113">
        <f>'System Selection'!$E46</f>
        <v>3.5510000000000002</v>
      </c>
      <c r="J38" s="113">
        <f>'System Selection'!$E46</f>
        <v>3.5510000000000002</v>
      </c>
    </row>
    <row r="39" spans="1:20">
      <c r="A39" s="23" t="s">
        <v>308</v>
      </c>
      <c r="B39" s="18"/>
      <c r="C39" s="18"/>
      <c r="D39" s="18"/>
      <c r="E39" s="18"/>
      <c r="F39" s="195">
        <f>'System Selection'!$E47</f>
        <v>3.68</v>
      </c>
      <c r="G39" s="195">
        <f>'System Selection'!$E47</f>
        <v>3.68</v>
      </c>
      <c r="H39" s="195">
        <f>'System Selection'!$E47</f>
        <v>3.68</v>
      </c>
      <c r="I39" s="195">
        <f>'System Selection'!$E47</f>
        <v>3.68</v>
      </c>
      <c r="J39" s="195">
        <f>'System Selection'!$E47</f>
        <v>3.68</v>
      </c>
    </row>
    <row r="40" spans="1:20" ht="14.25">
      <c r="A40" s="24" t="s">
        <v>21</v>
      </c>
      <c r="E40" s="6"/>
      <c r="F40" s="121">
        <f>'System Selection'!$E$57</f>
        <v>51.920000000000009</v>
      </c>
      <c r="G40" s="121">
        <f>'System Selection'!$E$57</f>
        <v>51.920000000000009</v>
      </c>
      <c r="H40" s="121">
        <f>'System Selection'!$E$57</f>
        <v>51.920000000000009</v>
      </c>
      <c r="I40" s="121">
        <f>'System Selection'!$E$57</f>
        <v>51.920000000000009</v>
      </c>
      <c r="J40" s="121">
        <f>'System Selection'!$E$57</f>
        <v>51.920000000000009</v>
      </c>
    </row>
    <row r="41" spans="1:20">
      <c r="A41" s="24" t="s">
        <v>20</v>
      </c>
      <c r="B41" s="3"/>
      <c r="C41" s="7"/>
      <c r="D41" s="3"/>
      <c r="E41" s="3"/>
      <c r="F41" s="111">
        <f ca="1">(F91+2)*(F92+2)/F91/F92*100-100</f>
        <v>3.6776776376050435</v>
      </c>
      <c r="G41" s="111">
        <f ca="1">(G91+2)*(G92+2)/G91/G92*100-100</f>
        <v>3.1710131813345441</v>
      </c>
      <c r="H41" s="111">
        <f ca="1">(H91+2)*(H92+2)/H91/H92*100-100</f>
        <v>2.7021055264092837</v>
      </c>
      <c r="I41" s="111">
        <f ca="1">(I91+2)*(I92+2)/I91/I92*100-100</f>
        <v>2.384653852277637</v>
      </c>
      <c r="J41" s="111">
        <f ca="1">(J91+2)*(J92+2)/J91/J92*100-100</f>
        <v>2.1539930151732705</v>
      </c>
      <c r="K41" s="145"/>
    </row>
    <row r="42" spans="1:20">
      <c r="A42" s="24" t="s">
        <v>226</v>
      </c>
      <c r="B42" s="3"/>
      <c r="C42" s="7"/>
      <c r="D42" s="3"/>
      <c r="E42" s="3"/>
      <c r="F42" s="113">
        <f>'System Selection'!$E58</f>
        <v>300</v>
      </c>
      <c r="G42" s="113">
        <f>'System Selection'!$E58</f>
        <v>300</v>
      </c>
      <c r="H42" s="113">
        <f>'System Selection'!$E58</f>
        <v>300</v>
      </c>
      <c r="I42" s="113">
        <f>'System Selection'!$E58</f>
        <v>300</v>
      </c>
      <c r="J42" s="113">
        <f>'System Selection'!$E58</f>
        <v>300</v>
      </c>
    </row>
    <row r="43" spans="1:20">
      <c r="A43" s="52" t="s">
        <v>423</v>
      </c>
      <c r="B43" s="7"/>
      <c r="C43" s="233"/>
      <c r="D43" s="7"/>
      <c r="E43" s="7"/>
      <c r="F43" s="151">
        <v>0.01</v>
      </c>
      <c r="G43" s="151">
        <v>0.01</v>
      </c>
      <c r="H43" s="151">
        <v>0.01</v>
      </c>
      <c r="I43" s="151">
        <v>0.01</v>
      </c>
      <c r="J43" s="151">
        <v>0.01</v>
      </c>
    </row>
    <row r="44" spans="1:20" ht="14.25">
      <c r="A44" s="24" t="s">
        <v>424</v>
      </c>
      <c r="B44" s="7"/>
      <c r="C44" s="233"/>
      <c r="D44" s="7"/>
      <c r="E44" s="7"/>
      <c r="F44" s="151">
        <v>0.2</v>
      </c>
      <c r="G44" s="151">
        <v>0.2</v>
      </c>
      <c r="H44" s="151">
        <v>0.2</v>
      </c>
      <c r="I44" s="151">
        <v>0.2</v>
      </c>
      <c r="J44" s="151">
        <v>0.2</v>
      </c>
    </row>
    <row r="45" spans="1:20">
      <c r="A45" s="24" t="s">
        <v>215</v>
      </c>
      <c r="B45" s="3"/>
      <c r="C45" s="7"/>
      <c r="D45" s="3"/>
      <c r="E45" s="3"/>
      <c r="F45" s="151">
        <v>80</v>
      </c>
      <c r="G45" s="151">
        <v>80</v>
      </c>
      <c r="H45" s="151">
        <v>80</v>
      </c>
      <c r="I45" s="151">
        <v>80</v>
      </c>
      <c r="J45" s="151">
        <v>80</v>
      </c>
    </row>
    <row r="46" spans="1:20">
      <c r="A46" t="s">
        <v>217</v>
      </c>
      <c r="E46" s="146"/>
      <c r="F46" s="6">
        <f ca="1">IF(F149=0,F45,100/2/F38*(F38+(F38^2-4*F50/F56*1000*F78/F88)^0.5))</f>
        <v>80</v>
      </c>
      <c r="G46" s="6">
        <f ca="1">IF(G149=0,G45,100/2/G38*(G38+(G38^2-4*G50/G56*1000*G78/G88)^0.5))</f>
        <v>80</v>
      </c>
      <c r="H46" s="6">
        <f ca="1">IF(H149=0,H45,100/2/H38*(H38+(H38^2-4*H50/H56*1000*H78/H88)^0.5))</f>
        <v>80.000000000000014</v>
      </c>
      <c r="I46" s="6">
        <f ca="1">IF(I149=0,I45,100/2/I38*(I38+(I38^2-4*I50/I56*1000*I78/I88)^0.5))</f>
        <v>80</v>
      </c>
      <c r="J46" s="6">
        <f ca="1">IF(J149=0,J45,100/2/J38*(J38+(J38^2-4*J50/J56*1000*J78/J88)^0.5))</f>
        <v>80</v>
      </c>
    </row>
    <row r="47" spans="1:20" ht="15.75">
      <c r="A47" s="19" t="s">
        <v>42</v>
      </c>
      <c r="B47" s="20"/>
      <c r="C47" s="20"/>
      <c r="L47" s="20"/>
      <c r="M47" s="20"/>
    </row>
    <row r="48" spans="1:20" ht="15">
      <c r="A48" s="20" t="s">
        <v>490</v>
      </c>
      <c r="B48" s="20"/>
      <c r="C48" s="20"/>
      <c r="F48" s="151" t="s">
        <v>437</v>
      </c>
      <c r="G48" s="3" t="str">
        <f>F48</f>
        <v>PHEV</v>
      </c>
      <c r="H48" s="3" t="str">
        <f>G48</f>
        <v>PHEV</v>
      </c>
      <c r="I48" s="3" t="str">
        <f>H48</f>
        <v>PHEV</v>
      </c>
      <c r="J48" s="3" t="str">
        <f>I48</f>
        <v>PHEV</v>
      </c>
      <c r="L48" s="256"/>
      <c r="M48" s="256"/>
      <c r="N48" s="171"/>
      <c r="O48" s="171"/>
      <c r="P48" s="255"/>
      <c r="Q48" s="255"/>
      <c r="R48" s="255"/>
      <c r="S48" s="255"/>
      <c r="T48" s="255"/>
    </row>
    <row r="49" spans="1:20">
      <c r="A49" s="24" t="s">
        <v>340</v>
      </c>
      <c r="B49" s="7"/>
      <c r="C49" s="7"/>
      <c r="D49" s="7"/>
      <c r="E49" s="7"/>
      <c r="F49" s="166">
        <f>IF(F48="microHEV",2,10)</f>
        <v>10</v>
      </c>
      <c r="G49" s="166">
        <f>IF(G48="microHEV",2,10)</f>
        <v>10</v>
      </c>
      <c r="H49" s="166">
        <f>IF(H48="microHEV",2,10)</f>
        <v>10</v>
      </c>
      <c r="I49" s="166">
        <f>IF(I48="microHEV",2,10)</f>
        <v>10</v>
      </c>
      <c r="J49" s="166">
        <f>IF(J48="microHEV",2,10)</f>
        <v>10</v>
      </c>
      <c r="L49" s="52"/>
      <c r="M49" s="52"/>
      <c r="N49" s="52"/>
      <c r="O49" s="52"/>
      <c r="P49" s="184"/>
      <c r="Q49" s="184"/>
      <c r="R49" s="184"/>
      <c r="S49" s="184"/>
      <c r="T49" s="184"/>
    </row>
    <row r="50" spans="1:20">
      <c r="A50" t="s">
        <v>0</v>
      </c>
      <c r="F50" s="200">
        <v>60</v>
      </c>
      <c r="G50" s="200">
        <v>60</v>
      </c>
      <c r="H50" s="200">
        <v>60</v>
      </c>
      <c r="I50" s="200">
        <v>60</v>
      </c>
      <c r="J50" s="200">
        <v>60</v>
      </c>
      <c r="L50" s="171"/>
      <c r="M50" s="171"/>
      <c r="N50" s="171"/>
      <c r="O50" s="171"/>
      <c r="P50" s="214"/>
      <c r="Q50" s="214"/>
      <c r="R50" s="214"/>
      <c r="S50" s="214"/>
      <c r="T50" s="214"/>
    </row>
    <row r="51" spans="1:20" s="7" customFormat="1">
      <c r="A51" t="s">
        <v>352</v>
      </c>
      <c r="B51"/>
      <c r="C51"/>
      <c r="D51"/>
      <c r="E51"/>
      <c r="F51" s="151">
        <v>16</v>
      </c>
      <c r="G51" s="151">
        <v>16</v>
      </c>
      <c r="H51" s="151">
        <v>16</v>
      </c>
      <c r="I51" s="151">
        <v>16</v>
      </c>
      <c r="J51" s="151">
        <v>16</v>
      </c>
      <c r="K51" s="212"/>
      <c r="L51" s="171"/>
      <c r="M51" s="171"/>
      <c r="N51" s="171"/>
      <c r="O51" s="171"/>
      <c r="P51" s="255"/>
      <c r="Q51" s="255"/>
      <c r="R51" s="255"/>
      <c r="S51" s="255"/>
      <c r="T51" s="255"/>
    </row>
    <row r="52" spans="1:20">
      <c r="A52" t="s">
        <v>448</v>
      </c>
      <c r="F52" s="151">
        <v>1</v>
      </c>
      <c r="G52" s="151">
        <v>1</v>
      </c>
      <c r="H52" s="151">
        <v>1</v>
      </c>
      <c r="I52" s="151">
        <v>1</v>
      </c>
      <c r="J52" s="151">
        <v>1</v>
      </c>
      <c r="K52" s="145"/>
      <c r="L52" s="171"/>
      <c r="M52" s="171"/>
      <c r="N52" s="171"/>
      <c r="O52" s="171"/>
      <c r="P52" s="255"/>
      <c r="Q52" s="255"/>
      <c r="R52" s="255"/>
      <c r="S52" s="255"/>
      <c r="T52" s="255"/>
    </row>
    <row r="53" spans="1:20">
      <c r="A53" t="s">
        <v>353</v>
      </c>
      <c r="F53" s="200">
        <v>3</v>
      </c>
      <c r="G53" s="200">
        <v>3</v>
      </c>
      <c r="H53" s="200">
        <v>3</v>
      </c>
      <c r="I53" s="200">
        <v>3</v>
      </c>
      <c r="J53" s="200">
        <v>3</v>
      </c>
      <c r="K53" s="145"/>
      <c r="L53" s="171"/>
      <c r="M53" s="171"/>
      <c r="N53" s="171"/>
      <c r="O53" s="171"/>
      <c r="P53" s="214"/>
      <c r="Q53" s="214"/>
      <c r="R53" s="214"/>
      <c r="S53" s="214"/>
      <c r="T53" s="214"/>
    </row>
    <row r="54" spans="1:20">
      <c r="A54" s="52" t="s">
        <v>354</v>
      </c>
      <c r="F54" s="200">
        <v>2</v>
      </c>
      <c r="G54" s="200">
        <v>2</v>
      </c>
      <c r="H54" s="200">
        <v>2</v>
      </c>
      <c r="I54" s="200">
        <v>2</v>
      </c>
      <c r="J54" s="200">
        <v>2</v>
      </c>
      <c r="K54" s="145"/>
      <c r="L54" s="171"/>
      <c r="M54" s="171"/>
      <c r="N54" s="171"/>
      <c r="O54" s="171"/>
      <c r="P54" s="214"/>
      <c r="Q54" s="214"/>
      <c r="R54" s="214"/>
      <c r="S54" s="214"/>
      <c r="T54" s="214"/>
    </row>
    <row r="55" spans="1:20">
      <c r="A55" t="s">
        <v>355</v>
      </c>
      <c r="F55" s="214">
        <f>F53*F54</f>
        <v>6</v>
      </c>
      <c r="G55" s="214">
        <f>G53*G54</f>
        <v>6</v>
      </c>
      <c r="H55" s="214">
        <f>H53*H54</f>
        <v>6</v>
      </c>
      <c r="I55" s="214">
        <f>I53*I54</f>
        <v>6</v>
      </c>
      <c r="J55" s="214">
        <f>J53*J54</f>
        <v>6</v>
      </c>
      <c r="K55" s="145"/>
      <c r="L55" s="171"/>
      <c r="M55" s="171"/>
      <c r="N55" s="171"/>
      <c r="O55" s="171"/>
      <c r="P55" s="214"/>
      <c r="Q55" s="214"/>
      <c r="R55" s="214"/>
      <c r="S55" s="214"/>
      <c r="T55" s="214"/>
    </row>
    <row r="56" spans="1:20">
      <c r="A56" t="s">
        <v>1</v>
      </c>
      <c r="F56" s="143">
        <f>F55*F51</f>
        <v>96</v>
      </c>
      <c r="G56" s="143">
        <f>G55*G51</f>
        <v>96</v>
      </c>
      <c r="H56" s="143">
        <f>H55*H51</f>
        <v>96</v>
      </c>
      <c r="I56" s="143">
        <f>I55*I51</f>
        <v>96</v>
      </c>
      <c r="J56" s="143">
        <f>J55*J51</f>
        <v>96</v>
      </c>
      <c r="K56" s="145"/>
      <c r="L56" s="171"/>
      <c r="M56" s="171"/>
      <c r="N56" s="171"/>
      <c r="O56" s="171"/>
      <c r="P56" s="255"/>
      <c r="Q56" s="255"/>
      <c r="R56" s="255"/>
      <c r="S56" s="255"/>
      <c r="T56" s="255"/>
    </row>
    <row r="57" spans="1:20">
      <c r="A57" t="s">
        <v>359</v>
      </c>
      <c r="F57" s="200">
        <v>10</v>
      </c>
      <c r="G57" s="200">
        <v>10</v>
      </c>
      <c r="H57" s="200">
        <v>10</v>
      </c>
      <c r="I57" s="200">
        <v>10</v>
      </c>
      <c r="J57" s="200">
        <v>10</v>
      </c>
      <c r="K57" s="145"/>
      <c r="L57" s="171"/>
      <c r="M57" s="171"/>
      <c r="N57" s="171"/>
      <c r="O57" s="171"/>
      <c r="P57" s="214"/>
      <c r="Q57" s="214"/>
      <c r="R57" s="214"/>
      <c r="S57" s="214"/>
      <c r="T57" s="214"/>
    </row>
    <row r="58" spans="1:20">
      <c r="A58" t="s">
        <v>360</v>
      </c>
      <c r="F58" s="148">
        <f ca="1">F57+2*IF(F111*F55&lt;20,1,IF(F111*F55&lt;40,1.5,2))</f>
        <v>12</v>
      </c>
      <c r="G58" s="148">
        <f ca="1">G57+2*IF(G111*G55&lt;20,1,IF(G111*G55&lt;40,1.5,2))</f>
        <v>13</v>
      </c>
      <c r="H58" s="148">
        <f ca="1">H57+2*IF(H111*H55&lt;20,1,IF(H111*H55&lt;40,1.5,2))</f>
        <v>13</v>
      </c>
      <c r="I58" s="148">
        <f ca="1">I57+2*IF(I111*I55&lt;20,1,IF(I111*I55&lt;40,1.5,2))</f>
        <v>13</v>
      </c>
      <c r="J58" s="148">
        <f ca="1">J57+2*IF(J111*J55&lt;20,1,IF(J111*J55&lt;40,1.5,2))</f>
        <v>14</v>
      </c>
      <c r="K58" s="145"/>
      <c r="L58" s="171"/>
      <c r="M58" s="171"/>
      <c r="N58" s="171"/>
      <c r="O58" s="171"/>
      <c r="P58" s="214"/>
      <c r="Q58" s="214"/>
      <c r="R58" s="214"/>
      <c r="S58" s="214"/>
      <c r="T58" s="214"/>
    </row>
    <row r="59" spans="1:20" ht="13.5" thickBot="1">
      <c r="A59" s="63" t="s">
        <v>48</v>
      </c>
      <c r="B59" s="63"/>
      <c r="C59" s="63"/>
      <c r="D59" s="63"/>
      <c r="F59" s="243">
        <v>100000</v>
      </c>
      <c r="G59" s="243">
        <v>100000</v>
      </c>
      <c r="H59" s="243">
        <v>100000</v>
      </c>
      <c r="I59" s="243">
        <v>100000</v>
      </c>
      <c r="J59" s="243">
        <v>100000</v>
      </c>
      <c r="K59" s="145"/>
      <c r="L59" s="81"/>
      <c r="M59" s="81"/>
      <c r="N59" s="81"/>
      <c r="O59" s="171"/>
      <c r="P59" s="257"/>
      <c r="Q59" s="257"/>
      <c r="R59" s="257"/>
      <c r="S59" s="257"/>
      <c r="T59" s="257"/>
    </row>
    <row r="60" spans="1:20">
      <c r="A60" s="154" t="s">
        <v>233</v>
      </c>
      <c r="B60" s="155"/>
      <c r="C60" s="155"/>
      <c r="D60" s="123"/>
      <c r="E60" s="156"/>
      <c r="H60" s="95"/>
      <c r="K60" s="145"/>
      <c r="L60" s="171"/>
      <c r="M60" s="171"/>
      <c r="N60" s="171"/>
      <c r="O60" s="171"/>
      <c r="P60" s="171"/>
      <c r="Q60" s="171"/>
      <c r="R60" s="258"/>
      <c r="S60" s="171"/>
      <c r="T60" s="171"/>
    </row>
    <row r="61" spans="1:20" ht="13.5" thickBot="1">
      <c r="A61" s="152" t="s">
        <v>234</v>
      </c>
      <c r="B61" s="125"/>
      <c r="C61" s="125"/>
      <c r="D61" s="157"/>
      <c r="E61" s="153"/>
      <c r="K61" s="145"/>
      <c r="L61" s="171"/>
      <c r="M61" s="171"/>
      <c r="N61" s="171"/>
      <c r="O61" s="171"/>
      <c r="P61" s="171"/>
      <c r="Q61" s="171"/>
      <c r="R61" s="171"/>
      <c r="S61" s="171"/>
      <c r="T61" s="171"/>
    </row>
    <row r="62" spans="1:20" ht="15.75">
      <c r="A62" s="269" t="s">
        <v>433</v>
      </c>
      <c r="B62" s="269"/>
      <c r="C62" s="269"/>
      <c r="D62" s="269"/>
      <c r="E62" s="269"/>
      <c r="F62" s="269"/>
      <c r="G62" s="269"/>
      <c r="H62" s="269"/>
      <c r="I62" s="269"/>
      <c r="J62" s="269"/>
      <c r="K62" s="145"/>
      <c r="L62" s="269"/>
      <c r="M62" s="269"/>
      <c r="N62" s="269"/>
      <c r="O62" s="269"/>
      <c r="P62" s="269"/>
      <c r="Q62" s="269"/>
      <c r="R62" s="269"/>
      <c r="S62" s="269"/>
      <c r="T62" s="269"/>
    </row>
    <row r="63" spans="1:20" ht="15.75">
      <c r="A63" s="269" t="str">
        <f>IF('System Selection'!E3="NCA-G","LiNi0.80Co0.15Al0.05O2-Graphite",IF('System Selection'!E3="NMC-G","Li1.05(Ni4/9Mn4/9Co1/9)0.95O2-Graphite",IF('System Selection'!E3="LFP-G","LiFePO4-Graphite",IF('System Selection'!E3="LMO-TiO","Manganese-Spinel/Li4Ti5O12",IF('System Selection'!E3="LMO-G","Manganese-Spinel/Graphite")))))</f>
        <v>LiNi0.80Co0.15Al0.05O2-Graphite</v>
      </c>
      <c r="B63" s="269"/>
      <c r="C63" s="269"/>
      <c r="D63" s="269"/>
      <c r="E63" s="269"/>
      <c r="F63" s="269"/>
      <c r="G63" s="269"/>
      <c r="H63" s="269"/>
      <c r="I63" s="269"/>
      <c r="J63" s="269"/>
      <c r="K63" s="145"/>
      <c r="L63" s="269"/>
      <c r="M63" s="269"/>
      <c r="N63" s="269"/>
      <c r="O63" s="269"/>
      <c r="P63" s="269"/>
      <c r="Q63" s="269"/>
      <c r="R63" s="269"/>
      <c r="S63" s="269"/>
      <c r="T63" s="269"/>
    </row>
    <row r="64" spans="1:20" ht="15.75">
      <c r="A64" s="19"/>
      <c r="F64" s="8" t="s">
        <v>2</v>
      </c>
      <c r="G64" s="8" t="s">
        <v>3</v>
      </c>
      <c r="H64" s="8" t="s">
        <v>4</v>
      </c>
      <c r="I64" s="8" t="s">
        <v>5</v>
      </c>
      <c r="J64" s="8" t="s">
        <v>6</v>
      </c>
      <c r="K64" s="145"/>
      <c r="P64" s="8"/>
      <c r="Q64" s="8"/>
      <c r="R64" s="8"/>
      <c r="S64" s="8"/>
      <c r="T64" s="8"/>
    </row>
    <row r="65" spans="1:20" ht="15.75">
      <c r="A65" s="19" t="s">
        <v>225</v>
      </c>
      <c r="F65" s="8"/>
      <c r="G65" s="8"/>
      <c r="H65" s="8"/>
      <c r="I65" s="8"/>
      <c r="J65" s="8"/>
      <c r="P65" s="8"/>
      <c r="Q65" s="8"/>
      <c r="R65" s="8"/>
      <c r="S65" s="8"/>
      <c r="T65" s="8"/>
    </row>
    <row r="66" spans="1:20">
      <c r="A66" s="5" t="s">
        <v>236</v>
      </c>
      <c r="F66" s="8"/>
      <c r="G66" s="8"/>
      <c r="H66" s="8"/>
      <c r="I66" s="8"/>
      <c r="J66" s="8"/>
      <c r="P66" s="8"/>
      <c r="Q66" s="8"/>
      <c r="R66" s="8"/>
      <c r="S66" s="8"/>
      <c r="T66" s="8"/>
    </row>
    <row r="67" spans="1:20">
      <c r="A67" s="7" t="s">
        <v>451</v>
      </c>
      <c r="F67" s="112">
        <f ca="1">F144</f>
        <v>10.148282145201977</v>
      </c>
      <c r="G67" s="112">
        <f ca="1">G144</f>
        <v>20.429287222232745</v>
      </c>
      <c r="H67" s="112">
        <f ca="1">H144</f>
        <v>30.824652837952087</v>
      </c>
      <c r="I67" s="112">
        <f ca="1">I144</f>
        <v>41.342903488555315</v>
      </c>
      <c r="J67" s="112">
        <f ca="1">J144</f>
        <v>51.987865127188655</v>
      </c>
      <c r="P67" s="112"/>
      <c r="Q67" s="112"/>
      <c r="R67" s="112"/>
      <c r="S67" s="112"/>
      <c r="T67" s="112"/>
    </row>
    <row r="68" spans="1:20">
      <c r="A68" s="7" t="s">
        <v>450</v>
      </c>
      <c r="F68" s="112">
        <f ca="1">F67/F52</f>
        <v>10.148282145201977</v>
      </c>
      <c r="G68" s="112">
        <f ca="1">G67/G52</f>
        <v>20.429287222232745</v>
      </c>
      <c r="H68" s="112">
        <f ca="1">H67/H52</f>
        <v>30.824652837952087</v>
      </c>
      <c r="I68" s="112">
        <f ca="1">I67/I52</f>
        <v>41.342903488555315</v>
      </c>
      <c r="J68" s="112">
        <f ca="1">J67/J52</f>
        <v>51.987865127188655</v>
      </c>
      <c r="P68" s="112"/>
      <c r="Q68" s="112"/>
      <c r="R68" s="112"/>
      <c r="S68" s="112"/>
      <c r="T68" s="112"/>
    </row>
    <row r="69" spans="1:20">
      <c r="A69" s="5" t="s">
        <v>220</v>
      </c>
    </row>
    <row r="70" spans="1:20" ht="14.25">
      <c r="A70" s="7" t="s">
        <v>327</v>
      </c>
      <c r="F70" s="143">
        <f>IF(F49=10,85,150)</f>
        <v>85</v>
      </c>
      <c r="G70" s="143">
        <f>IF(G49=10,85,150)</f>
        <v>85</v>
      </c>
      <c r="H70" s="143">
        <f>IF(H49=10,85,150)</f>
        <v>85</v>
      </c>
      <c r="I70" s="143">
        <f>IF(I49=10,85,150)</f>
        <v>85</v>
      </c>
      <c r="J70" s="143">
        <f>IF(J49=10,85,150)</f>
        <v>85</v>
      </c>
      <c r="P70" s="143"/>
      <c r="Q70" s="143"/>
      <c r="R70" s="143"/>
      <c r="S70" s="143"/>
      <c r="T70" s="143"/>
    </row>
    <row r="71" spans="1:20">
      <c r="A71" s="7" t="s">
        <v>328</v>
      </c>
      <c r="F71" s="3">
        <f>'System Selection'!$E$48*IF(F49=10,1,2)</f>
        <v>27</v>
      </c>
      <c r="G71" s="3">
        <f>'System Selection'!$E$48*IF(G49=10,1,2)</f>
        <v>27</v>
      </c>
      <c r="H71" s="3">
        <f>'System Selection'!$E$48*IF(H49=10,1,2)</f>
        <v>27</v>
      </c>
      <c r="I71" s="3">
        <f>'System Selection'!$E$48*IF(I49=10,1,2)</f>
        <v>27</v>
      </c>
      <c r="J71" s="3">
        <f>'System Selection'!$E$48*IF(J49=10,1,2)</f>
        <v>27</v>
      </c>
      <c r="P71" s="3"/>
      <c r="Q71" s="3"/>
      <c r="R71" s="3"/>
      <c r="S71" s="3"/>
      <c r="T71" s="3"/>
    </row>
    <row r="72" spans="1:20" ht="14.25">
      <c r="A72" t="s">
        <v>16</v>
      </c>
      <c r="C72" s="3"/>
      <c r="D72" s="7"/>
      <c r="E72" s="3"/>
      <c r="F72" s="145">
        <f ca="1">'System Selection'!$E52-'System Selection'!$E56+1/(38*0.00015*'System Selection'!$E$49*F146*10^-4*F36*F35/F33)+1/(38*0.00015*'System Selection'!$E$50*F146*10^-4*((1-(F120/F71)^2)*(1-F119/F70))^0.5)</f>
        <v>50.160395569951845</v>
      </c>
      <c r="G72" s="145">
        <f ca="1">'System Selection'!$E52-'System Selection'!$E56+1/(38*0.00015*'System Selection'!$E$49*G146*10^-4*G36*G35/G33)+1/(38*0.00015*'System Selection'!$E$50*G146*10^-4*((1-(G120/G71)^2)*(1-G119/G70))^0.5)</f>
        <v>32.24150475027038</v>
      </c>
      <c r="H72" s="145">
        <f ca="1">'System Selection'!$E52-'System Selection'!$E56+1/(38*0.00015*'System Selection'!$E$49*H146*10^-4*H36*H35/H33)+1/(38*0.00015*'System Selection'!$E$50*H146*10^-4*((1-(H120/H71)^2)*(1-H119/H70))^0.5)</f>
        <v>30.150264680478166</v>
      </c>
      <c r="I72" s="145">
        <f ca="1">'System Selection'!$E52-'System Selection'!$E56+1/(38*0.00015*'System Selection'!$E$49*I146*10^-4*I36*I35/I33)+1/(38*0.00015*'System Selection'!$E$50*I146*10^-4*((1-(I120/I71)^2)*(1-I119/I70))^0.5)</f>
        <v>29.268526813194541</v>
      </c>
      <c r="J72" s="145">
        <f ca="1">'System Selection'!$E52-'System Selection'!$E56+1/(38*0.00015*'System Selection'!$E$49*J146*10^-4*J36*J35/J33)+1/(38*0.00015*'System Selection'!$E$50*J146*10^-4*((1-(J120/J71)^2)*(1-J119/J70))^0.5)</f>
        <v>28.775661876194164</v>
      </c>
      <c r="M72" s="3"/>
      <c r="N72" s="7"/>
      <c r="O72" s="3"/>
      <c r="P72" s="145"/>
      <c r="Q72" s="145"/>
      <c r="R72" s="145"/>
      <c r="S72" s="145"/>
      <c r="T72" s="145"/>
    </row>
    <row r="73" spans="1:20">
      <c r="A73" s="7" t="s">
        <v>404</v>
      </c>
      <c r="B73" s="7"/>
      <c r="C73" s="7"/>
      <c r="D73" s="7"/>
      <c r="E73" s="7"/>
      <c r="F73" s="225">
        <f>IF($C20="Cu",1/(3.8*100000*$D19*0.0001/2)+1/(6*100000*$D20*0.0001/2),2/(3.8*100000*$D19*0.0001/2))</f>
        <v>5.4093567251461989E-3</v>
      </c>
      <c r="G73" s="225">
        <f>IF($C20="Cu",1/(3.8*100000*$D19*0.0001/2)+1/(6*100000*$D20*0.0001/2),2/(3.8*100000*$D19*0.0001/2))</f>
        <v>5.4093567251461989E-3</v>
      </c>
      <c r="H73" s="225">
        <f>IF($C20="Cu",1/(3.8*100000*$D19*0.0001/2)+1/(6*100000*$D20*0.0001/2),2/(3.8*100000*$D19*0.0001/2))</f>
        <v>5.4093567251461989E-3</v>
      </c>
      <c r="I73" s="225">
        <f>IF($C20="Cu",1/(3.8*100000*$D19*0.0001/2)+1/(6*100000*$D20*0.0001/2),2/(3.8*100000*$D19*0.0001/2))</f>
        <v>5.4093567251461989E-3</v>
      </c>
      <c r="J73" s="225">
        <f>IF($C20="Cu",1/(3.8*100000*$D19*0.0001/2)+1/(6*100000*$D20*0.0001/2),2/(3.8*100000*$D19*0.0001/2))</f>
        <v>5.4093567251461989E-3</v>
      </c>
      <c r="K73" s="230"/>
      <c r="L73" s="7"/>
      <c r="M73" s="7"/>
      <c r="N73" s="7"/>
      <c r="O73" s="7"/>
      <c r="P73" s="225"/>
      <c r="Q73" s="225"/>
      <c r="R73" s="225"/>
      <c r="S73" s="225"/>
      <c r="T73" s="225"/>
    </row>
    <row r="74" spans="1:20" ht="14.25">
      <c r="A74" s="7" t="s">
        <v>406</v>
      </c>
      <c r="B74" s="7"/>
      <c r="C74" s="7"/>
      <c r="D74" s="7"/>
      <c r="E74" s="7"/>
      <c r="F74" s="226">
        <f ca="1">F73*(F92^2/3+F92*F93)/100</f>
        <v>0.41004791442339367</v>
      </c>
      <c r="G74" s="226">
        <f ca="1">G73*(G92^2/3+G92*G93)/100</f>
        <v>0.52767054695751447</v>
      </c>
      <c r="H74" s="226">
        <f ca="1">H73*(H92^2/3+H92*H93)/100</f>
        <v>0.69632745041370969</v>
      </c>
      <c r="I74" s="226">
        <f ca="1">I73*(I92^2/3+I92*I93)/100</f>
        <v>0.8677078603573114</v>
      </c>
      <c r="J74" s="226">
        <f ca="1">J73*(J92^2/3+J92*J93)/100</f>
        <v>1.040055028913377</v>
      </c>
      <c r="L74" s="7"/>
      <c r="M74" s="7"/>
      <c r="N74" s="7"/>
      <c r="O74" s="7"/>
      <c r="P74" s="226"/>
      <c r="Q74" s="226"/>
      <c r="R74" s="226"/>
      <c r="S74" s="226"/>
      <c r="T74" s="226"/>
    </row>
    <row r="75" spans="1:20" ht="14.25">
      <c r="A75" s="7" t="s">
        <v>425</v>
      </c>
      <c r="B75" s="7"/>
      <c r="C75" s="7"/>
      <c r="D75" s="7"/>
      <c r="E75" s="7"/>
      <c r="F75" s="14">
        <f ca="1">(10/3.8+10/IF($C20="Cu",6,3.8))/F29*F95/F94/100000*F88</f>
        <v>0.22813229807256954</v>
      </c>
      <c r="G75" s="14">
        <f ca="1">(10/3.8+10/IF($C20="Cu",6,3.8))/G29*G95/G94/100000*G88</f>
        <v>0.12598502638813941</v>
      </c>
      <c r="H75" s="14">
        <f ca="1">(10/3.8+10/IF($C20="Cu",6,3.8))/H29*H95/H94/100000*H88</f>
        <v>9.9984855305434314E-2</v>
      </c>
      <c r="I75" s="14">
        <f ca="1">(10/3.8+10/IF($C20="Cu",6,3.8))/I29*I95/I94/100000*I88</f>
        <v>8.559187906671327E-2</v>
      </c>
      <c r="J75" s="14">
        <f ca="1">(10/3.8+10/IF($C20="Cu",6,3.8))/J29*J95/J94/100000*J88</f>
        <v>7.6096516463857691E-2</v>
      </c>
      <c r="L75" s="7"/>
      <c r="M75" s="7"/>
      <c r="N75" s="7"/>
      <c r="O75" s="7"/>
      <c r="P75" s="14"/>
      <c r="Q75" s="14"/>
      <c r="R75" s="14"/>
      <c r="S75" s="14"/>
      <c r="T75" s="14"/>
    </row>
    <row r="76" spans="1:20">
      <c r="A76" s="7" t="s">
        <v>408</v>
      </c>
      <c r="B76" s="7"/>
      <c r="C76" s="7"/>
      <c r="D76" s="7"/>
      <c r="E76" s="7"/>
      <c r="F76" s="234">
        <f ca="1">F43/100*F38*F56/F118+F105*F55+F130+F131</f>
        <v>4.4691434843698106E-4</v>
      </c>
      <c r="G76" s="234">
        <f ca="1">G43/100*G38*G56/G118+G105*G55+G130+G131</f>
        <v>4.4691434843698106E-4</v>
      </c>
      <c r="H76" s="234">
        <f ca="1">H43/100*H38*H56/H118+H105*H55+H130+H131</f>
        <v>4.4691434843698106E-4</v>
      </c>
      <c r="I76" s="234">
        <f ca="1">I43/100*I38*I56/I118+I105*I55+I130+I131</f>
        <v>4.4691434843698106E-4</v>
      </c>
      <c r="J76" s="234">
        <f ca="1">J43/100*J38*J56/J118+J105*J55+J130+J131</f>
        <v>4.4691434843698106E-4</v>
      </c>
      <c r="L76" s="7"/>
      <c r="M76" s="7"/>
      <c r="N76" s="7"/>
      <c r="O76" s="7"/>
      <c r="P76" s="234"/>
      <c r="Q76" s="234"/>
      <c r="R76" s="234"/>
      <c r="S76" s="234"/>
      <c r="T76" s="234"/>
    </row>
    <row r="77" spans="1:20" ht="14.25">
      <c r="A77" s="10" t="s">
        <v>324</v>
      </c>
      <c r="C77" s="6"/>
      <c r="D77" s="7"/>
      <c r="F77" s="71">
        <f ca="1">F74+F75+F76/F56*F88</f>
        <v>0.7115454053117467</v>
      </c>
      <c r="G77" s="71">
        <f ca="1">G74+G75+G76/G56*G88</f>
        <v>0.70116398756191789</v>
      </c>
      <c r="H77" s="71">
        <f ca="1">H74+H75+H76/H56*H88</f>
        <v>0.84100650339357408</v>
      </c>
      <c r="I77" s="71">
        <f ca="1">I74+I75+I76/I56*I88</f>
        <v>0.99694722556207227</v>
      </c>
      <c r="J77" s="71">
        <f ca="1">J74+J75+J76/J56*J88</f>
        <v>1.1593224142751668</v>
      </c>
      <c r="M77" s="6"/>
      <c r="N77" s="7"/>
      <c r="P77" s="71"/>
      <c r="Q77" s="71"/>
      <c r="R77" s="71"/>
      <c r="S77" s="71"/>
      <c r="T77" s="71"/>
    </row>
    <row r="78" spans="1:20" ht="14.25">
      <c r="A78" t="s">
        <v>403</v>
      </c>
      <c r="C78" s="6"/>
      <c r="F78" s="6">
        <f ca="1">F72+F77</f>
        <v>50.871940975263591</v>
      </c>
      <c r="G78" s="6">
        <f ca="1">G72+G77</f>
        <v>32.9426687378323</v>
      </c>
      <c r="H78" s="6">
        <f ca="1">H72+H77</f>
        <v>30.991271183871739</v>
      </c>
      <c r="I78" s="6">
        <f ca="1">I72+I77</f>
        <v>30.265474038756611</v>
      </c>
      <c r="J78" s="6">
        <f ca="1">J72+J77</f>
        <v>29.93498429046933</v>
      </c>
      <c r="M78" s="6"/>
      <c r="P78" s="6"/>
      <c r="Q78" s="6"/>
      <c r="R78" s="6"/>
      <c r="S78" s="6"/>
      <c r="T78" s="6"/>
    </row>
    <row r="79" spans="1:20" ht="14.25">
      <c r="A79" t="s">
        <v>45</v>
      </c>
      <c r="C79" s="4"/>
      <c r="F79" s="6">
        <f ca="1">F40+F77+1/(38*0.00015*'System Selection'!$E$49*F146*10^-4*F36*F35/F33)+1/(38*0.00015*'System Selection'!$E$50*F146*10^-4)</f>
        <v>65.782643437110593</v>
      </c>
      <c r="G79" s="6">
        <f ca="1">G40+G77+1/(38*0.00015*'System Selection'!$E$49*G146*10^-4*G36*G35/G33)+1/(38*0.00015*'System Selection'!$E$50*G146*10^-4)</f>
        <v>56.851567606534942</v>
      </c>
      <c r="H79" s="6">
        <f ca="1">H40+H77+1/(38*0.00015*'System Selection'!$E$49*H146*10^-4*H36*H35/H33)+1/(38*0.00015*'System Selection'!$E$50*H146*10^-4)</f>
        <v>55.398658140828481</v>
      </c>
      <c r="I79" s="6">
        <f ca="1">I40+I77+1/(38*0.00015*'System Selection'!$E$49*I146*10^-4*I36*I35/I33)+1/(38*0.00015*'System Selection'!$E$50*I146*10^-4)</f>
        <v>54.837484529199088</v>
      </c>
      <c r="J79" s="6">
        <f ca="1">J40+J77+1/(38*0.00015*'System Selection'!$E$49*J146*10^-4*J36*J35/J33)+1/(38*0.00015*'System Selection'!$E$50*J146*10^-4)</f>
        <v>54.589935669561456</v>
      </c>
      <c r="M79" s="4"/>
      <c r="P79" s="6"/>
      <c r="Q79" s="6"/>
      <c r="R79" s="6"/>
      <c r="S79" s="6"/>
      <c r="T79" s="6"/>
    </row>
    <row r="80" spans="1:20">
      <c r="A80" s="5" t="s">
        <v>219</v>
      </c>
      <c r="F80" s="3"/>
      <c r="G80" s="3"/>
      <c r="H80" s="3"/>
      <c r="I80" s="3"/>
      <c r="J80" s="3"/>
      <c r="P80" s="3"/>
      <c r="Q80" s="3"/>
      <c r="R80" s="3"/>
      <c r="S80" s="3"/>
      <c r="T80" s="3"/>
    </row>
    <row r="81" spans="1:20">
      <c r="A81" t="s">
        <v>235</v>
      </c>
      <c r="F81" s="112">
        <f ca="1">F68/F33/F86*10000</f>
        <v>16.447199193774939</v>
      </c>
      <c r="G81" s="112">
        <f ca="1">G68/G33/G86*10000</f>
        <v>51.12957260516847</v>
      </c>
      <c r="H81" s="112">
        <f ca="1">H68/H33/H86*10000</f>
        <v>82.004282110505571</v>
      </c>
      <c r="I81" s="112">
        <f ca="1">I68/I33/I86*10000</f>
        <v>112.62407065764137</v>
      </c>
      <c r="J81" s="112">
        <f ca="1">J68/J33/J86*10000</f>
        <v>143.18603933106496</v>
      </c>
      <c r="P81" s="112"/>
      <c r="Q81" s="112"/>
      <c r="R81" s="112"/>
      <c r="S81" s="112"/>
      <c r="T81" s="112"/>
    </row>
    <row r="82" spans="1:20">
      <c r="A82" t="s">
        <v>224</v>
      </c>
      <c r="F82" s="112">
        <f ca="1">F36*F68/F35/F86*10000</f>
        <v>20.78704061773437</v>
      </c>
      <c r="G82" s="112">
        <f ca="1">G36*G68/G35/G86*10000</f>
        <v>64.620881038110397</v>
      </c>
      <c r="H82" s="112">
        <f ca="1">H36*H68/H35/H86*10000</f>
        <v>103.64234803603567</v>
      </c>
      <c r="I82" s="112">
        <f ca="1">I36*I68/I35/I86*10000</f>
        <v>142.34162933838988</v>
      </c>
      <c r="J82" s="112">
        <f ca="1">J36*J68/J35/J86*10000</f>
        <v>180.96783412180568</v>
      </c>
      <c r="P82" s="112"/>
      <c r="Q82" s="112"/>
      <c r="R82" s="112"/>
      <c r="S82" s="112"/>
      <c r="T82" s="112"/>
    </row>
    <row r="83" spans="1:20">
      <c r="A83" s="7" t="s">
        <v>222</v>
      </c>
      <c r="B83" s="7"/>
      <c r="C83" s="7"/>
      <c r="D83" s="7"/>
      <c r="F83" s="112">
        <f ca="1">IF(F68/F33/F88*10000&lt;F42,F68/F33/F88*10000,F42)</f>
        <v>16.447199193774939</v>
      </c>
      <c r="G83" s="112">
        <f ca="1">IF(G68/G33/G88*10000&lt;G42,G68/G33/G88*10000,G42)</f>
        <v>51.12957260516847</v>
      </c>
      <c r="H83" s="112">
        <f ca="1">IF(H68/H33/H88*10000&lt;H42,H68/H33/H88*10000,H42)</f>
        <v>82.004282110505571</v>
      </c>
      <c r="I83" s="112">
        <f ca="1">IF(I68/I33/I88*10000&lt;I42,I68/I33/I88*10000,I42)</f>
        <v>112.62407065764137</v>
      </c>
      <c r="J83" s="112">
        <f ca="1">IF(J68/J33/J88*10000&lt;J42,J68/J33/J88*10000,J42)</f>
        <v>143.18603933106496</v>
      </c>
      <c r="L83" s="7"/>
      <c r="M83" s="7"/>
      <c r="N83" s="7"/>
      <c r="P83" s="112"/>
      <c r="Q83" s="112"/>
      <c r="R83" s="112"/>
      <c r="S83" s="112"/>
      <c r="T83" s="112"/>
    </row>
    <row r="84" spans="1:20">
      <c r="A84" s="7" t="s">
        <v>223</v>
      </c>
      <c r="B84" s="7"/>
      <c r="C84" s="7"/>
      <c r="D84" s="7"/>
      <c r="F84" s="112">
        <f ca="1">IF(F36*F68/F35/F88*10000&lt;F42,F36*F68/F35/F88*10000,F42)</f>
        <v>20.78704061773437</v>
      </c>
      <c r="G84" s="112">
        <f ca="1">IF(G36*G68/G35/G88*10000&lt;G42,G36*G68/G35/G88*10000,G42)</f>
        <v>64.620881038110397</v>
      </c>
      <c r="H84" s="112">
        <f ca="1">IF(H36*H68/H35/H88*10000&lt;H42,H36*H68/H35/H88*10000,H42)</f>
        <v>103.64234803603567</v>
      </c>
      <c r="I84" s="112">
        <f ca="1">IF(I36*I68/I35/I88*10000&lt;I42,I36*I68/I35/I88*10000,I42)</f>
        <v>142.34162933838988</v>
      </c>
      <c r="J84" s="112">
        <f ca="1">IF(J36*J68/J35/J88*10000&lt;J42,J36*J68/J35/J88*10000,J42)</f>
        <v>180.96783412180568</v>
      </c>
      <c r="L84" s="7"/>
      <c r="M84" s="7"/>
      <c r="N84" s="7"/>
      <c r="P84" s="112"/>
      <c r="Q84" s="112"/>
      <c r="R84" s="112"/>
      <c r="S84" s="112"/>
      <c r="T84" s="112"/>
    </row>
    <row r="85" spans="1:20">
      <c r="A85" s="5" t="s">
        <v>218</v>
      </c>
      <c r="F85" s="3"/>
      <c r="G85" s="3"/>
      <c r="H85" s="3"/>
      <c r="I85" s="3"/>
      <c r="J85" s="3"/>
      <c r="P85" s="3"/>
      <c r="Q85" s="3"/>
      <c r="R85" s="3"/>
      <c r="S85" s="3"/>
      <c r="T85" s="3"/>
    </row>
    <row r="86" spans="1:20">
      <c r="A86" t="s">
        <v>231</v>
      </c>
      <c r="F86" s="134">
        <f ca="1">IF(F149=0,20000,F78*F50/F52*1000/F116/F45*100/(100-F45)*100/F38)</f>
        <v>15759.302727709099</v>
      </c>
      <c r="G86" s="134">
        <f ca="1">IF(G149=0,20000,G78*G50/G52*1000/G116/G45*100/(100-G45)*100/G38)</f>
        <v>10205.104805231935</v>
      </c>
      <c r="H86" s="134">
        <f ca="1">IF(H149=0,20000,H78*H50/H52*1000/H116/H45*100/(100-H45)*100/H38)</f>
        <v>9600.5934733382128</v>
      </c>
      <c r="I86" s="134">
        <f ca="1">IF(I149=0,20000,I78*I50/I52*1000/I116/I45*100/(100-I45)*100/I38)</f>
        <v>9375.7532822722114</v>
      </c>
      <c r="J86" s="134">
        <f ca="1">IF(J149=0,20000,J78*J50/J52*1000/J116/J45*100/(100-J45)*100/J38)</f>
        <v>9273.3729151815205</v>
      </c>
      <c r="P86" s="134"/>
      <c r="Q86" s="134"/>
      <c r="R86" s="134"/>
      <c r="S86" s="134"/>
      <c r="T86" s="134"/>
    </row>
    <row r="87" spans="1:20">
      <c r="A87" t="s">
        <v>232</v>
      </c>
      <c r="F87" s="134">
        <f ca="1">F86*MAX(F81,F82)/F42</f>
        <v>1091.964219693537</v>
      </c>
      <c r="G87" s="134">
        <f ca="1">G86*MAX(G81,G82)/G42</f>
        <v>2198.2095453344718</v>
      </c>
      <c r="H87" s="134">
        <f ca="1">H86*MAX(H81,H82)/H42</f>
        <v>3316.7601670540389</v>
      </c>
      <c r="I87" s="134">
        <f ca="1">I86*MAX(I81,I82)/I42</f>
        <v>4448.5333282446118</v>
      </c>
      <c r="J87" s="134">
        <f ca="1">J86*MAX(J81,J82)/J42</f>
        <v>5593.940704880717</v>
      </c>
      <c r="P87" s="134"/>
      <c r="Q87" s="134"/>
      <c r="R87" s="134"/>
      <c r="S87" s="134"/>
      <c r="T87" s="134"/>
    </row>
    <row r="88" spans="1:20" ht="14.25">
      <c r="A88" t="s">
        <v>221</v>
      </c>
      <c r="C88" s="4"/>
      <c r="F88" s="137">
        <f ca="1">MAX(F86,F87)</f>
        <v>15759.302727709099</v>
      </c>
      <c r="G88" s="137">
        <f ca="1">MAX(G86,G87)</f>
        <v>10205.104805231935</v>
      </c>
      <c r="H88" s="137">
        <f ca="1">MAX(H86,H87)</f>
        <v>9600.5934733382128</v>
      </c>
      <c r="I88" s="137">
        <f ca="1">MAX(I86,I87)</f>
        <v>9375.7532822722114</v>
      </c>
      <c r="J88" s="137">
        <f ca="1">MAX(J86,J87)</f>
        <v>9273.3729151815205</v>
      </c>
      <c r="M88" s="4"/>
      <c r="P88" s="137"/>
      <c r="Q88" s="137"/>
      <c r="R88" s="137"/>
      <c r="S88" s="137"/>
      <c r="T88" s="137"/>
    </row>
    <row r="89" spans="1:20">
      <c r="A89" s="5" t="s">
        <v>317</v>
      </c>
      <c r="C89" s="4"/>
      <c r="F89" s="137"/>
      <c r="G89" s="137"/>
      <c r="H89" s="137"/>
      <c r="I89" s="137"/>
      <c r="J89" s="137"/>
      <c r="M89" s="4"/>
      <c r="P89" s="137"/>
      <c r="Q89" s="137"/>
      <c r="R89" s="137"/>
      <c r="S89" s="137"/>
      <c r="T89" s="137"/>
    </row>
    <row r="90" spans="1:20">
      <c r="A90" s="52" t="s">
        <v>407</v>
      </c>
      <c r="E90" s="35"/>
      <c r="F90" s="31">
        <f ca="1">(F28*1000-2*$D25+$D20)/($D19+$D20+2*($D21+F83+F84))*0.97</f>
        <v>64.318548429306404</v>
      </c>
      <c r="G90" s="31">
        <f ca="1">(G28*1000-2*$D25+$D20)/($D19+$D20+2*($D21+G83+G84))*0.97</f>
        <v>31.039907208927296</v>
      </c>
      <c r="H90" s="31">
        <f ca="1">(H28*1000-2*$D25+$D20)/($D19+$D20+2*($D21+H83+H84))*0.97</f>
        <v>21.251484838211983</v>
      </c>
      <c r="I90" s="31">
        <f ca="1">(I28*1000-2*$D25+$D20)/($D19+$D20+2*($D21+I83+I84))*0.97</f>
        <v>16.188574804742444</v>
      </c>
      <c r="J90" s="31">
        <f ca="1">(J28*1000-2*$D25+$D20)/($D19+$D20+2*($D21+J83+J84))*0.97</f>
        <v>13.0786320714565</v>
      </c>
      <c r="O90" s="35"/>
      <c r="P90" s="31"/>
      <c r="Q90" s="31"/>
      <c r="R90" s="31"/>
      <c r="S90" s="31"/>
      <c r="T90" s="31"/>
    </row>
    <row r="91" spans="1:20">
      <c r="A91" s="52" t="s">
        <v>321</v>
      </c>
      <c r="C91" s="4"/>
      <c r="F91" s="201">
        <f ca="1">(F88/F90/2/F27)^0.5*10</f>
        <v>97.07641013765658</v>
      </c>
      <c r="G91" s="201">
        <f ca="1">(G88/G90/2/G27)^0.5*10</f>
        <v>112.4506197936219</v>
      </c>
      <c r="H91" s="201">
        <f ca="1">(H88/H90/2/H27)^0.5*10</f>
        <v>131.81587790326188</v>
      </c>
      <c r="I91" s="201">
        <f ca="1">(I88/I90/2/I27)^0.5*10</f>
        <v>149.24923134024536</v>
      </c>
      <c r="J91" s="201">
        <f ca="1">(J88/J90/2/J27)^0.5*10</f>
        <v>165.13952351125837</v>
      </c>
      <c r="M91" s="4"/>
      <c r="P91" s="201"/>
      <c r="Q91" s="201"/>
      <c r="R91" s="201"/>
      <c r="S91" s="201"/>
      <c r="T91" s="201"/>
    </row>
    <row r="92" spans="1:20">
      <c r="A92" s="52" t="s">
        <v>323</v>
      </c>
      <c r="C92" s="4"/>
      <c r="F92" s="201">
        <f ca="1">F91*F27</f>
        <v>126.19933317895357</v>
      </c>
      <c r="G92" s="201">
        <f ca="1">G91*G27</f>
        <v>146.18580573170848</v>
      </c>
      <c r="H92" s="201">
        <f ca="1">H91*H27</f>
        <v>171.36064127424044</v>
      </c>
      <c r="I92" s="201">
        <f ca="1">I91*I27</f>
        <v>194.02400074231898</v>
      </c>
      <c r="J92" s="201">
        <f ca="1">J91*J27</f>
        <v>214.6813805646359</v>
      </c>
      <c r="M92" s="4"/>
      <c r="P92" s="201"/>
      <c r="Q92" s="201"/>
      <c r="R92" s="201"/>
      <c r="S92" s="201"/>
      <c r="T92" s="201"/>
    </row>
    <row r="93" spans="1:20">
      <c r="A93" s="52" t="s">
        <v>405</v>
      </c>
      <c r="C93" s="4"/>
      <c r="F93" s="201">
        <f>F28+8</f>
        <v>18</v>
      </c>
      <c r="G93" s="201">
        <f>G28+8</f>
        <v>18</v>
      </c>
      <c r="H93" s="201">
        <f>H28+8</f>
        <v>18</v>
      </c>
      <c r="I93" s="201">
        <f>I28+8</f>
        <v>18</v>
      </c>
      <c r="J93" s="201">
        <f>J28+8</f>
        <v>18</v>
      </c>
      <c r="M93" s="4"/>
      <c r="P93" s="201"/>
      <c r="Q93" s="201"/>
      <c r="R93" s="201"/>
      <c r="S93" s="201"/>
      <c r="T93" s="201"/>
    </row>
    <row r="94" spans="1:20">
      <c r="A94" s="52" t="s">
        <v>337</v>
      </c>
      <c r="C94" s="4"/>
      <c r="F94" s="201">
        <f ca="1">F91-8</f>
        <v>89.07641013765658</v>
      </c>
      <c r="G94" s="201">
        <f ca="1">G91-8</f>
        <v>104.4506197936219</v>
      </c>
      <c r="H94" s="201">
        <f ca="1">H91-8</f>
        <v>123.81587790326188</v>
      </c>
      <c r="I94" s="201">
        <f ca="1">I91-8</f>
        <v>141.24923134024536</v>
      </c>
      <c r="J94" s="201">
        <f ca="1">J91-8</f>
        <v>157.13952351125837</v>
      </c>
      <c r="M94" s="4"/>
      <c r="P94" s="201"/>
      <c r="Q94" s="201"/>
      <c r="R94" s="201"/>
      <c r="S94" s="201"/>
      <c r="T94" s="201"/>
    </row>
    <row r="95" spans="1:20">
      <c r="A95" s="52" t="s">
        <v>400</v>
      </c>
      <c r="C95" s="4"/>
      <c r="F95" s="201">
        <f>2*F28+10</f>
        <v>30</v>
      </c>
      <c r="G95" s="201">
        <f>2*G28+10</f>
        <v>30</v>
      </c>
      <c r="H95" s="201">
        <f>2*H28+10</f>
        <v>30</v>
      </c>
      <c r="I95" s="201">
        <f>2*I28+10</f>
        <v>30</v>
      </c>
      <c r="J95" s="201">
        <f>2*J28+10</f>
        <v>30</v>
      </c>
      <c r="M95" s="4"/>
      <c r="P95" s="201"/>
      <c r="Q95" s="201"/>
      <c r="R95" s="201"/>
      <c r="S95" s="201"/>
      <c r="T95" s="201"/>
    </row>
    <row r="96" spans="1:20">
      <c r="A96" s="52" t="s">
        <v>319</v>
      </c>
      <c r="C96" s="4"/>
      <c r="F96" s="201">
        <f ca="1">F91+8</f>
        <v>105.07641013765658</v>
      </c>
      <c r="G96" s="201">
        <f ca="1">G91+8</f>
        <v>120.4506197936219</v>
      </c>
      <c r="H96" s="201">
        <f ca="1">H91+8</f>
        <v>139.81587790326188</v>
      </c>
      <c r="I96" s="201">
        <f ca="1">I91+8</f>
        <v>157.24923134024536</v>
      </c>
      <c r="J96" s="201">
        <f ca="1">J91+8</f>
        <v>173.13952351125837</v>
      </c>
      <c r="M96" s="4"/>
      <c r="P96" s="201"/>
      <c r="Q96" s="201"/>
      <c r="R96" s="201"/>
      <c r="S96" s="201"/>
      <c r="T96" s="201"/>
    </row>
    <row r="97" spans="1:20">
      <c r="A97" s="52" t="s">
        <v>320</v>
      </c>
      <c r="C97" s="4"/>
      <c r="F97" s="201">
        <f ca="1">F92+2*F30</f>
        <v>156.19933317895357</v>
      </c>
      <c r="G97" s="201">
        <f ca="1">G92+2*G30</f>
        <v>176.18580573170848</v>
      </c>
      <c r="H97" s="201">
        <f ca="1">H92+2*H30</f>
        <v>201.36064127424044</v>
      </c>
      <c r="I97" s="201">
        <f ca="1">I92+2*I30</f>
        <v>224.02400074231898</v>
      </c>
      <c r="J97" s="201">
        <f ca="1">J92+2*J30</f>
        <v>244.6813805646359</v>
      </c>
      <c r="M97" s="4"/>
      <c r="P97" s="201"/>
      <c r="Q97" s="201"/>
      <c r="R97" s="201"/>
      <c r="S97" s="201"/>
      <c r="T97" s="201"/>
    </row>
    <row r="98" spans="1:20" ht="14.25">
      <c r="A98" s="52" t="s">
        <v>330</v>
      </c>
      <c r="C98" s="4"/>
      <c r="F98" s="201">
        <f ca="1">F28*F96*F97/1000</f>
        <v>164.12865196340192</v>
      </c>
      <c r="G98" s="201">
        <f ca="1">G28*G96*G97/1000</f>
        <v>212.2168949922295</v>
      </c>
      <c r="H98" s="201">
        <f ca="1">H28*H96*H97/1000</f>
        <v>281.53414834921722</v>
      </c>
      <c r="I98" s="201">
        <f ca="1">I28*I96*I97/1000</f>
        <v>352.27601918496214</v>
      </c>
      <c r="J98" s="201">
        <f ca="1">J28*J96*J97/1000</f>
        <v>423.64017643037937</v>
      </c>
      <c r="M98" s="4"/>
      <c r="P98" s="201"/>
      <c r="Q98" s="201"/>
      <c r="R98" s="201"/>
      <c r="S98" s="201"/>
      <c r="T98" s="201"/>
    </row>
    <row r="99" spans="1:20" ht="15.75">
      <c r="A99" s="19" t="s">
        <v>419</v>
      </c>
      <c r="B99" s="5"/>
      <c r="C99" s="150"/>
      <c r="D99" s="5"/>
      <c r="F99" s="150"/>
      <c r="G99" s="150"/>
      <c r="H99" s="150"/>
      <c r="I99" s="150"/>
      <c r="J99" s="150"/>
      <c r="L99" s="5"/>
      <c r="M99" s="150"/>
      <c r="N99" s="5"/>
      <c r="P99" s="150"/>
      <c r="Q99" s="150"/>
      <c r="R99" s="150"/>
      <c r="S99" s="150"/>
      <c r="T99" s="150"/>
    </row>
    <row r="100" spans="1:20">
      <c r="A100" s="7" t="s">
        <v>452</v>
      </c>
      <c r="F100" s="112">
        <f>IF(F52=1,0,F52*F28*F29/2*F94*1.5/1000*8.92)</f>
        <v>0</v>
      </c>
      <c r="G100" s="112">
        <f>IF(G52=1,0,G52*G28*G29/2*G94*1.5/1000*8.92)</f>
        <v>0</v>
      </c>
      <c r="H100" s="112">
        <f>IF(H52=1,0,H52*H28*H29/2*H94*1.5/1000*8.92)</f>
        <v>0</v>
      </c>
      <c r="I100" s="112">
        <f>IF(I52=1,0,I52*I28*I29/2*I94*1.5/1000*8.92)</f>
        <v>0</v>
      </c>
      <c r="J100" s="112">
        <f>IF(J52=1,0,J52*J28*J29/2*J94*1.5/1000*8.92)</f>
        <v>0</v>
      </c>
      <c r="P100" s="112"/>
      <c r="Q100" s="112"/>
      <c r="R100" s="112"/>
      <c r="S100" s="112"/>
      <c r="T100" s="112"/>
    </row>
    <row r="101" spans="1:20">
      <c r="A101" s="7" t="s">
        <v>409</v>
      </c>
      <c r="C101" s="4"/>
      <c r="F101" s="26">
        <f>8*F51/F52</f>
        <v>128</v>
      </c>
      <c r="G101" s="26">
        <f>8*G51/G52</f>
        <v>128</v>
      </c>
      <c r="H101" s="26">
        <f>8*H51/H52</f>
        <v>128</v>
      </c>
      <c r="I101" s="26">
        <f>8*I51/I52</f>
        <v>128</v>
      </c>
      <c r="J101" s="26">
        <f>8*J51/J52</f>
        <v>128</v>
      </c>
      <c r="M101" s="4"/>
      <c r="P101" s="26"/>
      <c r="Q101" s="26"/>
      <c r="R101" s="26"/>
      <c r="S101" s="26"/>
      <c r="T101" s="26"/>
    </row>
    <row r="102" spans="1:20">
      <c r="A102" s="7" t="s">
        <v>429</v>
      </c>
      <c r="C102" s="4"/>
      <c r="F102" s="235">
        <f>F44*0.092*4.19</f>
        <v>7.7096000000000012E-2</v>
      </c>
      <c r="G102" s="235">
        <f>G44*0.092*4.19</f>
        <v>7.7096000000000012E-2</v>
      </c>
      <c r="H102" s="235">
        <f>H44*0.092*4.19</f>
        <v>7.7096000000000012E-2</v>
      </c>
      <c r="I102" s="235">
        <f>I44*0.092*4.19</f>
        <v>7.7096000000000012E-2</v>
      </c>
      <c r="J102" s="235">
        <f>J44*0.092*4.19</f>
        <v>7.7096000000000012E-2</v>
      </c>
      <c r="M102" s="4"/>
      <c r="P102" s="235"/>
      <c r="Q102" s="235"/>
      <c r="R102" s="235"/>
      <c r="S102" s="235"/>
      <c r="T102" s="235"/>
    </row>
    <row r="103" spans="1:20">
      <c r="A103" s="7" t="s">
        <v>454</v>
      </c>
      <c r="C103" s="4"/>
      <c r="F103" s="238">
        <f>(F102*8.92/600000)^0.5</f>
        <v>1.0705888722256241E-3</v>
      </c>
      <c r="G103" s="238">
        <f>(G102*8.92/600000)^0.5</f>
        <v>1.0705888722256241E-3</v>
      </c>
      <c r="H103" s="238">
        <f>(H102*8.92/600000)^0.5</f>
        <v>1.0705888722256241E-3</v>
      </c>
      <c r="I103" s="238">
        <f>(I102*8.92/600000)^0.5</f>
        <v>1.0705888722256241E-3</v>
      </c>
      <c r="J103" s="238">
        <f>(J102*8.92/600000)^0.5</f>
        <v>1.0705888722256241E-3</v>
      </c>
      <c r="M103" s="4"/>
      <c r="P103" s="238"/>
      <c r="Q103" s="238"/>
      <c r="R103" s="238"/>
      <c r="S103" s="238"/>
      <c r="T103" s="238"/>
    </row>
    <row r="104" spans="1:20">
      <c r="A104" s="7" t="s">
        <v>422</v>
      </c>
      <c r="C104" s="4"/>
      <c r="F104" s="26">
        <f ca="1">IF(F55=1,0,2)*(2/F102*F118*F103)*1.2</f>
        <v>14.66464231016368</v>
      </c>
      <c r="G104" s="26">
        <f ca="1">IF(G55=1,0,2)*(2/G102*G118*G103)*1.2</f>
        <v>14.66464231016368</v>
      </c>
      <c r="H104" s="26">
        <f ca="1">IF(H55=1,0,2)*(2/H102*H118*H103)*1.2</f>
        <v>14.66464231016368</v>
      </c>
      <c r="I104" s="26">
        <f ca="1">IF(I55=1,0,2)*(2/I102*I118*I103)*1.2</f>
        <v>14.66464231016368</v>
      </c>
      <c r="J104" s="26">
        <f ca="1">IF(J55=1,0,2)*(2/J102*J118*J103)*1.2</f>
        <v>14.66464231016368</v>
      </c>
      <c r="M104" s="4"/>
      <c r="P104" s="26"/>
      <c r="Q104" s="26"/>
      <c r="R104" s="26"/>
      <c r="S104" s="26"/>
      <c r="T104" s="26"/>
    </row>
    <row r="105" spans="1:20">
      <c r="A105" s="7" t="s">
        <v>426</v>
      </c>
      <c r="C105" s="4"/>
      <c r="F105" s="236">
        <f ca="1">IF(F55=1,0,2)*(2/F118*F103)</f>
        <v>1.9464504756598737E-5</v>
      </c>
      <c r="G105" s="236">
        <f ca="1">IF(G55=1,0,2)*(2/G118*G103)</f>
        <v>1.9464504756598737E-5</v>
      </c>
      <c r="H105" s="236">
        <f ca="1">IF(H55=1,0,2)*(2/H118*H103)</f>
        <v>1.9464504756598737E-5</v>
      </c>
      <c r="I105" s="236">
        <f ca="1">IF(I55=1,0,2)*(2/I118*I103)</f>
        <v>1.9464504756598737E-5</v>
      </c>
      <c r="J105" s="236">
        <f ca="1">IF(J55=1,0,2)*(2/J118*J103)</f>
        <v>1.9464504756598737E-5</v>
      </c>
      <c r="M105" s="4"/>
      <c r="P105" s="236"/>
      <c r="Q105" s="236"/>
      <c r="R105" s="236"/>
      <c r="S105" s="236"/>
      <c r="T105" s="236"/>
    </row>
    <row r="106" spans="1:20">
      <c r="A106" s="7" t="s">
        <v>465</v>
      </c>
      <c r="C106" s="4"/>
      <c r="F106" s="254">
        <v>0.5</v>
      </c>
      <c r="G106" s="254">
        <v>0.5</v>
      </c>
      <c r="H106" s="254">
        <v>0.5</v>
      </c>
      <c r="I106" s="254">
        <v>0.5</v>
      </c>
      <c r="J106" s="254">
        <v>0.5</v>
      </c>
      <c r="M106" s="4"/>
      <c r="P106" s="26"/>
      <c r="Q106" s="26"/>
      <c r="R106" s="26"/>
      <c r="S106" s="26"/>
      <c r="T106" s="26"/>
    </row>
    <row r="107" spans="1:20">
      <c r="A107" s="7" t="s">
        <v>228</v>
      </c>
      <c r="C107" s="4"/>
      <c r="F107" s="26">
        <f ca="1">2.7*F106*(F108*F109+F108*F110+F109*F110)*2/1000</f>
        <v>168.21423573295169</v>
      </c>
      <c r="G107" s="26">
        <f ca="1">2.7*G106*(G108*G109+G108*G110+G109*G110)*2/1000</f>
        <v>197.71503601078382</v>
      </c>
      <c r="H107" s="26">
        <f ca="1">2.7*H106*(H108*H109+H108*H110+H109*H110)*2/1000</f>
        <v>237.23537216209996</v>
      </c>
      <c r="I107" s="26">
        <f ca="1">2.7*I106*(I108*I109+I108*I110+I109*I110)*2/1000</f>
        <v>275.06485188570559</v>
      </c>
      <c r="J107" s="26">
        <f ca="1">2.7*J106*(J108*J109+J108*J110+J109*J110)*2/1000</f>
        <v>311.40459193005267</v>
      </c>
      <c r="M107" s="4"/>
      <c r="P107" s="26"/>
      <c r="Q107" s="26"/>
      <c r="R107" s="26"/>
      <c r="S107" s="26"/>
      <c r="T107" s="26"/>
    </row>
    <row r="108" spans="1:20">
      <c r="A108" s="7" t="s">
        <v>345</v>
      </c>
      <c r="C108" s="4"/>
      <c r="F108" s="26">
        <f ca="1">F97+2</f>
        <v>158.19933317895357</v>
      </c>
      <c r="G108" s="26">
        <f ca="1">G97+2</f>
        <v>178.18580573170848</v>
      </c>
      <c r="H108" s="26">
        <f ca="1">H97+2</f>
        <v>203.36064127424044</v>
      </c>
      <c r="I108" s="26">
        <f ca="1">I97+2</f>
        <v>226.02400074231898</v>
      </c>
      <c r="J108" s="26">
        <f ca="1">J97+2</f>
        <v>246.6813805646359</v>
      </c>
      <c r="M108" s="4"/>
      <c r="P108" s="26"/>
      <c r="Q108" s="26"/>
      <c r="R108" s="26"/>
      <c r="S108" s="26"/>
      <c r="T108" s="26"/>
    </row>
    <row r="109" spans="1:20">
      <c r="A109" s="7" t="s">
        <v>346</v>
      </c>
      <c r="C109" s="4"/>
      <c r="F109" s="26">
        <f>F28*(F51+1)+1</f>
        <v>171</v>
      </c>
      <c r="G109" s="26">
        <f>G28*(G51+1)+1</f>
        <v>171</v>
      </c>
      <c r="H109" s="26">
        <f>H28*(H51+1)+1</f>
        <v>171</v>
      </c>
      <c r="I109" s="26">
        <f>I28*(I51+1)+1</f>
        <v>171</v>
      </c>
      <c r="J109" s="26">
        <f>J28*(J51+1)+1</f>
        <v>171</v>
      </c>
      <c r="M109" s="4"/>
      <c r="P109" s="26"/>
      <c r="Q109" s="26"/>
      <c r="R109" s="26"/>
      <c r="S109" s="26"/>
      <c r="T109" s="26"/>
    </row>
    <row r="110" spans="1:20">
      <c r="A110" s="7" t="s">
        <v>347</v>
      </c>
      <c r="C110" s="4"/>
      <c r="F110" s="26">
        <f ca="1">F96+2</f>
        <v>107.07641013765658</v>
      </c>
      <c r="G110" s="26">
        <f ca="1">G96+2</f>
        <v>122.4506197936219</v>
      </c>
      <c r="H110" s="26">
        <f ca="1">H96+2</f>
        <v>141.81587790326188</v>
      </c>
      <c r="I110" s="26">
        <f ca="1">I96+2</f>
        <v>159.24923134024536</v>
      </c>
      <c r="J110" s="26">
        <f ca="1">J96+2</f>
        <v>175.13952351125837</v>
      </c>
      <c r="M110" s="4"/>
      <c r="P110" s="213"/>
      <c r="Q110" s="213"/>
      <c r="R110" s="213"/>
      <c r="S110" s="213"/>
      <c r="T110" s="213"/>
    </row>
    <row r="111" spans="1:20">
      <c r="A111" s="7" t="s">
        <v>410</v>
      </c>
      <c r="C111" s="4"/>
      <c r="F111" s="213">
        <f ca="1">F108*F109*F110/1000000</f>
        <v>2.8966402527884538</v>
      </c>
      <c r="G111" s="213">
        <f ca="1">G108*G109*G110/1000000</f>
        <v>3.7310425618967868</v>
      </c>
      <c r="H111" s="213">
        <f ca="1">H108*H109*H110/1000000</f>
        <v>4.9316003063303198</v>
      </c>
      <c r="I111" s="213">
        <f ca="1">I108*I109*I110/1000000</f>
        <v>6.1549993734350892</v>
      </c>
      <c r="J111" s="213">
        <f ca="1">J108*J109*J110/1000000</f>
        <v>7.3878257661534423</v>
      </c>
      <c r="M111" s="4"/>
      <c r="P111" s="213"/>
      <c r="Q111" s="213"/>
      <c r="R111" s="213"/>
      <c r="S111" s="213"/>
      <c r="T111" s="213"/>
    </row>
    <row r="112" spans="1:20">
      <c r="A112" s="7" t="s">
        <v>351</v>
      </c>
      <c r="C112" s="4"/>
      <c r="F112" s="213">
        <f ca="1">((F100*F51/F52+1)*F100+F51*F26+F101+F104+F107)/1000</f>
        <v>6.3214638995493786</v>
      </c>
      <c r="G112" s="213">
        <f ca="1">((G100*G51/G52+1)*G100+G51*G26+G101+G104+G107)/1000</f>
        <v>7.7419805668716348</v>
      </c>
      <c r="H112" s="213">
        <f ca="1">((H100*H51/H52+1)*H100+H51*H26+H101+H104+H107)/1000</f>
        <v>10.180773642017741</v>
      </c>
      <c r="I112" s="213">
        <f ca="1">((I100*I51/I52+1)*I100+I51*I26+I101+I104+I107)/1000</f>
        <v>12.71438834587167</v>
      </c>
      <c r="J112" s="213">
        <f ca="1">((J100*J51/J52+1)*J100+J51*J26+J101+J104+J107)/1000</f>
        <v>15.293110506895108</v>
      </c>
    </row>
    <row r="113" spans="1:10" ht="15.75">
      <c r="A113" s="19" t="s">
        <v>44</v>
      </c>
      <c r="C113" s="4"/>
      <c r="F113" s="6"/>
      <c r="G113" s="6"/>
      <c r="H113" s="6"/>
      <c r="I113" s="6"/>
      <c r="J113" s="6"/>
    </row>
    <row r="114" spans="1:10">
      <c r="A114" t="s">
        <v>500</v>
      </c>
      <c r="F114" s="21">
        <f ca="1">F67*(F117-F56*F68/3*F79/F88)/1000</f>
        <v>3.5714285714299057</v>
      </c>
      <c r="G114" s="21">
        <f ca="1">G67*(G117-G56*G68/3*G79/G88)/1000</f>
        <v>7.1428571428571601</v>
      </c>
      <c r="H114" s="21">
        <f ca="1">H67*(H117-H56*H68/3*H79/H88)/1000</f>
        <v>10.714285714285696</v>
      </c>
      <c r="I114" s="21">
        <f ca="1">I67*(I117-I56*I68/3*I79/I88)/1000</f>
        <v>14.28571428571427</v>
      </c>
      <c r="J114" s="21">
        <f ca="1">J67*(J117-J56*J68/3*J79/J88)/1000</f>
        <v>17.85714285714284</v>
      </c>
    </row>
    <row r="115" spans="1:10">
      <c r="A115" t="s">
        <v>501</v>
      </c>
      <c r="F115" s="21">
        <f ca="1">F114*F137/100</f>
        <v>2.5000000000009339</v>
      </c>
      <c r="G115" s="21">
        <f ca="1">G114*G137/100</f>
        <v>5.0000000000000115</v>
      </c>
      <c r="H115" s="21">
        <f ca="1">H114*H137/100</f>
        <v>7.4999999999999876</v>
      </c>
      <c r="I115" s="21">
        <f ca="1">I114*I137/100</f>
        <v>9.9999999999999893</v>
      </c>
      <c r="J115" s="21">
        <f ca="1">J114*J137/100</f>
        <v>12.499999999999989</v>
      </c>
    </row>
    <row r="116" spans="1:10">
      <c r="A116" t="s">
        <v>449</v>
      </c>
      <c r="F116" s="6">
        <f>F56/F52*F38</f>
        <v>340.89600000000002</v>
      </c>
      <c r="G116" s="6">
        <f>G56/G52*G38</f>
        <v>340.89600000000002</v>
      </c>
      <c r="H116" s="6">
        <f>H56/H52*H38</f>
        <v>340.89600000000002</v>
      </c>
      <c r="I116" s="6">
        <f>I56/I52*I38</f>
        <v>340.89600000000002</v>
      </c>
      <c r="J116" s="6">
        <f>J56/J52*J38</f>
        <v>340.89600000000002</v>
      </c>
    </row>
    <row r="117" spans="1:10">
      <c r="A117" t="s">
        <v>214</v>
      </c>
      <c r="F117" s="6">
        <f>F56/F52*F39</f>
        <v>353.28000000000003</v>
      </c>
      <c r="G117" s="6">
        <f>G56/G52*G39</f>
        <v>353.28000000000003</v>
      </c>
      <c r="H117" s="6">
        <f>H56/H52*H39</f>
        <v>353.28000000000003</v>
      </c>
      <c r="I117" s="6">
        <f>I56/I52*I39</f>
        <v>353.28000000000003</v>
      </c>
      <c r="J117" s="6">
        <f>J56/J52*J39</f>
        <v>353.28000000000003</v>
      </c>
    </row>
    <row r="118" spans="1:10">
      <c r="A118" t="s">
        <v>216</v>
      </c>
      <c r="F118" s="4">
        <f ca="1">IF(MAX(F81,F82)&lt;F42,F50*1000/F116/F45*100,F50*1000/F116/F46*100)</f>
        <v>220.00844832441567</v>
      </c>
      <c r="G118" s="4">
        <f ca="1">IF(MAX(G81,G82)&lt;G42,G50*1000/G116/G45*100,G50*1000/G116/G46*100)</f>
        <v>220.00844832441567</v>
      </c>
      <c r="H118" s="4">
        <f ca="1">IF(MAX(H81,H82)&lt;H42,H50*1000/H116/H45*100,H50*1000/H116/H46*100)</f>
        <v>220.00844832441567</v>
      </c>
      <c r="I118" s="4">
        <f ca="1">IF(MAX(I81,I82)&lt;I42,I50*1000/I116/I45*100,I50*1000/I116/I46*100)</f>
        <v>220.00844832441567</v>
      </c>
      <c r="J118" s="4">
        <f ca="1">IF(MAX(J81,J82)&lt;J42,J50*1000/J116/J45*100,J50*1000/J116/J46*100)</f>
        <v>220.00844832441567</v>
      </c>
    </row>
    <row r="119" spans="1:10" ht="14.25">
      <c r="A119" t="s">
        <v>435</v>
      </c>
      <c r="F119" s="21">
        <f ca="1">IF(F149=0,20,F118*1000/F88/F52)</f>
        <v>13.96054458282482</v>
      </c>
      <c r="G119" s="21">
        <f ca="1">IF(G149=0,20,G118*1000/G88/G52)</f>
        <v>21.558666228652754</v>
      </c>
      <c r="H119" s="21">
        <f ca="1">IF(H149=0,20,H118*1000/H88/H52)</f>
        <v>22.916130022107556</v>
      </c>
      <c r="I119" s="21">
        <f ca="1">IF(I149=0,20,I118*1000/I88/I52)</f>
        <v>23.465682351135488</v>
      </c>
      <c r="J119" s="21">
        <f ca="1">IF(J149=0,20,J118*1000/J88/J52)</f>
        <v>23.724749380480308</v>
      </c>
    </row>
    <row r="120" spans="1:10">
      <c r="A120" t="s">
        <v>329</v>
      </c>
      <c r="F120" s="6">
        <f ca="1">IF(F149=0,5,F118/F67)</f>
        <v>21.67937835946292</v>
      </c>
      <c r="G120" s="6">
        <f ca="1">IF(G149=0,5,G118/G67)</f>
        <v>10.769266980836479</v>
      </c>
      <c r="H120" s="6">
        <f ca="1">IF(H149=0,5,H118/H67)</f>
        <v>7.1374185292862649</v>
      </c>
      <c r="I120" s="6">
        <f ca="1">IF(I149=0,5,I118/I67)</f>
        <v>5.3215529089610065</v>
      </c>
      <c r="J120" s="6">
        <f ca="1">IF(J149=0,5,J118/J67)</f>
        <v>4.231919271663946</v>
      </c>
    </row>
    <row r="121" spans="1:10">
      <c r="A121" t="s">
        <v>458</v>
      </c>
      <c r="F121" s="145">
        <f ca="1">IF(F149=0,5,5*(F123/300)^0.5)</f>
        <v>6.75</v>
      </c>
      <c r="G121" s="145">
        <f ca="1">IF(G149=0,5,5*(G123/300)^0.5)</f>
        <v>6.762410879756299</v>
      </c>
      <c r="H121" s="145">
        <f ca="1">IF(H149=0,5,5*(H123/300)^0.5)</f>
        <v>6.762410879756299</v>
      </c>
      <c r="I121" s="145">
        <f ca="1">IF(I149=0,5,5*(I123/300)^0.5)</f>
        <v>6.762410879756299</v>
      </c>
      <c r="J121" s="145">
        <f ca="1">IF(J149=0,5,5*(J123/300)^0.5)</f>
        <v>6.7747988831350501</v>
      </c>
    </row>
    <row r="122" spans="1:10">
      <c r="A122" t="s">
        <v>466</v>
      </c>
      <c r="F122" s="145">
        <v>1.5</v>
      </c>
      <c r="G122" s="145">
        <v>1.5</v>
      </c>
      <c r="H122" s="145">
        <v>1.5</v>
      </c>
      <c r="I122" s="145">
        <v>1.5</v>
      </c>
      <c r="J122" s="145">
        <v>1.5</v>
      </c>
    </row>
    <row r="123" spans="1:10">
      <c r="A123" t="s">
        <v>356</v>
      </c>
      <c r="F123" s="4">
        <f ca="1">F53*F109+F121+2*F58+2*F122</f>
        <v>546.75</v>
      </c>
      <c r="G123" s="4">
        <f ca="1">G53*G109+G121+2*G58+2*G122</f>
        <v>548.76241087975632</v>
      </c>
      <c r="H123" s="4">
        <f ca="1">H53*H109+H121+2*H58+2*H122</f>
        <v>548.76241087975632</v>
      </c>
      <c r="I123" s="4">
        <f ca="1">I53*I109+I121+2*I58+2*I122</f>
        <v>548.76241087975632</v>
      </c>
      <c r="J123" s="4">
        <f ca="1">J53*J109+J121+2*J58+2*J122</f>
        <v>550.77479888313508</v>
      </c>
    </row>
    <row r="124" spans="1:10">
      <c r="A124" t="s">
        <v>357</v>
      </c>
      <c r="F124" s="4">
        <f ca="1">F54*F108+IF(F54=1,8,IF(F54=2,10,IF(F54=4,20)))+2*F58</f>
        <v>350.39866635790713</v>
      </c>
      <c r="G124" s="4">
        <f ca="1">G54*G108+IF(G54=1,8,IF(G54=2,10,IF(G54=4,20)))+2*G58</f>
        <v>392.37161146341697</v>
      </c>
      <c r="H124" s="4">
        <f ca="1">H54*H108+IF(H54=1,8,IF(H54=2,10,IF(H54=4,20)))+2*H58</f>
        <v>442.72128254848087</v>
      </c>
      <c r="I124" s="4">
        <f ca="1">I54*I108+IF(I54=1,8,IF(I54=2,10,IF(I54=4,20)))+2*I58</f>
        <v>488.04800148463795</v>
      </c>
      <c r="J124" s="4">
        <f ca="1">J54*J108+IF(J54=1,8,IF(J54=2,10,IF(J54=4,20)))+2*J58</f>
        <v>531.3627611292718</v>
      </c>
    </row>
    <row r="125" spans="1:10">
      <c r="A125" t="s">
        <v>358</v>
      </c>
      <c r="F125" s="4">
        <f ca="1">F110+2*F121+2*F58</f>
        <v>144.57641013765658</v>
      </c>
      <c r="G125" s="4">
        <f ca="1">G110+2*G121+2*G58</f>
        <v>161.97544155313449</v>
      </c>
      <c r="H125" s="4">
        <f ca="1">H110+2*H121+2*H58</f>
        <v>181.34069966277448</v>
      </c>
      <c r="I125" s="4">
        <f ca="1">I110+2*I121+2*I58</f>
        <v>198.77405309975796</v>
      </c>
      <c r="J125" s="4">
        <f ca="1">J110+2*J121+2*J58</f>
        <v>216.68912127752847</v>
      </c>
    </row>
    <row r="126" spans="1:10">
      <c r="A126" t="s">
        <v>19</v>
      </c>
      <c r="D126" s="3"/>
      <c r="F126" s="6">
        <f ca="1">F123*F124*F125/1000000</f>
        <v>27.69801672525486</v>
      </c>
      <c r="G126" s="6">
        <f ca="1">G123*G124*G125/1000000</f>
        <v>34.876356322625838</v>
      </c>
      <c r="H126" s="6">
        <f ca="1">H123*H124*H125/1000000</f>
        <v>44.056505076666276</v>
      </c>
      <c r="I126" s="6">
        <f ca="1">I123*I124*I125/1000000</f>
        <v>53.23614354540625</v>
      </c>
      <c r="J126" s="6">
        <f ca="1">J123*J124*J125/1000000</f>
        <v>63.416502137670605</v>
      </c>
    </row>
    <row r="127" spans="1:10">
      <c r="A127" t="s">
        <v>420</v>
      </c>
      <c r="F127" s="4">
        <f ca="1">(3/F102*F118*F103)*(F55-1)*1.2</f>
        <v>54.9924086631138</v>
      </c>
      <c r="G127" s="4">
        <f ca="1">(3/G102*G118*G103)*(G55-1)*1.2</f>
        <v>54.9924086631138</v>
      </c>
      <c r="H127" s="4">
        <f ca="1">(3/H102*H118*H103)*(H55-1)*1.2</f>
        <v>54.9924086631138</v>
      </c>
      <c r="I127" s="4">
        <f ca="1">(3/I102*I118*I103)*(I55-1)*1.2</f>
        <v>54.9924086631138</v>
      </c>
      <c r="J127" s="4">
        <f ca="1">(3/J102*J118*J103)*(J55-1)*1.2</f>
        <v>54.9924086631138</v>
      </c>
    </row>
    <row r="128" spans="1:10">
      <c r="A128" t="s">
        <v>421</v>
      </c>
      <c r="F128" s="4">
        <f ca="1">2*(3/F102*F118*F103)*1.2</f>
        <v>21.996963465245518</v>
      </c>
      <c r="G128" s="4">
        <f ca="1">2*(3/G102*G118*G103)*1.2</f>
        <v>21.996963465245518</v>
      </c>
      <c r="H128" s="4">
        <f ca="1">2*(3/H102*H118*H103)*1.2</f>
        <v>21.996963465245518</v>
      </c>
      <c r="I128" s="4">
        <f ca="1">2*(3/I102*I118*I103)*1.2</f>
        <v>21.996963465245518</v>
      </c>
      <c r="J128" s="4">
        <f ca="1">2*(3/J102*J118*J103)*1.2</f>
        <v>21.996963465245518</v>
      </c>
    </row>
    <row r="129" spans="1:15">
      <c r="A129" t="s">
        <v>467</v>
      </c>
      <c r="F129" s="4">
        <f ca="1">2*F122*(F124-2*F58)*(F125-2*F58)/1000*7.8</f>
        <v>920.92991943783034</v>
      </c>
      <c r="G129" s="4">
        <f ca="1">2*G122*(G124-2*G58)*(G125-2*G58)/1000*7.8</f>
        <v>1165.7304744057544</v>
      </c>
      <c r="H129" s="4">
        <f ca="1">2*H122*(H124-2*H58)*(H125-2*H58)/1000*7.8</f>
        <v>1514.7703489335242</v>
      </c>
      <c r="I129" s="4">
        <f ca="1">2*I122*(I124-2*I58)*(I125-2*I58)/1000*7.8</f>
        <v>1868.0197990695667</v>
      </c>
      <c r="J129" s="4">
        <f ca="1">2*J122*(J124-2*J58)*(J125-2*J58)/1000*7.8</f>
        <v>2222.5104037027181</v>
      </c>
    </row>
    <row r="130" spans="1:15">
      <c r="A130" t="s">
        <v>427</v>
      </c>
      <c r="D130" s="3"/>
      <c r="F130" s="237">
        <f ca="1">(F55-1)*2*(3/F118*F103)</f>
        <v>1.4598378567449056E-4</v>
      </c>
      <c r="G130" s="237">
        <f ca="1">(G55-1)*2*(3/G118*G103)</f>
        <v>1.4598378567449056E-4</v>
      </c>
      <c r="H130" s="237">
        <f ca="1">(H55-1)*2*(3/H118*H103)</f>
        <v>1.4598378567449056E-4</v>
      </c>
      <c r="I130" s="237">
        <f ca="1">(I55-1)*2*(3/I118*I103)</f>
        <v>1.4598378567449056E-4</v>
      </c>
      <c r="J130" s="237">
        <f ca="1">(J55-1)*2*(3/J118*J103)</f>
        <v>1.4598378567449056E-4</v>
      </c>
    </row>
    <row r="131" spans="1:15">
      <c r="A131" t="s">
        <v>428</v>
      </c>
      <c r="D131" s="3"/>
      <c r="F131" s="237">
        <f ca="1">2*(3/F118*F103)</f>
        <v>2.9196757134898108E-5</v>
      </c>
      <c r="G131" s="237">
        <f ca="1">2*(3/G118*G103)</f>
        <v>2.9196757134898108E-5</v>
      </c>
      <c r="H131" s="237">
        <f ca="1">2*(3/H118*H103)</f>
        <v>2.9196757134898108E-5</v>
      </c>
      <c r="I131" s="237">
        <f ca="1">2*(3/I118*I103)</f>
        <v>2.9196757134898108E-5</v>
      </c>
      <c r="J131" s="237">
        <f ca="1">2*(3/J118*J103)</f>
        <v>2.9196757134898108E-5</v>
      </c>
    </row>
    <row r="132" spans="1:15" ht="14.25">
      <c r="A132" t="s">
        <v>361</v>
      </c>
      <c r="F132" s="3">
        <f ca="1">F57/10*0.032+(F58-F57)/10*2.7</f>
        <v>0.57200000000000006</v>
      </c>
      <c r="G132" s="3">
        <f ca="1">G57/10*0.032+(G58-G57)/10*2.7</f>
        <v>0.84200000000000008</v>
      </c>
      <c r="H132" s="3">
        <f ca="1">H57/10*0.032+(H58-H57)/10*2.7</f>
        <v>0.84200000000000008</v>
      </c>
      <c r="I132" s="3">
        <f ca="1">I57/10*0.032+(I58-I57)/10*2.7</f>
        <v>0.84200000000000008</v>
      </c>
      <c r="J132" s="3">
        <f ca="1">J57/10*0.032+(J58-J57)/10*2.7</f>
        <v>1.1120000000000001</v>
      </c>
    </row>
    <row r="133" spans="1:15">
      <c r="A133" t="s">
        <v>460</v>
      </c>
      <c r="F133" s="21">
        <f ca="1">F134-F112*F55</f>
        <v>4.3923686644137447</v>
      </c>
      <c r="G133" s="21">
        <f ca="1">G134-G112*G55</f>
        <v>6.9613404114658124</v>
      </c>
      <c r="H133" s="21">
        <f ca="1">H134-H112*H55</f>
        <v>8.2058164110892164</v>
      </c>
      <c r="I133" s="21">
        <f ca="1">I134-I112*I55</f>
        <v>9.3932605038828711</v>
      </c>
      <c r="J133" s="21">
        <f ca="1">J134-J112*J55</f>
        <v>13.227557629288412</v>
      </c>
    </row>
    <row r="134" spans="1:15">
      <c r="A134" t="s">
        <v>18</v>
      </c>
      <c r="D134" s="3"/>
      <c r="F134" s="111">
        <f ca="1">F55*F112+(2*(F123-F58)*(F124-F58)+2*(F123-F58)*(F125-F58)+2*(F124-F58)*(F125-F58))/100*F132/1000+F127/1000+F128/1000+F129/1000</f>
        <v>42.321152061886941</v>
      </c>
      <c r="G134" s="111">
        <f ca="1">G55*G112+(2*(G123-G58)*(G124-G58)+2*(G123-G58)*(G125-G58)+2*(G124-G58)*(G125-G58))/100*G132/1000+G127/1000+G128/1000+G129/1000</f>
        <v>53.41322381269562</v>
      </c>
      <c r="H134" s="111">
        <f ca="1">H55*H112+(2*(H123-H58)*(H124-H58)+2*(H123-H58)*(H125-H58)+2*(H124-H58)*(H125-H58))/100*H132/1000+H127/1000+H128/1000+H129/1000</f>
        <v>69.29045826319566</v>
      </c>
      <c r="I134" s="111">
        <f ca="1">I55*I112+(2*(I123-I58)*(I124-I58)+2*(I123-I58)*(I125-I58)+2*(I124-I58)*(I125-I58))/100*I132/1000+I127/1000+I128/1000+I129/1000</f>
        <v>85.679590579112897</v>
      </c>
      <c r="J134" s="111">
        <f ca="1">J55*J112+(2*(J123-J58)*(J124-J58)+2*(J123-J58)*(J125-J58)+2*(J124-J58)*(J125-J58))/100*J132/1000+J127/1000+J128/1000+J129/1000</f>
        <v>104.98622067065907</v>
      </c>
    </row>
    <row r="135" spans="1:15" ht="15.75">
      <c r="A135" s="19" t="s">
        <v>238</v>
      </c>
      <c r="D135" s="3"/>
      <c r="F135" s="6"/>
      <c r="G135" s="6"/>
      <c r="H135" s="6"/>
      <c r="I135" s="6"/>
      <c r="J135" s="6"/>
    </row>
    <row r="136" spans="1:15">
      <c r="A136" s="7" t="s">
        <v>239</v>
      </c>
      <c r="B136" s="7"/>
      <c r="C136" s="7"/>
      <c r="D136" s="9"/>
      <c r="E136" s="7"/>
      <c r="F136" s="158">
        <v>250</v>
      </c>
      <c r="G136" s="158">
        <v>250</v>
      </c>
      <c r="H136" s="158">
        <v>250</v>
      </c>
      <c r="I136" s="158">
        <v>250</v>
      </c>
      <c r="J136" s="158">
        <v>250</v>
      </c>
    </row>
    <row r="137" spans="1:15">
      <c r="A137" s="7" t="s">
        <v>240</v>
      </c>
      <c r="B137" s="7"/>
      <c r="C137" s="7"/>
      <c r="D137" s="9"/>
      <c r="E137" s="7"/>
      <c r="F137" s="176">
        <f>'System Selection'!$E60</f>
        <v>70</v>
      </c>
      <c r="G137" s="176">
        <f>'System Selection'!$E60</f>
        <v>70</v>
      </c>
      <c r="H137" s="176">
        <f>'System Selection'!$E60</f>
        <v>70</v>
      </c>
      <c r="I137" s="176">
        <f>'System Selection'!$E60</f>
        <v>70</v>
      </c>
      <c r="J137" s="176">
        <f>'System Selection'!$E60</f>
        <v>70</v>
      </c>
    </row>
    <row r="138" spans="1:15" s="7" customFormat="1">
      <c r="A138" s="7" t="s">
        <v>265</v>
      </c>
      <c r="B138"/>
      <c r="C138"/>
      <c r="D138"/>
      <c r="E138"/>
      <c r="F138" s="21">
        <f ca="1">F114*F137/100/F136*1000</f>
        <v>10.000000000003736</v>
      </c>
      <c r="G138" s="21">
        <f ca="1">G114*G137/100/G136*1000</f>
        <v>20.000000000000046</v>
      </c>
      <c r="H138" s="21">
        <f ca="1">H114*H137/100/H136*1000</f>
        <v>29.99999999999995</v>
      </c>
      <c r="I138" s="21">
        <f ca="1">I114*I137/100/I136*1000</f>
        <v>39.999999999999957</v>
      </c>
      <c r="J138" s="21">
        <f ca="1">J114*J137/100/J136*1000</f>
        <v>49.999999999999957</v>
      </c>
      <c r="K138" s="115"/>
    </row>
    <row r="139" spans="1:15" s="7" customFormat="1" ht="15.75">
      <c r="A139" s="19" t="s">
        <v>413</v>
      </c>
      <c r="B139"/>
      <c r="C139"/>
      <c r="D139"/>
      <c r="E139"/>
      <c r="F139" s="204"/>
      <c r="G139" s="204"/>
      <c r="H139" s="204"/>
      <c r="I139" s="204"/>
      <c r="J139" s="204"/>
      <c r="K139" s="115"/>
    </row>
    <row r="140" spans="1:15" s="7" customFormat="1">
      <c r="A140" s="63" t="s">
        <v>418</v>
      </c>
      <c r="B140" s="47"/>
      <c r="C140" s="47"/>
      <c r="F140" s="204"/>
      <c r="G140" s="204"/>
      <c r="H140" s="204"/>
      <c r="I140" s="204"/>
      <c r="J140" s="204"/>
      <c r="K140" s="115"/>
    </row>
    <row r="141" spans="1:15" s="7" customFormat="1">
      <c r="A141" s="63" t="s">
        <v>430</v>
      </c>
      <c r="B141" s="47"/>
      <c r="C141" s="47"/>
      <c r="F141" s="244"/>
      <c r="G141" s="244"/>
      <c r="H141" s="244"/>
      <c r="I141" s="244"/>
      <c r="J141" s="244"/>
    </row>
    <row r="142" spans="1:15">
      <c r="A142" s="5" t="s">
        <v>431</v>
      </c>
      <c r="B142" s="7"/>
      <c r="C142" s="7"/>
      <c r="D142" s="7"/>
      <c r="E142" s="8"/>
      <c r="F142" s="245"/>
      <c r="G142" s="245"/>
      <c r="H142" s="245"/>
      <c r="I142" s="245"/>
      <c r="J142" s="245"/>
      <c r="K142" s="7"/>
    </row>
    <row r="143" spans="1:15">
      <c r="A143" s="5" t="s">
        <v>432</v>
      </c>
      <c r="B143" s="7"/>
      <c r="C143" s="7"/>
      <c r="D143" s="7"/>
      <c r="E143" s="7"/>
      <c r="F143" s="246">
        <v>10</v>
      </c>
      <c r="G143" s="246">
        <v>20</v>
      </c>
      <c r="H143" s="246">
        <v>30</v>
      </c>
      <c r="I143" s="246">
        <v>40</v>
      </c>
      <c r="J143" s="246">
        <v>50</v>
      </c>
      <c r="K143" s="7"/>
      <c r="M143" s="266"/>
      <c r="N143" s="266"/>
      <c r="O143" s="115"/>
    </row>
    <row r="144" spans="1:15">
      <c r="A144" s="7" t="s">
        <v>22</v>
      </c>
      <c r="F144" s="71">
        <f ca="1">IF(F149=0,20,IF(F141&gt;0,F141,IF(F142&gt;0,IF(F114=F142,F145,F145-F148*(F114-F142)),IF(F138=F143,F145,F145-F148*(F138-F143)))))</f>
        <v>10.148282145201604</v>
      </c>
      <c r="G144" s="71">
        <f ca="1">IF(G149=0,20,IF(G141&gt;0,G141,IF(G142&gt;0,IF(G114=G142,G145,G145-G148*(G114-G142)),IF(G138=G143,G145,G145-G148*(G138-G143)))))</f>
        <v>20.429287222232745</v>
      </c>
      <c r="H144" s="71">
        <f ca="1">IF(H149=0,20,IF(H141&gt;0,H141,IF(H142&gt;0,IF(H114=H142,H145,H145-H148*(H114-H142)),IF(H138=H143,H145,H145-H148*(H138-H143)))))</f>
        <v>30.824652837952087</v>
      </c>
      <c r="I144" s="71">
        <f ca="1">IF(I149=0,20,IF(I141&gt;0,I141,IF(I142&gt;0,IF(I114=I142,I145,I145-I148*(I114-I142)),IF(I138=I143,I145,I145-I148*(I138-I143)))))</f>
        <v>41.342903488555315</v>
      </c>
      <c r="J144" s="71">
        <f ca="1">IF(J149=0,20,IF(J141&gt;0,J141,IF(J142&gt;0,IF(J114=J142,J145,J145-J148*(J114-J142)),IF(J138=J143,J145,J145-J148*(J138-J143)))))</f>
        <v>51.987865127188655</v>
      </c>
      <c r="K144" s="212"/>
    </row>
    <row r="145" spans="1:10">
      <c r="A145" s="7" t="s">
        <v>331</v>
      </c>
      <c r="F145" s="71">
        <f ca="1">F144</f>
        <v>10.148282145201604</v>
      </c>
      <c r="G145" s="71">
        <f ca="1">G144</f>
        <v>20.429287222232745</v>
      </c>
      <c r="H145" s="71">
        <f ca="1">H144</f>
        <v>30.824652837952087</v>
      </c>
      <c r="I145" s="71">
        <f ca="1">I144</f>
        <v>41.342903488555315</v>
      </c>
      <c r="J145" s="71">
        <f ca="1">J144</f>
        <v>51.987865127188655</v>
      </c>
    </row>
    <row r="146" spans="1:10">
      <c r="A146" s="7" t="s">
        <v>333</v>
      </c>
      <c r="F146" s="6">
        <f ca="1">IF(F149=0,200,IF(F83=F147,F147,F147+F148*(F83-F147)))</f>
        <v>16.447199196484398</v>
      </c>
      <c r="G146" s="6">
        <f ca="1">IF(G149=0,200,IF(G83=G147,G147,G147+G148*(G83-G147)))</f>
        <v>51.129572605168548</v>
      </c>
      <c r="H146" s="6">
        <f ca="1">IF(H149=0,200,IF(H83=H147,H147,H147+H148*(H83-H147)))</f>
        <v>82.0042821105055</v>
      </c>
      <c r="I146" s="6">
        <f ca="1">IF(I149=0,200,IF(I83=I147,I147,I147+I148*(I83-I147)))</f>
        <v>112.62407065764056</v>
      </c>
      <c r="J146" s="6">
        <f ca="1">IF(J149=0,200,IF(J83=J147,J147,J147+J148*(J83-J147)))</f>
        <v>143.18603933106451</v>
      </c>
    </row>
    <row r="147" spans="1:10">
      <c r="A147" s="7" t="s">
        <v>334</v>
      </c>
      <c r="F147" s="6">
        <f ca="1">F146</f>
        <v>16.447199196484398</v>
      </c>
      <c r="G147" s="6">
        <f ca="1">G146</f>
        <v>51.129572605168548</v>
      </c>
      <c r="H147" s="6">
        <f ca="1">H146</f>
        <v>82.0042821105055</v>
      </c>
      <c r="I147" s="6">
        <f ca="1">I146</f>
        <v>112.62407065764056</v>
      </c>
      <c r="J147" s="6">
        <f ca="1">J146</f>
        <v>143.18603933106451</v>
      </c>
    </row>
    <row r="148" spans="1:10">
      <c r="A148" s="7" t="s">
        <v>332</v>
      </c>
      <c r="F148" s="6">
        <v>0.1</v>
      </c>
      <c r="G148" s="6">
        <v>0.1</v>
      </c>
      <c r="H148" s="6">
        <v>0.1</v>
      </c>
      <c r="I148" s="6">
        <v>0.1</v>
      </c>
      <c r="J148" s="6">
        <v>0.1</v>
      </c>
    </row>
    <row r="149" spans="1:10">
      <c r="A149" s="7"/>
      <c r="E149" s="5" t="s">
        <v>434</v>
      </c>
      <c r="F149" s="8">
        <v>1</v>
      </c>
      <c r="G149" s="8">
        <f>F149</f>
        <v>1</v>
      </c>
      <c r="H149" s="8">
        <f>G149</f>
        <v>1</v>
      </c>
      <c r="I149" s="8">
        <f>H149</f>
        <v>1</v>
      </c>
      <c r="J149" s="8">
        <f>I149</f>
        <v>1</v>
      </c>
    </row>
    <row r="151" spans="1:10">
      <c r="E151" s="232" t="s">
        <v>416</v>
      </c>
    </row>
    <row r="152" spans="1:10">
      <c r="E152" s="25" t="s">
        <v>265</v>
      </c>
      <c r="F152" s="4">
        <f ca="1">F138</f>
        <v>10.000000000003736</v>
      </c>
      <c r="G152" s="4">
        <f ca="1">G138</f>
        <v>20.000000000000046</v>
      </c>
      <c r="H152" s="4">
        <f ca="1">H138</f>
        <v>29.99999999999995</v>
      </c>
      <c r="I152" s="4">
        <f ca="1">I138</f>
        <v>39.999999999999957</v>
      </c>
      <c r="J152" s="4">
        <f ca="1">J138</f>
        <v>49.999999999999957</v>
      </c>
    </row>
    <row r="153" spans="1:10">
      <c r="E153" s="159" t="s">
        <v>457</v>
      </c>
      <c r="F153" s="4">
        <f>F52</f>
        <v>1</v>
      </c>
      <c r="G153" s="4">
        <f>G52</f>
        <v>1</v>
      </c>
      <c r="H153" s="4">
        <f>H52</f>
        <v>1</v>
      </c>
      <c r="I153" s="4">
        <f>I52</f>
        <v>1</v>
      </c>
      <c r="J153" s="4">
        <f>J52</f>
        <v>1</v>
      </c>
    </row>
    <row r="154" spans="1:10">
      <c r="E154" s="159" t="s">
        <v>306</v>
      </c>
      <c r="F154" s="4">
        <f ca="1">F126</f>
        <v>27.69801672525486</v>
      </c>
      <c r="G154" s="4">
        <f ca="1">G126</f>
        <v>34.876356322625838</v>
      </c>
      <c r="H154" s="4">
        <f ca="1">H126</f>
        <v>44.056505076666276</v>
      </c>
      <c r="I154" s="4">
        <f ca="1">I126</f>
        <v>53.23614354540625</v>
      </c>
      <c r="J154" s="4">
        <f ca="1">J126</f>
        <v>63.416502137670605</v>
      </c>
    </row>
    <row r="155" spans="1:10">
      <c r="E155" s="159" t="s">
        <v>305</v>
      </c>
      <c r="F155" s="4">
        <f ca="1">F134</f>
        <v>42.321152061886941</v>
      </c>
      <c r="G155" s="4">
        <f ca="1">G134</f>
        <v>53.41322381269562</v>
      </c>
      <c r="H155" s="4">
        <f ca="1">H134</f>
        <v>69.29045826319566</v>
      </c>
      <c r="I155" s="4">
        <f ca="1">I134</f>
        <v>85.679590579112897</v>
      </c>
      <c r="J155" s="4">
        <f ca="1">J134</f>
        <v>104.98622067065907</v>
      </c>
    </row>
    <row r="156" spans="1:10">
      <c r="E156" s="159" t="s">
        <v>438</v>
      </c>
      <c r="F156" s="4">
        <f ca="1">'Summary of Results'!F59</f>
        <v>2437.582966498454</v>
      </c>
      <c r="G156" s="4">
        <f ca="1">'Summary of Results'!G59</f>
        <v>2602.8642143865945</v>
      </c>
      <c r="H156" s="4">
        <f ca="1">'Summary of Results'!H59</f>
        <v>3037.8110201051813</v>
      </c>
      <c r="I156" s="4">
        <f ca="1">'Summary of Results'!I59</f>
        <v>3488.1954862483999</v>
      </c>
      <c r="J156" s="4">
        <f ca="1">'Summary of Results'!J59</f>
        <v>3962.2027481771283</v>
      </c>
    </row>
    <row r="157" spans="1:10">
      <c r="E157" s="159"/>
      <c r="F157" s="21"/>
      <c r="G157" s="21"/>
      <c r="H157" s="21"/>
      <c r="I157" s="21"/>
      <c r="J157" s="21"/>
    </row>
    <row r="158" spans="1:10">
      <c r="E158" s="159"/>
      <c r="F158" s="21"/>
      <c r="G158" s="21"/>
      <c r="H158" s="21"/>
      <c r="I158" s="21"/>
      <c r="J158" s="21"/>
    </row>
    <row r="159" spans="1:10">
      <c r="E159" s="159"/>
      <c r="F159" s="21"/>
      <c r="G159" s="21"/>
      <c r="H159" s="21"/>
      <c r="I159" s="21"/>
      <c r="J159" s="21"/>
    </row>
    <row r="160" spans="1:10">
      <c r="E160" s="159"/>
      <c r="F160" s="21"/>
      <c r="G160" s="21"/>
      <c r="H160" s="21"/>
      <c r="I160" s="21"/>
      <c r="J160" s="21"/>
    </row>
    <row r="161" spans="3:10">
      <c r="E161" s="159"/>
      <c r="F161" s="6"/>
      <c r="G161" s="6"/>
      <c r="H161" s="6"/>
      <c r="I161" s="6"/>
      <c r="J161" s="6"/>
    </row>
    <row r="162" spans="3:10">
      <c r="E162" s="159"/>
      <c r="F162" s="6"/>
      <c r="G162" s="6"/>
      <c r="H162" s="6"/>
      <c r="I162" s="6"/>
      <c r="J162" s="6"/>
    </row>
    <row r="163" spans="3:10">
      <c r="E163" s="159"/>
      <c r="F163" s="247"/>
      <c r="G163" s="247"/>
      <c r="H163" s="247"/>
      <c r="I163" s="247"/>
      <c r="J163" s="247"/>
    </row>
    <row r="164" spans="3:10">
      <c r="E164" s="159"/>
      <c r="F164" s="21"/>
      <c r="G164" s="21"/>
      <c r="H164" s="21"/>
      <c r="I164" s="21"/>
      <c r="J164" s="21"/>
    </row>
    <row r="165" spans="3:10">
      <c r="E165" s="159"/>
      <c r="F165" s="6"/>
      <c r="G165" s="6"/>
      <c r="H165" s="6"/>
      <c r="I165" s="6"/>
      <c r="J165" s="6"/>
    </row>
    <row r="166" spans="3:10">
      <c r="E166" s="159"/>
      <c r="F166" s="21"/>
      <c r="G166" s="21"/>
      <c r="H166" s="21"/>
      <c r="I166" s="21"/>
      <c r="J166" s="21"/>
    </row>
    <row r="167" spans="3:10">
      <c r="D167" s="159"/>
      <c r="E167" s="159"/>
      <c r="F167" s="6"/>
      <c r="G167" s="6"/>
      <c r="H167" s="6"/>
      <c r="I167" s="6"/>
      <c r="J167" s="6"/>
    </row>
    <row r="168" spans="3:10">
      <c r="F168" s="146"/>
      <c r="G168" s="146"/>
      <c r="H168" s="146"/>
      <c r="I168" s="146"/>
      <c r="J168" s="146"/>
    </row>
    <row r="169" spans="3:10">
      <c r="F169" s="146"/>
      <c r="G169" s="146"/>
      <c r="H169" s="146"/>
      <c r="I169" s="146"/>
      <c r="J169" s="146"/>
    </row>
    <row r="170" spans="3:10">
      <c r="F170" s="202"/>
      <c r="G170" s="202"/>
      <c r="H170" s="202"/>
      <c r="I170" s="202"/>
      <c r="J170" s="202"/>
    </row>
    <row r="174" spans="3:10">
      <c r="C174" s="271"/>
      <c r="D174" s="271"/>
      <c r="E174" s="271"/>
      <c r="F174" s="271"/>
      <c r="J174" s="3"/>
    </row>
    <row r="175" spans="3:10">
      <c r="C175" s="3"/>
      <c r="D175" s="3"/>
      <c r="E175" s="3"/>
      <c r="F175" s="3"/>
      <c r="J175" s="3"/>
    </row>
    <row r="177" spans="2:10">
      <c r="B177" s="202"/>
    </row>
    <row r="178" spans="2:10">
      <c r="B178" s="146"/>
      <c r="C178" s="146"/>
      <c r="D178" s="146"/>
      <c r="E178" s="146"/>
      <c r="F178" s="146"/>
      <c r="J178" s="146"/>
    </row>
    <row r="179" spans="2:10">
      <c r="B179" s="202"/>
      <c r="C179" s="146"/>
      <c r="D179" s="146"/>
      <c r="E179" s="146"/>
      <c r="F179" s="146"/>
      <c r="J179" s="146"/>
    </row>
    <row r="180" spans="2:10">
      <c r="B180" s="202"/>
      <c r="C180" s="202"/>
      <c r="D180" s="202"/>
      <c r="E180" s="202"/>
      <c r="F180" s="202"/>
      <c r="J180" s="146"/>
    </row>
    <row r="181" spans="2:10">
      <c r="B181" s="146"/>
      <c r="C181" s="146"/>
      <c r="D181" s="146"/>
      <c r="E181" s="146"/>
      <c r="F181" s="146"/>
      <c r="J181" s="146"/>
    </row>
    <row r="182" spans="2:10">
      <c r="B182" s="146"/>
      <c r="C182" s="146"/>
      <c r="D182" s="146"/>
      <c r="E182" s="146"/>
      <c r="F182" s="146"/>
      <c r="J182" s="146"/>
    </row>
    <row r="183" spans="2:10">
      <c r="B183" s="139"/>
      <c r="C183" s="146"/>
      <c r="D183" s="146"/>
      <c r="E183" s="146"/>
      <c r="F183" s="146"/>
      <c r="J183" s="146"/>
    </row>
    <row r="184" spans="2:10">
      <c r="B184" s="146"/>
      <c r="C184" s="146"/>
      <c r="D184" s="146"/>
      <c r="E184" s="146"/>
      <c r="F184" s="146"/>
      <c r="J184" s="146"/>
    </row>
    <row r="185" spans="2:10">
      <c r="B185" s="146"/>
      <c r="C185" s="146"/>
      <c r="D185" s="146"/>
      <c r="E185" s="146"/>
      <c r="F185" s="146"/>
      <c r="J185" s="146"/>
    </row>
    <row r="186" spans="2:10">
      <c r="B186" s="202"/>
      <c r="C186" s="202"/>
      <c r="D186" s="202"/>
      <c r="E186" s="202"/>
      <c r="F186" s="202"/>
      <c r="J186" s="202"/>
    </row>
  </sheetData>
  <mergeCells count="8">
    <mergeCell ref="L62:T62"/>
    <mergeCell ref="L63:T63"/>
    <mergeCell ref="A1:J1"/>
    <mergeCell ref="A2:J2"/>
    <mergeCell ref="A62:J62"/>
    <mergeCell ref="C174:D174"/>
    <mergeCell ref="E174:F174"/>
    <mergeCell ref="A63:J63"/>
  </mergeCells>
  <phoneticPr fontId="5" type="noConversion"/>
  <pageMargins left="0.5" right="0.5" top="0.75" bottom="0.5" header="0.5" footer="0.5"/>
  <pageSetup scale="74" orientation="portrait" verticalDpi="300" r:id="rId1"/>
  <headerFooter alignWithMargins="0">
    <oddFooter>&amp;C &amp;P&amp;R&amp;D</oddFooter>
  </headerFooter>
  <rowBreaks count="2" manualBreakCount="2">
    <brk id="61" max="9" man="1"/>
    <brk id="134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O82"/>
  <sheetViews>
    <sheetView zoomScaleNormal="100" workbookViewId="0">
      <selection activeCell="K2" sqref="K2"/>
    </sheetView>
  </sheetViews>
  <sheetFormatPr defaultRowHeight="12.75"/>
  <cols>
    <col min="1" max="1" width="9" customWidth="1"/>
    <col min="2" max="2" width="8.42578125" customWidth="1"/>
    <col min="3" max="3" width="8.5703125" customWidth="1"/>
    <col min="4" max="4" width="9.7109375" customWidth="1"/>
    <col min="5" max="5" width="7.7109375" customWidth="1"/>
    <col min="6" max="20" width="10.7109375" customWidth="1"/>
  </cols>
  <sheetData>
    <row r="1" spans="1:10" ht="15.75">
      <c r="A1" s="269" t="s">
        <v>205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5.75">
      <c r="A2" s="272" t="str">
        <f>'Battery Design'!A2:J2</f>
        <v>LiNi0.80Co0.15Al0.05O2-Graphite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0">
      <c r="A3" s="60"/>
      <c r="B3" s="60"/>
      <c r="C3" s="60"/>
      <c r="D3" s="60"/>
      <c r="E3" s="60"/>
      <c r="F3" s="61" t="s">
        <v>2</v>
      </c>
      <c r="G3" s="61" t="s">
        <v>3</v>
      </c>
      <c r="H3" s="61" t="s">
        <v>4</v>
      </c>
      <c r="I3" s="61" t="s">
        <v>5</v>
      </c>
      <c r="J3" s="61" t="s">
        <v>6</v>
      </c>
    </row>
    <row r="4" spans="1:10" ht="15.75">
      <c r="A4" s="19" t="s">
        <v>44</v>
      </c>
      <c r="F4" s="3"/>
      <c r="G4" s="3"/>
      <c r="H4" s="3"/>
      <c r="I4" s="3"/>
      <c r="J4" s="57"/>
    </row>
    <row r="5" spans="1:10">
      <c r="A5" t="s">
        <v>46</v>
      </c>
      <c r="F5" s="136">
        <f ca="1">'Battery Design'!F114</f>
        <v>3.5714285714299057</v>
      </c>
      <c r="G5" s="136">
        <f ca="1">'Battery Design'!G114</f>
        <v>7.1428571428571601</v>
      </c>
      <c r="H5" s="136">
        <f ca="1">'Battery Design'!H114</f>
        <v>10.714285714285696</v>
      </c>
      <c r="I5" s="136">
        <f ca="1">'Battery Design'!I114</f>
        <v>14.28571428571427</v>
      </c>
      <c r="J5" s="136">
        <f ca="1">'Battery Design'!J114</f>
        <v>17.85714285714284</v>
      </c>
    </row>
    <row r="6" spans="1:10">
      <c r="A6" t="s">
        <v>326</v>
      </c>
      <c r="F6" s="136">
        <f ca="1">+('Battery Design'!F116^2/'Battery Design'!F56*'Battery Design'!F45/100*(100-'Battery Design'!F45)/100)/('Battery Design'!F78/'Battery Design'!F88)/1000</f>
        <v>59.999999999999993</v>
      </c>
      <c r="G6" s="136">
        <f ca="1">+('Battery Design'!G116^2/'Battery Design'!G56*'Battery Design'!G45/100*(100-'Battery Design'!G45)/100)/('Battery Design'!G78/'Battery Design'!G88)/1000</f>
        <v>59.999999999999993</v>
      </c>
      <c r="H6" s="136">
        <f ca="1">+('Battery Design'!H116^2/'Battery Design'!H56*'Battery Design'!H45/100*(100-'Battery Design'!H45)/100)/('Battery Design'!H78/'Battery Design'!H88)/1000</f>
        <v>60.000000000000007</v>
      </c>
      <c r="I6" s="136">
        <f ca="1">+('Battery Design'!I116^2/'Battery Design'!I56*'Battery Design'!I45/100*(100-'Battery Design'!I45)/100)/('Battery Design'!I78/'Battery Design'!I88)/1000</f>
        <v>59.999999999999972</v>
      </c>
      <c r="J6" s="136">
        <f ca="1">+('Battery Design'!J116^2/'Battery Design'!J56*'Battery Design'!J45/100*(100-'Battery Design'!J45)/100)/('Battery Design'!J78/'Battery Design'!J88)/1000</f>
        <v>59.999999999999993</v>
      </c>
    </row>
    <row r="7" spans="1:10">
      <c r="A7" t="s">
        <v>325</v>
      </c>
      <c r="F7" s="136">
        <f>'Battery Design'!F50</f>
        <v>60</v>
      </c>
      <c r="G7" s="136">
        <f>'Battery Design'!G50</f>
        <v>60</v>
      </c>
      <c r="H7" s="136">
        <f>'Battery Design'!H50</f>
        <v>60</v>
      </c>
      <c r="I7" s="136">
        <f>'Battery Design'!I50</f>
        <v>60</v>
      </c>
      <c r="J7" s="136">
        <f>'Battery Design'!J50</f>
        <v>60</v>
      </c>
    </row>
    <row r="8" spans="1:10">
      <c r="A8" t="s">
        <v>236</v>
      </c>
      <c r="F8" s="137">
        <f ca="1">'Battery Design'!F67</f>
        <v>10.148282145201977</v>
      </c>
      <c r="G8" s="137">
        <f ca="1">'Battery Design'!G67</f>
        <v>20.429287222232745</v>
      </c>
      <c r="H8" s="137">
        <f ca="1">'Battery Design'!H67</f>
        <v>30.824652837952087</v>
      </c>
      <c r="I8" s="137">
        <f ca="1">'Battery Design'!I67</f>
        <v>41.342903488555315</v>
      </c>
      <c r="J8" s="137">
        <f ca="1">'Battery Design'!J67</f>
        <v>51.987865127188655</v>
      </c>
    </row>
    <row r="9" spans="1:10">
      <c r="A9" t="s">
        <v>237</v>
      </c>
      <c r="F9" s="137">
        <f>'Battery Design'!F56</f>
        <v>96</v>
      </c>
      <c r="G9" s="137">
        <f>'Battery Design'!G56</f>
        <v>96</v>
      </c>
      <c r="H9" s="137">
        <f>'Battery Design'!H56</f>
        <v>96</v>
      </c>
      <c r="I9" s="137">
        <f>'Battery Design'!I56</f>
        <v>96</v>
      </c>
      <c r="J9" s="137">
        <f>'Battery Design'!J56</f>
        <v>96</v>
      </c>
    </row>
    <row r="10" spans="1:10">
      <c r="A10" t="s">
        <v>18</v>
      </c>
      <c r="D10" s="3"/>
      <c r="F10" s="136">
        <f ca="1">'Battery Design'!F134</f>
        <v>42.321152061886941</v>
      </c>
      <c r="G10" s="136">
        <f ca="1">'Battery Design'!G134</f>
        <v>53.41322381269562</v>
      </c>
      <c r="H10" s="136">
        <f ca="1">'Battery Design'!H134</f>
        <v>69.29045826319566</v>
      </c>
      <c r="I10" s="136">
        <f ca="1">'Battery Design'!I134</f>
        <v>85.679590579112897</v>
      </c>
      <c r="J10" s="136">
        <f ca="1">'Battery Design'!J134</f>
        <v>104.98622067065907</v>
      </c>
    </row>
    <row r="11" spans="1:10">
      <c r="A11" t="s">
        <v>19</v>
      </c>
      <c r="D11" s="3"/>
      <c r="F11" s="136">
        <f ca="1">'Battery Design'!F126</f>
        <v>27.69801672525486</v>
      </c>
      <c r="G11" s="136">
        <f ca="1">'Battery Design'!G126</f>
        <v>34.876356322625838</v>
      </c>
      <c r="H11" s="136">
        <f ca="1">'Battery Design'!H126</f>
        <v>44.056505076666276</v>
      </c>
      <c r="I11" s="136">
        <f ca="1">'Battery Design'!I126</f>
        <v>53.23614354540625</v>
      </c>
      <c r="J11" s="136">
        <f ca="1">'Battery Design'!J126</f>
        <v>63.416502137670605</v>
      </c>
    </row>
    <row r="12" spans="1:10">
      <c r="A12" t="s">
        <v>241</v>
      </c>
      <c r="D12" s="3"/>
      <c r="F12" s="136">
        <f ca="1">'Battery Design'!F138</f>
        <v>10.000000000003736</v>
      </c>
      <c r="G12" s="136">
        <f ca="1">'Battery Design'!G138</f>
        <v>20.000000000000046</v>
      </c>
      <c r="H12" s="136">
        <f ca="1">'Battery Design'!H138</f>
        <v>29.99999999999995</v>
      </c>
      <c r="I12" s="136">
        <f ca="1">'Battery Design'!I138</f>
        <v>39.999999999999957</v>
      </c>
      <c r="J12" s="136">
        <f ca="1">'Battery Design'!J138</f>
        <v>49.999999999999957</v>
      </c>
    </row>
    <row r="13" spans="1:10" ht="15.75">
      <c r="A13" s="19" t="s">
        <v>100</v>
      </c>
      <c r="B13" s="5"/>
      <c r="C13" s="5"/>
      <c r="D13" s="76"/>
      <c r="E13" s="21"/>
      <c r="F13" s="76"/>
      <c r="G13" s="76"/>
      <c r="H13" s="76"/>
      <c r="I13" s="76"/>
      <c r="J13" s="76"/>
    </row>
    <row r="14" spans="1:10">
      <c r="A14" s="7" t="s">
        <v>200</v>
      </c>
      <c r="B14" s="7"/>
      <c r="C14" s="7"/>
      <c r="D14" s="76"/>
      <c r="E14" s="21"/>
      <c r="F14" s="76">
        <f ca="1">'Manufacturing Cost Calculations'!F234</f>
        <v>148.65543777854504</v>
      </c>
      <c r="G14" s="76">
        <f ca="1">'Manufacturing Cost Calculations'!G234</f>
        <v>156.86285034466059</v>
      </c>
      <c r="H14" s="76">
        <f ca="1">'Manufacturing Cost Calculations'!H234</f>
        <v>168.20138007247431</v>
      </c>
      <c r="I14" s="76">
        <f ca="1">'Manufacturing Cost Calculations'!I234</f>
        <v>178.17738955743704</v>
      </c>
      <c r="J14" s="76">
        <f ca="1">'Manufacturing Cost Calculations'!J234</f>
        <v>187.14964765675754</v>
      </c>
    </row>
    <row r="15" spans="1:10">
      <c r="A15" s="7" t="s">
        <v>208</v>
      </c>
      <c r="B15" s="7"/>
      <c r="C15" s="7"/>
      <c r="D15" s="76"/>
      <c r="E15" s="21"/>
      <c r="F15" s="76"/>
      <c r="G15" s="76"/>
      <c r="H15" s="76"/>
      <c r="I15" s="76"/>
      <c r="J15" s="76"/>
    </row>
    <row r="16" spans="1:10" ht="14.25">
      <c r="A16" s="7" t="s">
        <v>170</v>
      </c>
      <c r="B16" s="7"/>
      <c r="C16" s="7"/>
      <c r="D16" s="76"/>
      <c r="E16" s="21"/>
      <c r="F16" s="76">
        <f ca="1">'Manufacturing Cost Calculations'!F235</f>
        <v>12128.134887968561</v>
      </c>
      <c r="G16" s="76">
        <f ca="1">'Manufacturing Cost Calculations'!G235</f>
        <v>12208.852341849235</v>
      </c>
      <c r="H16" s="76">
        <f ca="1">'Manufacturing Cost Calculations'!H235</f>
        <v>12884.955895218525</v>
      </c>
      <c r="I16" s="76">
        <f ca="1">'Manufacturing Cost Calculations'!I235</f>
        <v>13509.591644378579</v>
      </c>
      <c r="J16" s="76">
        <f ca="1">'Manufacturing Cost Calculations'!J235</f>
        <v>14081.045772876778</v>
      </c>
    </row>
    <row r="17" spans="1:10" ht="14.25">
      <c r="A17" s="7" t="s">
        <v>199</v>
      </c>
      <c r="B17" s="7"/>
      <c r="C17" s="7"/>
      <c r="D17" s="76"/>
      <c r="E17" s="21"/>
      <c r="F17" s="76">
        <f>'Cost Input'!$F42</f>
        <v>1500</v>
      </c>
      <c r="G17" s="76">
        <f>'Cost Input'!$F42</f>
        <v>1500</v>
      </c>
      <c r="H17" s="76">
        <f>'Cost Input'!$F42</f>
        <v>1500</v>
      </c>
      <c r="I17" s="76">
        <f>'Cost Input'!$F42</f>
        <v>1500</v>
      </c>
      <c r="J17" s="76">
        <f>'Cost Input'!$F42</f>
        <v>1500</v>
      </c>
    </row>
    <row r="18" spans="1:10">
      <c r="A18" s="7" t="s">
        <v>209</v>
      </c>
      <c r="B18" s="7"/>
      <c r="C18" s="7"/>
      <c r="D18" s="76"/>
      <c r="E18" s="21"/>
      <c r="F18" s="76">
        <f ca="1">F16*F17/1000000</f>
        <v>18.192202331952839</v>
      </c>
      <c r="G18" s="76">
        <f ca="1">G16*G17/1000000</f>
        <v>18.313278512773852</v>
      </c>
      <c r="H18" s="76">
        <f ca="1">H16*H17/1000000</f>
        <v>19.327433842827791</v>
      </c>
      <c r="I18" s="76">
        <f ca="1">I16*I17/1000000</f>
        <v>20.264387466567872</v>
      </c>
      <c r="J18" s="76">
        <f ca="1">J16*J17/1000000</f>
        <v>21.121568659315166</v>
      </c>
    </row>
    <row r="19" spans="1:10">
      <c r="A19" s="7" t="s">
        <v>171</v>
      </c>
      <c r="B19" s="7"/>
      <c r="C19" s="7"/>
      <c r="D19" s="76"/>
      <c r="E19" s="21"/>
      <c r="F19" s="76"/>
      <c r="G19" s="76"/>
      <c r="H19" s="76"/>
      <c r="I19" s="76"/>
      <c r="J19" s="76"/>
    </row>
    <row r="20" spans="1:10">
      <c r="A20" s="7" t="s">
        <v>172</v>
      </c>
      <c r="B20" s="7"/>
      <c r="C20" s="7"/>
      <c r="D20" s="76"/>
      <c r="E20" s="21"/>
      <c r="F20" s="76"/>
      <c r="G20" s="76"/>
      <c r="H20" s="76"/>
      <c r="I20" s="76"/>
      <c r="J20" s="76"/>
    </row>
    <row r="21" spans="1:10">
      <c r="A21" s="7" t="s">
        <v>173</v>
      </c>
      <c r="B21" s="7"/>
      <c r="C21" s="7"/>
      <c r="D21" s="76"/>
      <c r="E21" s="21"/>
      <c r="F21" s="76">
        <f ca="1">('Cost Input'!$F44/100*F30+'Cost Input'!$F45/100*(F39+F40))*'Manufacturing Cost Calculations'!F6/1000000</f>
        <v>10.096086369332784</v>
      </c>
      <c r="G21" s="76">
        <f ca="1">('Cost Input'!$F44/100*G30+'Cost Input'!$F45/100*(G39+G40))*'Manufacturing Cost Calculations'!G6/1000000</f>
        <v>10.744613097972978</v>
      </c>
      <c r="H21" s="76">
        <f ca="1">('Cost Input'!$F44/100*H30+'Cost Input'!$F45/100*(H39+H40))*'Manufacturing Cost Calculations'!H6/1000000</f>
        <v>12.640209844629286</v>
      </c>
      <c r="I21" s="76">
        <f ca="1">('Cost Input'!$F44/100*I30+'Cost Input'!$F45/100*(I39+I40))*'Manufacturing Cost Calculations'!I6/1000000</f>
        <v>14.626911774798788</v>
      </c>
      <c r="J21" s="76">
        <f ca="1">('Cost Input'!$F44/100*J30+'Cost Input'!$F45/100*(J39+J40))*'Manufacturing Cost Calculations'!J6/1000000</f>
        <v>16.737324667700342</v>
      </c>
    </row>
    <row r="22" spans="1:10">
      <c r="A22" s="7" t="s">
        <v>201</v>
      </c>
      <c r="B22" s="7"/>
      <c r="C22" s="7"/>
      <c r="D22" s="76"/>
      <c r="E22" s="21"/>
      <c r="F22" s="76">
        <f ca="1">F41*'Manufacturing Cost Calculations'!F6/1000000*'Cost Input'!$F$46/100</f>
        <v>26.820743255404587</v>
      </c>
      <c r="G22" s="76">
        <f ca="1">G41*'Manufacturing Cost Calculations'!G6/1000000*'Cost Input'!$F$46/100</f>
        <v>28.811037355014768</v>
      </c>
      <c r="H22" s="76">
        <f ca="1">H41*'Manufacturing Cost Calculations'!H6/1000000*'Cost Input'!$F$46/100</f>
        <v>34.411414046070647</v>
      </c>
      <c r="I22" s="76">
        <f ca="1">I41*'Manufacturing Cost Calculations'!I6/1000000*'Cost Input'!$F$46/100</f>
        <v>40.288232033390543</v>
      </c>
      <c r="J22" s="76">
        <f ca="1">J41*'Manufacturing Cost Calculations'!J6/1000000*'Cost Input'!$F$46/100</f>
        <v>46.542463775856902</v>
      </c>
    </row>
    <row r="23" spans="1:10">
      <c r="A23" s="7" t="s">
        <v>212</v>
      </c>
      <c r="B23" s="7"/>
      <c r="C23" s="7"/>
      <c r="D23" s="76"/>
      <c r="E23" s="21"/>
      <c r="F23" s="76">
        <f ca="1">F14+F18+F21+F22</f>
        <v>203.76446973523525</v>
      </c>
      <c r="G23" s="76">
        <f ca="1">G14+G18+G21+G22</f>
        <v>214.73177931042218</v>
      </c>
      <c r="H23" s="76">
        <f ca="1">H14+H18+H21+H22</f>
        <v>234.58043780600201</v>
      </c>
      <c r="I23" s="76">
        <f ca="1">I14+I18+I21+I22</f>
        <v>253.35692083219425</v>
      </c>
      <c r="J23" s="76">
        <f ca="1">J14+J18+J21+J22</f>
        <v>271.5510047596299</v>
      </c>
    </row>
    <row r="24" spans="1:10" ht="15.75">
      <c r="A24" s="19" t="s">
        <v>202</v>
      </c>
      <c r="B24" s="5"/>
      <c r="C24" s="5"/>
      <c r="D24" s="76"/>
      <c r="E24" s="21"/>
      <c r="F24" s="76"/>
      <c r="G24" s="76"/>
      <c r="H24" s="76"/>
      <c r="I24" s="76"/>
      <c r="J24" s="76"/>
    </row>
    <row r="25" spans="1:10">
      <c r="A25" s="80" t="s">
        <v>106</v>
      </c>
      <c r="B25" s="80"/>
      <c r="C25" s="80"/>
      <c r="D25" s="76"/>
      <c r="E25" s="21"/>
      <c r="F25" s="76"/>
      <c r="G25" s="76"/>
      <c r="H25" s="76"/>
      <c r="I25" s="76"/>
      <c r="J25" s="76"/>
    </row>
    <row r="26" spans="1:10">
      <c r="A26" s="7" t="s">
        <v>174</v>
      </c>
      <c r="B26" s="7"/>
      <c r="C26" s="7"/>
      <c r="D26" s="76"/>
      <c r="E26" s="21"/>
      <c r="F26" s="76"/>
      <c r="G26" s="76"/>
      <c r="H26" s="76"/>
      <c r="I26" s="76"/>
      <c r="J26" s="76"/>
    </row>
    <row r="27" spans="1:10">
      <c r="A27" s="7" t="s">
        <v>175</v>
      </c>
      <c r="B27" s="7"/>
      <c r="C27" s="7"/>
      <c r="D27" s="76"/>
      <c r="E27" s="21"/>
      <c r="F27" s="76">
        <f ca="1">SUM('Manufacturing Cost Calculations'!F73:F84)*'Battery Design'!F56</f>
        <v>1191.4690387262885</v>
      </c>
      <c r="G27" s="76">
        <f ca="1">SUM('Manufacturing Cost Calculations'!G73:G84)*'Battery Design'!G56</f>
        <v>1295.9159831065604</v>
      </c>
      <c r="H27" s="76">
        <f ca="1">SUM('Manufacturing Cost Calculations'!H73:H84)*'Battery Design'!H56</f>
        <v>1641.9176035225512</v>
      </c>
      <c r="I27" s="76">
        <f ca="1">SUM('Manufacturing Cost Calculations'!I73:I84)*'Battery Design'!I56</f>
        <v>2007.3975185698948</v>
      </c>
      <c r="J27" s="76">
        <f ca="1">SUM('Manufacturing Cost Calculations'!J73:J84)*'Battery Design'!J56</f>
        <v>2380.1924519464283</v>
      </c>
    </row>
    <row r="28" spans="1:10">
      <c r="A28" s="7" t="s">
        <v>176</v>
      </c>
      <c r="B28" s="7"/>
      <c r="C28" s="7"/>
      <c r="D28" s="76"/>
      <c r="E28" s="21"/>
      <c r="F28" s="76">
        <f ca="1">SUM('Manufacturing Cost Calculations'!F85:F87)*'Battery Design'!F56</f>
        <v>93.11522439550069</v>
      </c>
      <c r="G28" s="91">
        <f ca="1">SUM('Manufacturing Cost Calculations'!G85:G87)*'Battery Design'!G56</f>
        <v>100.88678182357606</v>
      </c>
      <c r="H28" s="91">
        <f ca="1">SUM('Manufacturing Cost Calculations'!H85:H87)*'Battery Design'!H56</f>
        <v>108.07023067347403</v>
      </c>
      <c r="I28" s="91">
        <f ca="1">SUM('Manufacturing Cost Calculations'!I85:I87)*'Battery Design'!I56</f>
        <v>114.78386163801264</v>
      </c>
      <c r="J28" s="91">
        <f ca="1">SUM('Manufacturing Cost Calculations'!J85:J87)*'Battery Design'!J56</f>
        <v>121.20013855817115</v>
      </c>
    </row>
    <row r="29" spans="1:10">
      <c r="A29" s="7" t="s">
        <v>177</v>
      </c>
      <c r="B29" s="7"/>
      <c r="C29" s="7"/>
      <c r="D29" s="76"/>
      <c r="E29" s="21"/>
      <c r="F29" s="76">
        <f ca="1">'Manufacturing Cost Calculations'!F96*'Battery Design'!F55+'Manufacturing Cost Calculations'!F97</f>
        <v>272.29756373923021</v>
      </c>
      <c r="G29" s="91">
        <f ca="1">'Manufacturing Cost Calculations'!G96*'Battery Design'!G55+'Manufacturing Cost Calculations'!G97</f>
        <v>295.74626281057044</v>
      </c>
      <c r="H29" s="91">
        <f ca="1">'Manufacturing Cost Calculations'!H96*'Battery Design'!H55+'Manufacturing Cost Calculations'!H97</f>
        <v>310.15873635420326</v>
      </c>
      <c r="I29" s="91">
        <f ca="1">'Manufacturing Cost Calculations'!I96*'Battery Design'!I55+'Manufacturing Cost Calculations'!I97</f>
        <v>324.20053595107333</v>
      </c>
      <c r="J29" s="91">
        <f ca="1">'Manufacturing Cost Calculations'!J96*'Battery Design'!J55+'Manufacturing Cost Calculations'!J97</f>
        <v>356.80431273625436</v>
      </c>
    </row>
    <row r="30" spans="1:10">
      <c r="A30" s="7" t="s">
        <v>121</v>
      </c>
      <c r="B30" s="7"/>
      <c r="C30" s="7"/>
      <c r="D30" s="76"/>
      <c r="E30" s="21"/>
      <c r="F30" s="76">
        <f ca="1">SUM(F27:F29)</f>
        <v>1556.8818268610194</v>
      </c>
      <c r="G30" s="76">
        <f ca="1">SUM(G27:G29)</f>
        <v>1692.5490277407068</v>
      </c>
      <c r="H30" s="76">
        <f ca="1">SUM(H27:H29)</f>
        <v>2060.1465705502287</v>
      </c>
      <c r="I30" s="76">
        <f ca="1">SUM(I27:I29)</f>
        <v>2446.3819161589809</v>
      </c>
      <c r="J30" s="76">
        <f ca="1">SUM(J27:J29)</f>
        <v>2858.1969032408538</v>
      </c>
    </row>
    <row r="31" spans="1:10">
      <c r="A31" s="7" t="s">
        <v>178</v>
      </c>
      <c r="B31" s="7"/>
      <c r="C31" s="7"/>
      <c r="D31" s="96"/>
      <c r="E31" s="21"/>
      <c r="F31" s="76"/>
      <c r="G31" s="76"/>
      <c r="H31" s="76"/>
      <c r="I31" s="76"/>
      <c r="J31" s="76"/>
    </row>
    <row r="32" spans="1:10">
      <c r="A32" s="7" t="s">
        <v>179</v>
      </c>
      <c r="B32" s="7"/>
      <c r="C32" s="7"/>
      <c r="D32" s="76"/>
      <c r="E32" s="21"/>
      <c r="F32" s="76">
        <f ca="1">'Cost Input'!$F$49/'Manufacturing Cost Calculations'!F$6*('Manufacturing Cost Calculations'!F111+'Manufacturing Cost Calculations'!F116+'Manufacturing Cost Calculations'!F123+'Manufacturing Cost Calculations'!F129+'Manufacturing Cost Calculations'!F134+'Manufacturing Cost Calculations'!F140+'Manufacturing Cost Calculations'!F145+'Manufacturing Cost Calculations'!F150+'Manufacturing Cost Calculations'!F155+'Manufacturing Cost Calculations'!F160)</f>
        <v>43.999530592121879</v>
      </c>
      <c r="G32" s="76">
        <f ca="1">'Cost Input'!$F$49/'Manufacturing Cost Calculations'!G$6*('Manufacturing Cost Calculations'!G111+'Manufacturing Cost Calculations'!G116+'Manufacturing Cost Calculations'!G123+'Manufacturing Cost Calculations'!G129+'Manufacturing Cost Calculations'!G134+'Manufacturing Cost Calculations'!G140+'Manufacturing Cost Calculations'!G145+'Manufacturing Cost Calculations'!G150+'Manufacturing Cost Calculations'!G155+'Manufacturing Cost Calculations'!G160)</f>
        <v>38.833089491380626</v>
      </c>
      <c r="H32" s="76">
        <f ca="1">'Cost Input'!$F$49/'Manufacturing Cost Calculations'!H$6*('Manufacturing Cost Calculations'!H111+'Manufacturing Cost Calculations'!H116+'Manufacturing Cost Calculations'!H123+'Manufacturing Cost Calculations'!H129+'Manufacturing Cost Calculations'!H134+'Manufacturing Cost Calculations'!H140+'Manufacturing Cost Calculations'!H145+'Manufacturing Cost Calculations'!H150+'Manufacturing Cost Calculations'!H155+'Manufacturing Cost Calculations'!H160)</f>
        <v>39.90327403434403</v>
      </c>
      <c r="I32" s="76">
        <f ca="1">'Cost Input'!$F$49/'Manufacturing Cost Calculations'!I$6*('Manufacturing Cost Calculations'!I111+'Manufacturing Cost Calculations'!I116+'Manufacturing Cost Calculations'!I123+'Manufacturing Cost Calculations'!I129+'Manufacturing Cost Calculations'!I134+'Manufacturing Cost Calculations'!I140+'Manufacturing Cost Calculations'!I145+'Manufacturing Cost Calculations'!I150+'Manufacturing Cost Calculations'!I155+'Manufacturing Cost Calculations'!I160)</f>
        <v>41.250743538654369</v>
      </c>
      <c r="J32" s="76">
        <f ca="1">'Cost Input'!$F$49/'Manufacturing Cost Calculations'!J$6*('Manufacturing Cost Calculations'!J111+'Manufacturing Cost Calculations'!J116+'Manufacturing Cost Calculations'!J123+'Manufacturing Cost Calculations'!J129+'Manufacturing Cost Calculations'!J134+'Manufacturing Cost Calculations'!J140+'Manufacturing Cost Calculations'!J145+'Manufacturing Cost Calculations'!J150+'Manufacturing Cost Calculations'!J155+'Manufacturing Cost Calculations'!J160)</f>
        <v>42.596120363123987</v>
      </c>
    </row>
    <row r="33" spans="1:10">
      <c r="A33" s="7" t="s">
        <v>180</v>
      </c>
      <c r="B33" s="7"/>
      <c r="C33" s="7"/>
      <c r="D33" s="76"/>
      <c r="E33" s="21"/>
      <c r="F33" s="76">
        <f ca="1">'Cost Input'!$F$49/'Manufacturing Cost Calculations'!F$6*('Manufacturing Cost Calculations'!F172+'Manufacturing Cost Calculations'!F177+'Manufacturing Cost Calculations'!F182+'Manufacturing Cost Calculations'!F187+'Manufacturing Cost Calculations'!F192)</f>
        <v>40.964962092311765</v>
      </c>
      <c r="G33" s="76">
        <f ca="1">'Cost Input'!$F$49/'Manufacturing Cost Calculations'!G$6*('Manufacturing Cost Calculations'!G172+'Manufacturing Cost Calculations'!G177+'Manufacturing Cost Calculations'!G182+'Manufacturing Cost Calculations'!G187+'Manufacturing Cost Calculations'!G192)</f>
        <v>40.935656360670464</v>
      </c>
      <c r="H33" s="76">
        <f ca="1">'Cost Input'!$F$49/'Manufacturing Cost Calculations'!H$6*('Manufacturing Cost Calculations'!H172+'Manufacturing Cost Calculations'!H177+'Manufacturing Cost Calculations'!H182+'Manufacturing Cost Calculations'!H187+'Manufacturing Cost Calculations'!H192)</f>
        <v>40.932087181425743</v>
      </c>
      <c r="I33" s="76">
        <f ca="1">'Cost Input'!$F$49/'Manufacturing Cost Calculations'!I$6*('Manufacturing Cost Calculations'!I172+'Manufacturing Cost Calculations'!I177+'Manufacturing Cost Calculations'!I182+'Manufacturing Cost Calculations'!I187+'Manufacturing Cost Calculations'!I192)</f>
        <v>40.930735158215583</v>
      </c>
      <c r="J33" s="76">
        <f ca="1">'Cost Input'!$F$49/'Manufacturing Cost Calculations'!J$6*('Manufacturing Cost Calculations'!J172+'Manufacturing Cost Calculations'!J177+'Manufacturing Cost Calculations'!J182+'Manufacturing Cost Calculations'!J187+'Manufacturing Cost Calculations'!J192)</f>
        <v>40.930114912819292</v>
      </c>
    </row>
    <row r="34" spans="1:10">
      <c r="A34" s="7" t="s">
        <v>440</v>
      </c>
      <c r="B34" s="7"/>
      <c r="C34" s="7"/>
      <c r="D34" s="76"/>
      <c r="E34" s="21"/>
      <c r="F34" s="76">
        <f>'Cost Input'!$F$49/'Manufacturing Cost Calculations'!F$6*('Manufacturing Cost Calculations'!F198+'Manufacturing Cost Calculations'!F203+'Manufacturing Cost Calculations'!F208)</f>
        <v>22.378004805083066</v>
      </c>
      <c r="G34" s="76">
        <f>'Cost Input'!$F$49/'Manufacturing Cost Calculations'!G$6*('Manufacturing Cost Calculations'!G198+'Manufacturing Cost Calculations'!G203+'Manufacturing Cost Calculations'!G208)</f>
        <v>22.378004805083066</v>
      </c>
      <c r="H34" s="76">
        <f>'Cost Input'!$F$49/'Manufacturing Cost Calculations'!H$6*('Manufacturing Cost Calculations'!H198+'Manufacturing Cost Calculations'!H203+'Manufacturing Cost Calculations'!H208)</f>
        <v>22.378004805083066</v>
      </c>
      <c r="I34" s="76">
        <f>'Cost Input'!$F$49/'Manufacturing Cost Calculations'!I$6*('Manufacturing Cost Calculations'!I198+'Manufacturing Cost Calculations'!I203+'Manufacturing Cost Calculations'!I208)</f>
        <v>22.378004805083066</v>
      </c>
      <c r="J34" s="76">
        <f>'Cost Input'!$F$49/'Manufacturing Cost Calculations'!J$6*('Manufacturing Cost Calculations'!J198+'Manufacturing Cost Calculations'!J203+'Manufacturing Cost Calculations'!J208)</f>
        <v>22.378004805083066</v>
      </c>
    </row>
    <row r="35" spans="1:10">
      <c r="A35" s="7" t="s">
        <v>181</v>
      </c>
      <c r="B35" s="7"/>
      <c r="C35" s="7"/>
      <c r="D35" s="76"/>
      <c r="E35" s="21"/>
      <c r="F35" s="76">
        <f>'Cost Input'!$F$49/'Manufacturing Cost Calculations'!F$6*('Manufacturing Cost Calculations'!F213+'Manufacturing Cost Calculations'!F219)</f>
        <v>19.671896868375455</v>
      </c>
      <c r="G35" s="76">
        <f>'Cost Input'!$F$49/'Manufacturing Cost Calculations'!G$6*('Manufacturing Cost Calculations'!G213+'Manufacturing Cost Calculations'!G219)</f>
        <v>19.671896868375455</v>
      </c>
      <c r="H35" s="76">
        <f>'Cost Input'!$F$49/'Manufacturing Cost Calculations'!H$6*('Manufacturing Cost Calculations'!H213+'Manufacturing Cost Calculations'!H219)</f>
        <v>19.671896868375455</v>
      </c>
      <c r="I35" s="76">
        <f>'Cost Input'!$F$49/'Manufacturing Cost Calculations'!I$6*('Manufacturing Cost Calculations'!I213+'Manufacturing Cost Calculations'!I219)</f>
        <v>19.671896868375455</v>
      </c>
      <c r="J35" s="76">
        <f>'Cost Input'!$F$49/'Manufacturing Cost Calculations'!J$6*('Manufacturing Cost Calculations'!J213+'Manufacturing Cost Calculations'!J219)</f>
        <v>19.671896868375455</v>
      </c>
    </row>
    <row r="36" spans="1:10">
      <c r="A36" s="7" t="s">
        <v>182</v>
      </c>
      <c r="B36" s="7"/>
      <c r="C36" s="7"/>
      <c r="D36" s="76"/>
      <c r="E36" s="21"/>
      <c r="F36" s="76">
        <f>'Cost Input'!$F$49/'Manufacturing Cost Calculations'!F$6*('Manufacturing Cost Calculations'!F224)</f>
        <v>9.0044873798268625</v>
      </c>
      <c r="G36" s="76">
        <f>'Cost Input'!$F$49/'Manufacturing Cost Calculations'!G$6*('Manufacturing Cost Calculations'!G224)</f>
        <v>9.0044873798268625</v>
      </c>
      <c r="H36" s="76">
        <f>'Cost Input'!$F$49/'Manufacturing Cost Calculations'!H$6*('Manufacturing Cost Calculations'!H224)</f>
        <v>9.0044873798268625</v>
      </c>
      <c r="I36" s="76">
        <f>'Cost Input'!$F$49/'Manufacturing Cost Calculations'!I$6*('Manufacturing Cost Calculations'!I224)</f>
        <v>9.0044873798268625</v>
      </c>
      <c r="J36" s="76">
        <f>'Cost Input'!$F$49/'Manufacturing Cost Calculations'!J$6*('Manufacturing Cost Calculations'!J224)</f>
        <v>9.0044873798268625</v>
      </c>
    </row>
    <row r="37" spans="1:10">
      <c r="A37" s="7" t="s">
        <v>183</v>
      </c>
      <c r="B37" s="7"/>
      <c r="C37" s="7"/>
      <c r="D37" s="76"/>
      <c r="E37" s="21"/>
      <c r="F37" s="76">
        <f ca="1">'Cost Input'!$F$49/'Manufacturing Cost Calculations'!F$6*('Manufacturing Cost Calculations'!F104+'Manufacturing Cost Calculations'!F229)</f>
        <v>5.138397752720139</v>
      </c>
      <c r="G37" s="76">
        <f ca="1">'Cost Input'!$F$49/'Manufacturing Cost Calculations'!G$6*('Manufacturing Cost Calculations'!G104+'Manufacturing Cost Calculations'!G229)</f>
        <v>7.0948205284199366</v>
      </c>
      <c r="H37" s="76">
        <f ca="1">'Cost Input'!$F$49/'Manufacturing Cost Calculations'!H$6*('Manufacturing Cost Calculations'!H104+'Manufacturing Cost Calculations'!H229)</f>
        <v>8.572740294382891</v>
      </c>
      <c r="I37" s="76">
        <f ca="1">'Cost Input'!$F$49/'Manufacturing Cost Calculations'!I$6*('Manufacturing Cost Calculations'!I104+'Manufacturing Cost Calculations'!I229)</f>
        <v>9.8066739728072339</v>
      </c>
      <c r="J37" s="76">
        <f ca="1">'Cost Input'!$F$49/'Manufacturing Cost Calculations'!J$6*('Manufacturing Cost Calculations'!J104+'Manufacturing Cost Calculations'!J229)</f>
        <v>10.88619262104098</v>
      </c>
    </row>
    <row r="38" spans="1:10">
      <c r="A38" s="7" t="s">
        <v>441</v>
      </c>
      <c r="B38" s="7"/>
      <c r="C38" s="7"/>
      <c r="D38" s="76"/>
      <c r="E38" s="21"/>
      <c r="F38" s="76">
        <f ca="1">'Cost Input'!$F$49/'Manufacturing Cost Calculations'!F$6*('Manufacturing Cost Calculations'!F165)</f>
        <v>3.3225477011406985</v>
      </c>
      <c r="G38" s="76">
        <f ca="1">'Cost Input'!$F$49/'Manufacturing Cost Calculations'!G$6*('Manufacturing Cost Calculations'!G165)</f>
        <v>4.698792020583852</v>
      </c>
      <c r="H38" s="76">
        <f ca="1">'Cost Input'!$F$49/'Manufacturing Cost Calculations'!H$6*('Manufacturing Cost Calculations'!H165)</f>
        <v>5.7548214289457826</v>
      </c>
      <c r="I38" s="76">
        <f ca="1">'Cost Input'!$F$49/'Manufacturing Cost Calculations'!I$6*('Manufacturing Cost Calculations'!I165)</f>
        <v>6.6450954022801509</v>
      </c>
      <c r="J38" s="76">
        <f ca="1">'Cost Input'!$F$49/'Manufacturing Cost Calculations'!J$6*('Manufacturing Cost Calculations'!J165)</f>
        <v>7.4294425182348647</v>
      </c>
    </row>
    <row r="39" spans="1:10">
      <c r="A39" s="97" t="s">
        <v>184</v>
      </c>
      <c r="B39" s="97"/>
      <c r="C39" s="97"/>
      <c r="E39" s="21"/>
      <c r="F39" s="76">
        <f ca="1">SUM(F32:F38)</f>
        <v>144.47982719157989</v>
      </c>
      <c r="G39" s="76">
        <f ca="1">SUM(G32:G38)</f>
        <v>142.61674745434027</v>
      </c>
      <c r="H39" s="76">
        <f ca="1">SUM(H32:H38)</f>
        <v>146.21731199238383</v>
      </c>
      <c r="I39" s="76">
        <f ca="1">SUM(I32:I38)</f>
        <v>149.68763712524273</v>
      </c>
      <c r="J39" s="76">
        <f ca="1">SUM(J32:J38)</f>
        <v>152.89625946850452</v>
      </c>
    </row>
    <row r="40" spans="1:10">
      <c r="A40" s="7" t="s">
        <v>185</v>
      </c>
      <c r="B40" s="7"/>
      <c r="C40" s="7"/>
      <c r="D40" s="98"/>
      <c r="E40" s="76"/>
      <c r="F40" s="99">
        <f ca="1">'Cost Input'!$F50/100*F39</f>
        <v>86.687896314947935</v>
      </c>
      <c r="G40" s="99">
        <f ca="1">'Cost Input'!$F50/100*G39</f>
        <v>85.570048472604157</v>
      </c>
      <c r="H40" s="99">
        <f ca="1">'Cost Input'!$F50/100*H39</f>
        <v>87.730387195430296</v>
      </c>
      <c r="I40" s="99">
        <f ca="1">'Cost Input'!$F50/100*I39</f>
        <v>89.81258227514563</v>
      </c>
      <c r="J40" s="99">
        <f ca="1">'Cost Input'!$F50/100*J39</f>
        <v>91.737755681102712</v>
      </c>
    </row>
    <row r="41" spans="1:10">
      <c r="A41" s="7" t="s">
        <v>186</v>
      </c>
      <c r="B41" s="7"/>
      <c r="C41" s="7"/>
      <c r="D41" s="98"/>
      <c r="E41" s="76"/>
      <c r="F41" s="99">
        <f ca="1">F30+F39+F40</f>
        <v>1788.0495503675472</v>
      </c>
      <c r="G41" s="99">
        <f ca="1">G30+G39+G40</f>
        <v>1920.7358236676512</v>
      </c>
      <c r="H41" s="99">
        <f ca="1">H30+H39+H40</f>
        <v>2294.0942697380428</v>
      </c>
      <c r="I41" s="99">
        <f ca="1">I30+I39+I40</f>
        <v>2685.8821355593695</v>
      </c>
      <c r="J41" s="99">
        <f ca="1">J30+J39+J40</f>
        <v>3102.8309183904607</v>
      </c>
    </row>
    <row r="42" spans="1:10">
      <c r="A42" s="80" t="s">
        <v>109</v>
      </c>
      <c r="B42" s="80"/>
      <c r="C42" s="80"/>
      <c r="D42" s="76"/>
      <c r="E42" s="76"/>
      <c r="F42" s="71"/>
      <c r="G42" s="71"/>
      <c r="H42" s="71"/>
      <c r="I42" s="71"/>
      <c r="J42" s="71"/>
    </row>
    <row r="43" spans="1:10">
      <c r="A43" s="7" t="s">
        <v>187</v>
      </c>
      <c r="B43" s="7"/>
      <c r="C43" s="7"/>
      <c r="D43" s="76"/>
      <c r="E43" s="76"/>
      <c r="F43" s="99">
        <f ca="1">'Cost Input'!$F53/100*(F39+F40)+'Cost Input'!$F54/100*F45</f>
        <v>126.01232031274765</v>
      </c>
      <c r="G43" s="99">
        <f ca="1">'Cost Input'!$F53/100*(G39+G40)+'Cost Input'!$F54/100*G45</f>
        <v>128.87901974726054</v>
      </c>
      <c r="H43" s="99">
        <f ca="1">'Cost Input'!$F53/100*(H39+H40)+'Cost Input'!$F54/100*H45</f>
        <v>135.4573295011559</v>
      </c>
      <c r="I43" s="99">
        <f ca="1">'Cost Input'!$F53/100*(I39+I40)+'Cost Input'!$F54/100*I45</f>
        <v>141.37393058812518</v>
      </c>
      <c r="J43" s="99">
        <f ca="1">'Cost Input'!$F53/100*(J39+J40)+'Cost Input'!$F54/100*J45</f>
        <v>146.73274915261339</v>
      </c>
    </row>
    <row r="44" spans="1:10">
      <c r="A44" s="7" t="s">
        <v>188</v>
      </c>
      <c r="B44" s="7"/>
      <c r="C44" s="7"/>
      <c r="D44" s="76"/>
      <c r="E44" s="76"/>
      <c r="F44" s="99">
        <f ca="1">F45*'Cost Input'!$F55/100</f>
        <v>97.457699194450996</v>
      </c>
      <c r="G44" s="99">
        <f ca="1">G45*'Cost Input'!$F55/100</f>
        <v>102.61760109360634</v>
      </c>
      <c r="H44" s="99">
        <f ca="1">H45*'Cost Input'!$F55/100</f>
        <v>109.9577210060034</v>
      </c>
      <c r="I44" s="99">
        <f ca="1">I45*'Cost Input'!$F55/100</f>
        <v>116.42696534004013</v>
      </c>
      <c r="J44" s="99">
        <f ca="1">J45*'Cost Input'!$F55/100</f>
        <v>122.24892195030226</v>
      </c>
    </row>
    <row r="45" spans="1:10">
      <c r="A45" s="7" t="s">
        <v>189</v>
      </c>
      <c r="B45" s="7"/>
      <c r="C45" s="7"/>
      <c r="D45" s="76"/>
      <c r="E45" s="76"/>
      <c r="F45" s="99">
        <f ca="1">('Cost Input'!$F57/100*F14+'Cost Input'!$F58/100*F18)*1000000/'Manufacturing Cost Calculations'!F6</f>
        <v>194.9153983891577</v>
      </c>
      <c r="G45" s="99">
        <f ca="1">('Cost Input'!$F57/100*G14+'Cost Input'!$F58/100*G18)*1000000/'Manufacturing Cost Calculations'!G6</f>
        <v>205.23520218721268</v>
      </c>
      <c r="H45" s="99">
        <f ca="1">('Cost Input'!$F57/100*H14+'Cost Input'!$F58/100*H18)*1000000/'Manufacturing Cost Calculations'!H6</f>
        <v>219.91544201200679</v>
      </c>
      <c r="I45" s="99">
        <f ca="1">('Cost Input'!$F57/100*I14+'Cost Input'!$F58/100*I18)*1000000/'Manufacturing Cost Calculations'!I6</f>
        <v>232.85393068008025</v>
      </c>
      <c r="J45" s="99">
        <f ca="1">('Cost Input'!$F57/100*J14+'Cost Input'!$F58/100*J18)*1000000/'Manufacturing Cost Calculations'!J6</f>
        <v>244.49784390060452</v>
      </c>
    </row>
    <row r="46" spans="1:10">
      <c r="A46" s="7" t="s">
        <v>190</v>
      </c>
      <c r="B46" s="7"/>
      <c r="C46" s="7"/>
      <c r="D46" s="76"/>
      <c r="E46" s="76"/>
      <c r="F46" s="100">
        <f ca="1">F43+F44+F45</f>
        <v>418.38541789635633</v>
      </c>
      <c r="G46" s="100">
        <f ca="1">G43+G44+G45</f>
        <v>436.73182302807959</v>
      </c>
      <c r="H46" s="100">
        <f ca="1">H43+H44+H45</f>
        <v>465.33049251916611</v>
      </c>
      <c r="I46" s="100">
        <f ca="1">I43+I44+I45</f>
        <v>490.65482660824557</v>
      </c>
      <c r="J46" s="100">
        <f ca="1">J43+J44+J45</f>
        <v>513.47951500352019</v>
      </c>
    </row>
    <row r="47" spans="1:10">
      <c r="A47" s="7" t="s">
        <v>191</v>
      </c>
      <c r="B47" s="7"/>
      <c r="C47" s="7"/>
      <c r="D47" s="66"/>
      <c r="E47" s="76"/>
      <c r="F47" s="99">
        <f ca="1">'Cost Input'!$F59/100*F23*1000000/'Manufacturing Cost Calculations'!F6</f>
        <v>101.88223486761764</v>
      </c>
      <c r="G47" s="99">
        <f ca="1">'Cost Input'!$F59/100*G23*1000000/'Manufacturing Cost Calculations'!G6</f>
        <v>107.36588965521111</v>
      </c>
      <c r="H47" s="99">
        <f ca="1">'Cost Input'!$F59/100*H23*1000000/'Manufacturing Cost Calculations'!H6</f>
        <v>117.290218903001</v>
      </c>
      <c r="I47" s="99">
        <f ca="1">'Cost Input'!$F59/100*I23*1000000/'Manufacturing Cost Calculations'!I6</f>
        <v>126.67846041609714</v>
      </c>
      <c r="J47" s="99">
        <f ca="1">'Cost Input'!$F59/100*J23*1000000/'Manufacturing Cost Calculations'!J6</f>
        <v>135.77550237981495</v>
      </c>
    </row>
    <row r="48" spans="1:10">
      <c r="A48" s="7" t="s">
        <v>443</v>
      </c>
      <c r="B48" s="7"/>
      <c r="C48" s="7"/>
      <c r="D48" s="76"/>
      <c r="E48" s="76"/>
      <c r="F48" s="100">
        <f ca="1">F41+F46+F47</f>
        <v>2308.3172031315212</v>
      </c>
      <c r="G48" s="100">
        <f ca="1">G41+G46+G47</f>
        <v>2464.8335363509418</v>
      </c>
      <c r="H48" s="100">
        <f ca="1">H41+H46+H47</f>
        <v>2876.7149811602098</v>
      </c>
      <c r="I48" s="100">
        <f ca="1">I41+I46+I47</f>
        <v>3303.2154225837121</v>
      </c>
      <c r="J48" s="100">
        <f ca="1">J41+J46+J47</f>
        <v>3752.0859357737959</v>
      </c>
    </row>
    <row r="49" spans="1:15" ht="15.75">
      <c r="A49" s="19" t="s">
        <v>203</v>
      </c>
      <c r="B49" s="5"/>
      <c r="C49" s="5"/>
      <c r="D49" s="76"/>
      <c r="E49" s="76"/>
      <c r="F49" s="71"/>
      <c r="G49" s="71"/>
      <c r="H49" s="71"/>
      <c r="I49" s="71"/>
      <c r="J49" s="71"/>
    </row>
    <row r="50" spans="1:15">
      <c r="A50" s="7" t="s">
        <v>279</v>
      </c>
      <c r="B50" s="7"/>
      <c r="C50" s="7"/>
      <c r="F50" s="101">
        <f ca="1">F27</f>
        <v>1191.4690387262885</v>
      </c>
      <c r="G50" s="101">
        <f ca="1">G27</f>
        <v>1295.9159831065604</v>
      </c>
      <c r="H50" s="101">
        <f ca="1">H27</f>
        <v>1641.9176035225512</v>
      </c>
      <c r="I50" s="101">
        <f ca="1">I27</f>
        <v>2007.3975185698948</v>
      </c>
      <c r="J50" s="101">
        <f ca="1">J27</f>
        <v>2380.1924519464283</v>
      </c>
    </row>
    <row r="51" spans="1:15">
      <c r="A51" s="7" t="s">
        <v>278</v>
      </c>
      <c r="B51" s="7"/>
      <c r="C51" s="7"/>
      <c r="F51" s="101">
        <f ca="1">F28+F29</f>
        <v>365.41278813473093</v>
      </c>
      <c r="G51" s="101">
        <f ca="1">G28+G29</f>
        <v>396.63304463414647</v>
      </c>
      <c r="H51" s="101">
        <f ca="1">H28+H29</f>
        <v>418.2289670276773</v>
      </c>
      <c r="I51" s="101">
        <f ca="1">I28+I29</f>
        <v>438.98439758908597</v>
      </c>
      <c r="J51" s="101">
        <f ca="1">J28+J29</f>
        <v>478.00445129442551</v>
      </c>
    </row>
    <row r="52" spans="1:15">
      <c r="A52" s="7" t="s">
        <v>192</v>
      </c>
      <c r="B52" s="7"/>
      <c r="C52" s="7"/>
      <c r="F52" s="101">
        <f t="shared" ref="F52:J53" ca="1" si="0">F39</f>
        <v>144.47982719157989</v>
      </c>
      <c r="G52" s="101">
        <f t="shared" ca="1" si="0"/>
        <v>142.61674745434027</v>
      </c>
      <c r="H52" s="101">
        <f t="shared" ca="1" si="0"/>
        <v>146.21731199238383</v>
      </c>
      <c r="I52" s="101">
        <f t="shared" ca="1" si="0"/>
        <v>149.68763712524273</v>
      </c>
      <c r="J52" s="101">
        <f t="shared" ca="1" si="0"/>
        <v>152.89625946850452</v>
      </c>
    </row>
    <row r="53" spans="1:15">
      <c r="A53" s="7" t="s">
        <v>193</v>
      </c>
      <c r="B53" s="7"/>
      <c r="C53" s="7"/>
      <c r="F53" s="101">
        <f t="shared" ca="1" si="0"/>
        <v>86.687896314947935</v>
      </c>
      <c r="G53" s="101">
        <f t="shared" ca="1" si="0"/>
        <v>85.570048472604157</v>
      </c>
      <c r="H53" s="101">
        <f t="shared" ca="1" si="0"/>
        <v>87.730387195430296</v>
      </c>
      <c r="I53" s="101">
        <f t="shared" ca="1" si="0"/>
        <v>89.81258227514563</v>
      </c>
      <c r="J53" s="101">
        <f t="shared" ca="1" si="0"/>
        <v>91.737755681102712</v>
      </c>
    </row>
    <row r="54" spans="1:15">
      <c r="A54" s="7" t="s">
        <v>187</v>
      </c>
      <c r="B54" s="7"/>
      <c r="C54" s="7"/>
      <c r="F54" s="76">
        <f t="shared" ref="F54:J56" ca="1" si="1">F43</f>
        <v>126.01232031274765</v>
      </c>
      <c r="G54" s="76">
        <f t="shared" ca="1" si="1"/>
        <v>128.87901974726054</v>
      </c>
      <c r="H54" s="76">
        <f t="shared" ca="1" si="1"/>
        <v>135.4573295011559</v>
      </c>
      <c r="I54" s="76">
        <f t="shared" ca="1" si="1"/>
        <v>141.37393058812518</v>
      </c>
      <c r="J54" s="76">
        <f t="shared" ca="1" si="1"/>
        <v>146.73274915261339</v>
      </c>
    </row>
    <row r="55" spans="1:15">
      <c r="A55" s="7" t="s">
        <v>188</v>
      </c>
      <c r="B55" s="7"/>
      <c r="C55" s="7"/>
      <c r="F55" s="101">
        <f t="shared" ca="1" si="1"/>
        <v>97.457699194450996</v>
      </c>
      <c r="G55" s="101">
        <f t="shared" ca="1" si="1"/>
        <v>102.61760109360634</v>
      </c>
      <c r="H55" s="101">
        <f t="shared" ca="1" si="1"/>
        <v>109.9577210060034</v>
      </c>
      <c r="I55" s="101">
        <f t="shared" ca="1" si="1"/>
        <v>116.42696534004013</v>
      </c>
      <c r="J55" s="101">
        <f t="shared" ca="1" si="1"/>
        <v>122.24892195030226</v>
      </c>
    </row>
    <row r="56" spans="1:15">
      <c r="A56" s="7" t="s">
        <v>189</v>
      </c>
      <c r="B56" s="7"/>
      <c r="C56" s="7"/>
      <c r="F56" s="101">
        <f t="shared" ca="1" si="1"/>
        <v>194.9153983891577</v>
      </c>
      <c r="G56" s="101">
        <f t="shared" ca="1" si="1"/>
        <v>205.23520218721268</v>
      </c>
      <c r="H56" s="101">
        <f t="shared" ca="1" si="1"/>
        <v>219.91544201200679</v>
      </c>
      <c r="I56" s="101">
        <f t="shared" ca="1" si="1"/>
        <v>232.85393068008025</v>
      </c>
      <c r="J56" s="101">
        <f t="shared" ca="1" si="1"/>
        <v>244.49784390060452</v>
      </c>
    </row>
    <row r="57" spans="1:15">
      <c r="A57" s="7" t="s">
        <v>194</v>
      </c>
      <c r="B57" s="7"/>
      <c r="C57" s="7"/>
      <c r="F57" s="229">
        <f ca="1">F47</f>
        <v>101.88223486761764</v>
      </c>
      <c r="G57" s="229">
        <f ca="1">G47</f>
        <v>107.36588965521111</v>
      </c>
      <c r="H57" s="229">
        <f ca="1">H47</f>
        <v>117.290218903001</v>
      </c>
      <c r="I57" s="229">
        <f ca="1">I47</f>
        <v>126.67846041609714</v>
      </c>
      <c r="J57" s="229">
        <f ca="1">J47</f>
        <v>135.77550237981495</v>
      </c>
    </row>
    <row r="58" spans="1:15">
      <c r="A58" s="7" t="s">
        <v>414</v>
      </c>
      <c r="B58" s="7"/>
      <c r="C58" s="7"/>
      <c r="F58" s="102">
        <f ca="1">'Cost Input'!$F60/100*SUM(F50:F57)</f>
        <v>129.26576337536517</v>
      </c>
      <c r="G58" s="102">
        <f ca="1">'Cost Input'!$F60/100*SUM(G50:G57)</f>
        <v>138.03067803565273</v>
      </c>
      <c r="H58" s="102">
        <f ca="1">'Cost Input'!$F60/100*SUM(H50:H57)</f>
        <v>161.09603894497172</v>
      </c>
      <c r="I58" s="102">
        <f ca="1">'Cost Input'!$F60/100*SUM(I50:I57)</f>
        <v>184.98006366468786</v>
      </c>
      <c r="J58" s="102">
        <f ca="1">'Cost Input'!$F60/100*SUM(J50:J57)</f>
        <v>210.11681240333255</v>
      </c>
    </row>
    <row r="59" spans="1:15">
      <c r="A59" s="7" t="s">
        <v>479</v>
      </c>
      <c r="F59" s="101">
        <f ca="1">SUM(F50:F58)</f>
        <v>2437.5829665068864</v>
      </c>
      <c r="G59" s="101">
        <f ca="1">SUM(G50:G58)</f>
        <v>2602.8642143865945</v>
      </c>
      <c r="H59" s="101">
        <f ca="1">SUM(H50:H58)</f>
        <v>3037.8110201051813</v>
      </c>
      <c r="I59" s="101">
        <f ca="1">SUM(I50:I58)</f>
        <v>3488.1954862483999</v>
      </c>
      <c r="J59" s="101">
        <f ca="1">SUM(J50:J58)</f>
        <v>3962.2027481771283</v>
      </c>
    </row>
    <row r="60" spans="1:15">
      <c r="A60" s="7" t="s">
        <v>480</v>
      </c>
      <c r="F60" s="101">
        <f ca="1">'Price of Modules'!F59</f>
        <v>2329.587737829434</v>
      </c>
      <c r="G60" s="101">
        <f ca="1">'Price of Modules'!G59</f>
        <v>2475.6892481710461</v>
      </c>
      <c r="H60" s="101">
        <f ca="1">'Price of Modules'!H59</f>
        <v>2901.3448956345242</v>
      </c>
      <c r="I60" s="101">
        <f ca="1">'Price of Modules'!I59</f>
        <v>3342.863999176473</v>
      </c>
      <c r="J60" s="101">
        <f ca="1">'Price of Modules'!J59</f>
        <v>3788.2447055106941</v>
      </c>
      <c r="O60" s="229"/>
    </row>
    <row r="61" spans="1:15">
      <c r="A61" s="7" t="s">
        <v>482</v>
      </c>
      <c r="F61" s="101">
        <f ca="1">F59-F60</f>
        <v>107.99522867745236</v>
      </c>
      <c r="G61" s="101">
        <f ca="1">G59-G60</f>
        <v>127.17496621554847</v>
      </c>
      <c r="H61" s="101">
        <f ca="1">H59-H60</f>
        <v>136.46612447065718</v>
      </c>
      <c r="I61" s="101">
        <f ca="1">I59-I60</f>
        <v>145.33148707192686</v>
      </c>
      <c r="J61" s="101">
        <f ca="1">J59-J60</f>
        <v>173.95804266643427</v>
      </c>
      <c r="L61" s="250"/>
      <c r="M61" s="250"/>
      <c r="O61" s="38"/>
    </row>
    <row r="62" spans="1:15">
      <c r="A62" s="5" t="s">
        <v>310</v>
      </c>
      <c r="I62" s="40"/>
      <c r="J62" s="40"/>
      <c r="L62" s="95"/>
    </row>
    <row r="63" spans="1:15">
      <c r="E63" s="159" t="s">
        <v>312</v>
      </c>
      <c r="F63" s="175">
        <f ca="1">F12</f>
        <v>10.000000000003736</v>
      </c>
      <c r="G63" s="175">
        <f ca="1">G12</f>
        <v>20.000000000000046</v>
      </c>
      <c r="H63" s="175">
        <f ca="1">H12</f>
        <v>29.99999999999995</v>
      </c>
      <c r="I63" s="175">
        <f ca="1">I12</f>
        <v>39.999999999999957</v>
      </c>
      <c r="J63" s="175">
        <f ca="1">J12</f>
        <v>49.999999999999957</v>
      </c>
    </row>
    <row r="64" spans="1:15">
      <c r="E64" s="159" t="s">
        <v>304</v>
      </c>
      <c r="F64" s="192">
        <f ca="1">MAX('Battery Design'!F84,'Battery Design'!F83)</f>
        <v>20.78704061773437</v>
      </c>
      <c r="G64" s="192">
        <f ca="1">MAX('Battery Design'!G84,'Battery Design'!G83)</f>
        <v>64.620881038110397</v>
      </c>
      <c r="H64" s="192">
        <f ca="1">MAX('Battery Design'!H84,'Battery Design'!H83)</f>
        <v>103.64234803603567</v>
      </c>
      <c r="I64" s="192">
        <f ca="1">MAX('Battery Design'!I84,'Battery Design'!I83)</f>
        <v>142.34162933838988</v>
      </c>
      <c r="J64" s="192">
        <f ca="1">MAX('Battery Design'!J84,'Battery Design'!J83)</f>
        <v>180.96783412180568</v>
      </c>
    </row>
    <row r="65" spans="1:13">
      <c r="E65" s="196" t="s">
        <v>305</v>
      </c>
      <c r="F65" s="206">
        <f ca="1">'Battery Design'!F134</f>
        <v>42.321152061886941</v>
      </c>
      <c r="G65" s="206">
        <f ca="1">'Battery Design'!G134</f>
        <v>53.41322381269562</v>
      </c>
      <c r="H65" s="206">
        <f ca="1">'Battery Design'!H134</f>
        <v>69.29045826319566</v>
      </c>
      <c r="I65" s="206">
        <f ca="1">'Battery Design'!I134</f>
        <v>85.679590579112897</v>
      </c>
      <c r="J65" s="206">
        <f ca="1">'Battery Design'!J134</f>
        <v>104.98622067065907</v>
      </c>
    </row>
    <row r="66" spans="1:13">
      <c r="E66" s="159" t="s">
        <v>306</v>
      </c>
      <c r="F66" s="197">
        <f ca="1">'Battery Design'!F126</f>
        <v>27.69801672525486</v>
      </c>
      <c r="G66" s="197">
        <f ca="1">'Battery Design'!G126</f>
        <v>34.876356322625838</v>
      </c>
      <c r="H66" s="197">
        <f ca="1">'Battery Design'!H126</f>
        <v>44.056505076666276</v>
      </c>
      <c r="I66" s="197">
        <f ca="1">'Battery Design'!I126</f>
        <v>53.23614354540625</v>
      </c>
      <c r="J66" s="197">
        <f ca="1">'Battery Design'!J126</f>
        <v>63.416502137670605</v>
      </c>
      <c r="M66" s="146"/>
    </row>
    <row r="67" spans="1:13">
      <c r="E67" s="159" t="s">
        <v>307</v>
      </c>
      <c r="F67" s="193">
        <f ca="1">F59</f>
        <v>2437.5829665068864</v>
      </c>
      <c r="G67" s="193">
        <f ca="1">G59</f>
        <v>2602.8642143865945</v>
      </c>
      <c r="H67" s="193">
        <f ca="1">H59</f>
        <v>3037.8110201051813</v>
      </c>
      <c r="I67" s="193">
        <f ca="1">I59</f>
        <v>3488.1954862483999</v>
      </c>
      <c r="J67" s="193">
        <f ca="1">J59</f>
        <v>3962.2027481771283</v>
      </c>
    </row>
    <row r="68" spans="1:13">
      <c r="E68" s="197" t="s">
        <v>309</v>
      </c>
      <c r="F68" s="139">
        <f ca="1">'Battery Design'!F88/10000</f>
        <v>1.5759302727709099</v>
      </c>
      <c r="G68" s="139">
        <f ca="1">'Battery Design'!G88/10000</f>
        <v>1.0205104805231935</v>
      </c>
      <c r="H68" s="139">
        <f ca="1">'Battery Design'!H88/10000</f>
        <v>0.96005934733382126</v>
      </c>
      <c r="I68" s="139">
        <f ca="1">'Battery Design'!I88/10000</f>
        <v>0.93757532822722112</v>
      </c>
      <c r="J68" s="139">
        <f ca="1">'Battery Design'!J88/10000</f>
        <v>0.92733729151815203</v>
      </c>
    </row>
    <row r="69" spans="1:13">
      <c r="E69" s="197" t="s">
        <v>311</v>
      </c>
      <c r="F69" s="101">
        <f ca="1">'Battery Design'!F46</f>
        <v>80</v>
      </c>
      <c r="G69" s="101">
        <f ca="1">'Battery Design'!G46</f>
        <v>80</v>
      </c>
      <c r="H69" s="101">
        <f ca="1">'Battery Design'!H46</f>
        <v>80.000000000000014</v>
      </c>
      <c r="I69" s="101">
        <f ca="1">'Battery Design'!I46</f>
        <v>80</v>
      </c>
      <c r="J69" s="101">
        <f ca="1">'Battery Design'!J46</f>
        <v>80</v>
      </c>
    </row>
    <row r="71" spans="1:13">
      <c r="A71" s="7"/>
      <c r="B71" s="7"/>
      <c r="C71" s="7"/>
      <c r="F71" s="101"/>
      <c r="G71" s="101"/>
      <c r="H71" s="101"/>
      <c r="I71" s="101"/>
      <c r="J71" s="101"/>
    </row>
    <row r="72" spans="1:13">
      <c r="A72" s="7"/>
      <c r="B72" s="7"/>
      <c r="C72" s="7"/>
      <c r="F72" s="101"/>
      <c r="G72" s="101"/>
      <c r="H72" s="101"/>
      <c r="I72" s="101"/>
      <c r="J72" s="101"/>
    </row>
    <row r="73" spans="1:13">
      <c r="A73" s="7"/>
      <c r="B73" s="7"/>
      <c r="C73" s="7"/>
      <c r="F73" s="101"/>
      <c r="G73" s="101"/>
      <c r="H73" s="101"/>
      <c r="I73" s="101"/>
      <c r="J73" s="101"/>
    </row>
    <row r="75" spans="1:13">
      <c r="F75" s="101"/>
      <c r="G75" s="101"/>
      <c r="H75" s="101"/>
      <c r="I75" s="101"/>
      <c r="J75" s="101"/>
    </row>
    <row r="76" spans="1:13">
      <c r="F76" s="101"/>
      <c r="G76" s="101"/>
      <c r="H76" s="101"/>
      <c r="I76" s="101"/>
      <c r="J76" s="101"/>
    </row>
    <row r="77" spans="1:13">
      <c r="F77" s="134"/>
      <c r="G77" s="134"/>
      <c r="H77" s="134"/>
      <c r="I77" s="134"/>
      <c r="J77" s="134"/>
    </row>
    <row r="78" spans="1:13">
      <c r="F78" s="40"/>
      <c r="G78" s="40"/>
      <c r="H78" s="40"/>
      <c r="I78" s="40"/>
      <c r="J78" s="40"/>
    </row>
    <row r="82" spans="10:10"/>
  </sheetData>
  <mergeCells count="2">
    <mergeCell ref="A1:J1"/>
    <mergeCell ref="A2:J2"/>
  </mergeCells>
  <phoneticPr fontId="5" type="noConversion"/>
  <pageMargins left="0.5" right="0.5" top="0.5" bottom="0.5" header="0.5" footer="0.5"/>
  <pageSetup scale="89" orientation="portrait" verticalDpi="300" r:id="rId1"/>
  <headerFooter alignWithMargins="0">
    <oddFooter>&amp;C &amp;P&amp;R&amp;D</oddFooter>
  </headerFooter>
  <rowBreaks count="1" manualBreakCount="1">
    <brk id="61" max="9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1"/>
  </sheetPr>
  <dimension ref="A1:T254"/>
  <sheetViews>
    <sheetView zoomScaleNormal="100" workbookViewId="0">
      <selection activeCell="M238" sqref="M238"/>
    </sheetView>
  </sheetViews>
  <sheetFormatPr defaultRowHeight="12.75"/>
  <cols>
    <col min="1" max="1" width="9" customWidth="1"/>
    <col min="2" max="2" width="8.42578125" customWidth="1"/>
    <col min="3" max="3" width="8.5703125" customWidth="1"/>
    <col min="4" max="4" width="9.7109375" customWidth="1"/>
    <col min="5" max="5" width="6.85546875" customWidth="1"/>
    <col min="6" max="20" width="10.7109375" customWidth="1"/>
  </cols>
  <sheetData>
    <row r="1" spans="1:15" ht="15.75">
      <c r="A1" s="269" t="s">
        <v>206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5" ht="15.75">
      <c r="A2" s="269" t="str">
        <f>'Battery Design'!A63:J63</f>
        <v>LiNi0.80Co0.15Al0.05O2-Graphite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5">
      <c r="A3" s="147"/>
      <c r="B3" s="147"/>
      <c r="C3" s="147"/>
      <c r="D3" s="147"/>
      <c r="E3" s="147"/>
      <c r="F3" s="147"/>
      <c r="H3" s="147"/>
      <c r="I3" s="147"/>
      <c r="J3" s="147"/>
    </row>
    <row r="4" spans="1:15">
      <c r="A4" s="60"/>
      <c r="B4" s="60"/>
      <c r="C4" s="60"/>
      <c r="D4" s="60"/>
      <c r="E4" s="60"/>
      <c r="F4" s="61" t="s">
        <v>2</v>
      </c>
      <c r="G4" s="61" t="s">
        <v>3</v>
      </c>
      <c r="H4" s="61" t="s">
        <v>4</v>
      </c>
      <c r="I4" s="61" t="s">
        <v>5</v>
      </c>
      <c r="J4" s="61" t="s">
        <v>6</v>
      </c>
    </row>
    <row r="5" spans="1:15">
      <c r="A5" s="81" t="s">
        <v>116</v>
      </c>
      <c r="B5" s="81"/>
      <c r="C5" s="81"/>
      <c r="D5" s="63"/>
      <c r="E5" s="63"/>
      <c r="F5" s="65"/>
      <c r="G5" s="65"/>
      <c r="H5" s="65"/>
      <c r="I5" s="65"/>
      <c r="J5" s="65"/>
      <c r="K5" s="52"/>
      <c r="L5" s="52"/>
      <c r="M5" s="52"/>
      <c r="N5" s="81"/>
      <c r="O5" s="185"/>
    </row>
    <row r="6" spans="1:15">
      <c r="A6" s="47" t="s">
        <v>48</v>
      </c>
      <c r="B6" s="47"/>
      <c r="C6" s="47"/>
      <c r="D6" s="63"/>
      <c r="E6" s="65"/>
      <c r="F6" s="67">
        <f>'Battery Design'!F59</f>
        <v>100000</v>
      </c>
      <c r="G6" s="67">
        <f>'Battery Design'!G59</f>
        <v>100000</v>
      </c>
      <c r="H6" s="67">
        <f>'Battery Design'!H59</f>
        <v>100000</v>
      </c>
      <c r="I6" s="67">
        <f>'Battery Design'!I59</f>
        <v>100000</v>
      </c>
      <c r="J6" s="67">
        <f>'Battery Design'!J59</f>
        <v>100000</v>
      </c>
      <c r="K6" s="52"/>
      <c r="L6" s="52"/>
      <c r="M6" s="52"/>
      <c r="N6" s="81"/>
      <c r="O6" s="185"/>
    </row>
    <row r="7" spans="1:15">
      <c r="A7" s="52" t="s">
        <v>289</v>
      </c>
      <c r="B7" s="52"/>
      <c r="C7" s="52"/>
      <c r="D7" s="63"/>
      <c r="E7" s="63"/>
      <c r="F7" s="67">
        <f ca="1">F6*'Battery Design'!F114</f>
        <v>357142.85714299057</v>
      </c>
      <c r="G7" s="67">
        <f ca="1">G6*'Battery Design'!G114</f>
        <v>714285.71428571607</v>
      </c>
      <c r="H7" s="67">
        <f ca="1">H6*'Battery Design'!H114</f>
        <v>1071428.5714285695</v>
      </c>
      <c r="I7" s="67">
        <f ca="1">I6*'Battery Design'!I114</f>
        <v>1428571.428571427</v>
      </c>
      <c r="J7" s="67">
        <f ca="1">J6*'Battery Design'!J114</f>
        <v>1785714.2857142841</v>
      </c>
      <c r="K7" s="52"/>
      <c r="L7" s="52"/>
      <c r="M7" s="52"/>
      <c r="N7" s="81"/>
      <c r="O7" s="185"/>
    </row>
    <row r="8" spans="1:15">
      <c r="A8" s="47" t="s">
        <v>117</v>
      </c>
      <c r="B8" s="47"/>
      <c r="C8" s="47"/>
      <c r="D8" s="63"/>
      <c r="E8" s="63"/>
      <c r="F8" s="67">
        <f>F6*'Battery Design'!F56</f>
        <v>9600000</v>
      </c>
      <c r="G8" s="67">
        <f>G6*'Battery Design'!G56</f>
        <v>9600000</v>
      </c>
      <c r="H8" s="67">
        <f>H6*'Battery Design'!H56</f>
        <v>9600000</v>
      </c>
      <c r="I8" s="67">
        <f>I6*'Battery Design'!I56</f>
        <v>9600000</v>
      </c>
      <c r="J8" s="67">
        <f>J6*'Battery Design'!J56</f>
        <v>9600000</v>
      </c>
      <c r="K8" s="115"/>
      <c r="L8" s="52"/>
      <c r="M8" s="52"/>
      <c r="N8" s="81"/>
      <c r="O8" s="186"/>
    </row>
    <row r="9" spans="1:15">
      <c r="A9" s="52" t="s">
        <v>118</v>
      </c>
      <c r="B9" s="52"/>
      <c r="C9" s="52"/>
      <c r="D9" s="63"/>
      <c r="E9" s="63"/>
      <c r="F9" s="67">
        <f>F8/'Cost Input'!$J5*100</f>
        <v>10105263.157894738</v>
      </c>
      <c r="G9" s="67">
        <f>G8/'Cost Input'!$J5*100</f>
        <v>10105263.157894738</v>
      </c>
      <c r="H9" s="67">
        <f>H8/'Cost Input'!$J5*100</f>
        <v>10105263.157894738</v>
      </c>
      <c r="I9" s="67">
        <f>I8/'Cost Input'!$J5*100</f>
        <v>10105263.157894738</v>
      </c>
      <c r="J9" s="67">
        <f>J8/'Cost Input'!$J5*100</f>
        <v>10105263.157894738</v>
      </c>
      <c r="K9" s="52"/>
      <c r="L9" s="52"/>
      <c r="M9" s="52"/>
      <c r="N9" s="81"/>
      <c r="O9" s="187"/>
    </row>
    <row r="10" spans="1:15" ht="14.25">
      <c r="A10" s="52" t="s">
        <v>290</v>
      </c>
      <c r="B10" s="52"/>
      <c r="C10" s="52"/>
      <c r="D10" s="63"/>
      <c r="E10" s="63"/>
      <c r="F10" s="67">
        <f ca="1">F9*'Battery Design'!F88/10000</f>
        <v>15925190.12484288</v>
      </c>
      <c r="G10" s="67">
        <f ca="1">G9*'Battery Design'!G88/10000</f>
        <v>10312526.961076483</v>
      </c>
      <c r="H10" s="67">
        <f ca="1">H9*'Battery Design'!H88/10000</f>
        <v>9701652.3520049322</v>
      </c>
      <c r="I10" s="67">
        <f ca="1">I9*'Battery Design'!I88/10000</f>
        <v>9474445.4220856056</v>
      </c>
      <c r="J10" s="67">
        <f ca="1">J9*'Battery Design'!J88/10000</f>
        <v>9370987.3669202738</v>
      </c>
      <c r="K10" s="52"/>
      <c r="L10" s="52"/>
      <c r="M10" s="52"/>
      <c r="N10" s="81"/>
      <c r="O10" s="187"/>
    </row>
    <row r="11" spans="1:15">
      <c r="A11" s="52" t="s">
        <v>291</v>
      </c>
      <c r="B11" s="52"/>
      <c r="C11" s="52"/>
      <c r="D11" s="63"/>
      <c r="E11" s="63"/>
      <c r="F11" s="67">
        <f ca="1">'Battery Design'!F7*F8/1000/'Cost Input'!$J5*100/'Cost Input'!$J7*100</f>
        <v>695167.1751480106</v>
      </c>
      <c r="G11" s="67">
        <f ca="1">'Battery Design'!G7*G8/1000/'Cost Input'!$J5*100/'Cost Input'!$J7*100</f>
        <v>1399425.9999246083</v>
      </c>
      <c r="H11" s="67">
        <f ca="1">'Battery Design'!H7*H8/1000/'Cost Input'!$J5*100/'Cost Input'!$J7*100</f>
        <v>2111518.632580346</v>
      </c>
      <c r="I11" s="67">
        <f ca="1">'Battery Design'!I7*I8/1000/'Cost Input'!$J5*100/'Cost Input'!$J7*100</f>
        <v>2832029.009377005</v>
      </c>
      <c r="J11" s="67">
        <f ca="1">'Battery Design'!J7*J8/1000/'Cost Input'!$J5*100/'Cost Input'!$J7*100</f>
        <v>3561219.2118179235</v>
      </c>
      <c r="K11" s="52"/>
      <c r="L11" s="52"/>
      <c r="M11" s="52"/>
      <c r="N11" s="81"/>
      <c r="O11" s="187"/>
    </row>
    <row r="12" spans="1:15">
      <c r="A12" s="52" t="s">
        <v>292</v>
      </c>
      <c r="B12" s="52"/>
      <c r="C12" s="52"/>
      <c r="D12" s="63"/>
      <c r="E12" s="63"/>
      <c r="F12" s="67">
        <f ca="1">'Battery Design'!F13*F8/1000/'Cost Input'!$J5*100/'Cost Input'!$J8*100</f>
        <v>497057.3675120367</v>
      </c>
      <c r="G12" s="67">
        <f ca="1">'Battery Design'!G13*G8/1000/'Cost Input'!$J5*100/'Cost Input'!$J8*100</f>
        <v>995725.50541051081</v>
      </c>
      <c r="H12" s="67">
        <f ca="1">'Battery Design'!H13*H8/1000/'Cost Input'!$J5*100/'Cost Input'!$J8*100</f>
        <v>1495568.3408568702</v>
      </c>
      <c r="I12" s="67">
        <f ca="1">'Battery Design'!I13*I8/1000/'Cost Input'!$J5*100/'Cost Input'!$J8*100</f>
        <v>1999698.688446024</v>
      </c>
      <c r="J12" s="67">
        <f ca="1">'Battery Design'!J13*J8/1000/'Cost Input'!$J5*100/'Cost Input'!$J8*100</f>
        <v>2508915.6033761995</v>
      </c>
      <c r="K12" s="52"/>
      <c r="L12" s="52"/>
      <c r="M12" s="52"/>
      <c r="N12" s="81"/>
      <c r="O12" s="187"/>
    </row>
    <row r="13" spans="1:15">
      <c r="A13" s="52" t="s">
        <v>293</v>
      </c>
      <c r="B13" s="52"/>
      <c r="C13" s="52"/>
      <c r="D13" s="63"/>
      <c r="E13" s="63"/>
      <c r="F13" s="67">
        <f ca="1">F50</f>
        <v>937304.05637941917</v>
      </c>
      <c r="G13" s="67">
        <f ca="1">G50</f>
        <v>1886866.5167522808</v>
      </c>
      <c r="H13" s="67">
        <f ca="1">H50</f>
        <v>2846991.4147150731</v>
      </c>
      <c r="I13" s="67">
        <f ca="1">I50</f>
        <v>3818466.0800588839</v>
      </c>
      <c r="J13" s="67">
        <f ca="1">J50</f>
        <v>4801643.881102819</v>
      </c>
      <c r="K13" s="52"/>
      <c r="L13" s="52"/>
      <c r="M13" s="52"/>
      <c r="N13" s="81"/>
      <c r="O13" s="187"/>
    </row>
    <row r="14" spans="1:15" ht="14.25">
      <c r="A14" s="52" t="s">
        <v>393</v>
      </c>
      <c r="B14" s="52"/>
      <c r="C14" s="52"/>
      <c r="D14" s="63"/>
      <c r="E14" s="63"/>
      <c r="F14" s="67">
        <f ca="1">F174+F179+F184+F189+F152/3</f>
        <v>2789.4485154851336</v>
      </c>
      <c r="G14" s="67">
        <f ca="1">G174+G179+G184+G189+G152/3</f>
        <v>2720.9391208859993</v>
      </c>
      <c r="H14" s="67">
        <f ca="1">H174+H179+H184+H189+H152/3</f>
        <v>2712.6650353182899</v>
      </c>
      <c r="I14" s="67">
        <f ca="1">I174+I179+I184+I189+I152/3</f>
        <v>2709.5347174222484</v>
      </c>
      <c r="J14" s="67">
        <f ca="1">J174+J179+J184+J189+J152/3</f>
        <v>2708.0993986673629</v>
      </c>
      <c r="K14" s="52"/>
      <c r="L14" s="52"/>
      <c r="M14" s="52"/>
      <c r="N14" s="81"/>
      <c r="O14" s="187"/>
    </row>
    <row r="15" spans="1:15" ht="15.75">
      <c r="A15" s="19" t="s">
        <v>119</v>
      </c>
      <c r="B15" s="19"/>
      <c r="C15" s="19"/>
      <c r="D15" s="63"/>
      <c r="E15" s="63"/>
      <c r="F15" s="65"/>
      <c r="G15" s="65"/>
      <c r="H15" s="65"/>
      <c r="I15" s="65"/>
      <c r="J15" s="65"/>
      <c r="K15" s="52"/>
      <c r="L15" s="52"/>
      <c r="M15" s="52"/>
      <c r="N15" s="81"/>
      <c r="O15" s="187"/>
    </row>
    <row r="16" spans="1:15">
      <c r="A16" s="5" t="s">
        <v>300</v>
      </c>
      <c r="B16" s="5"/>
      <c r="C16" s="5"/>
      <c r="E16" s="61" t="s">
        <v>120</v>
      </c>
      <c r="K16" s="52"/>
      <c r="L16" s="115"/>
      <c r="M16" s="115"/>
      <c r="N16" s="115"/>
      <c r="O16" s="115"/>
    </row>
    <row r="17" spans="1:15">
      <c r="A17" s="7" t="s">
        <v>270</v>
      </c>
      <c r="B17" s="7"/>
      <c r="C17" s="7"/>
      <c r="E17" s="6">
        <f>'Cost Input'!J7</f>
        <v>92.2</v>
      </c>
      <c r="K17" s="191"/>
      <c r="L17" s="115"/>
      <c r="M17" s="115"/>
      <c r="N17" s="115"/>
      <c r="O17" s="115"/>
    </row>
    <row r="18" spans="1:15">
      <c r="A18" s="7" t="s">
        <v>56</v>
      </c>
      <c r="B18" s="7"/>
      <c r="C18" s="7"/>
      <c r="E18" s="6"/>
      <c r="F18" s="82">
        <f ca="1">'Battery Design'!F7/'Cost Input'!$J$5*100/$E$17*100</f>
        <v>72.413247411251092</v>
      </c>
      <c r="G18" s="82">
        <f ca="1">'Battery Design'!G7/'Cost Input'!$J$5*100/$E$17*100</f>
        <v>145.77354165881337</v>
      </c>
      <c r="H18" s="82">
        <f ca="1">'Battery Design'!H7/'Cost Input'!$J$5*100/$E$17*100</f>
        <v>219.94985756045273</v>
      </c>
      <c r="I18" s="82">
        <f ca="1">'Battery Design'!I7/'Cost Input'!$J$5*100/$E$17*100</f>
        <v>295.00302181010466</v>
      </c>
      <c r="J18" s="82">
        <f ca="1">'Battery Design'!J7/'Cost Input'!$J$5*100/$E$17*100</f>
        <v>370.96033456436709</v>
      </c>
      <c r="K18" s="138"/>
    </row>
    <row r="19" spans="1:15">
      <c r="A19" s="7" t="s">
        <v>349</v>
      </c>
      <c r="B19" s="7"/>
      <c r="C19" s="7"/>
      <c r="E19" s="6"/>
      <c r="F19" s="82">
        <f ca="1">'Battery Design'!F8/'Cost Input'!$J$5*100/$E$17*100</f>
        <v>4.881791960309263</v>
      </c>
      <c r="G19" s="82">
        <f ca="1">'Battery Design'!G8/'Cost Input'!$J$5*100/$E$17*100</f>
        <v>9.8274297747514634</v>
      </c>
      <c r="H19" s="82">
        <f ca="1">'Battery Design'!H8/'Cost Input'!$J$5*100/$E$17*100</f>
        <v>14.828080284974343</v>
      </c>
      <c r="I19" s="82">
        <f ca="1">'Battery Design'!I8/'Cost Input'!$J$5*100/$E$17*100</f>
        <v>19.887844166973348</v>
      </c>
      <c r="J19" s="82">
        <f ca="1">'Battery Design'!J8/'Cost Input'!$J$5*100/$E$17*100</f>
        <v>25.008561880743844</v>
      </c>
      <c r="K19" s="138"/>
    </row>
    <row r="20" spans="1:15">
      <c r="A20" s="7" t="s">
        <v>62</v>
      </c>
      <c r="B20" s="7"/>
      <c r="C20" s="7"/>
      <c r="E20" s="6"/>
      <c r="F20" s="82">
        <f ca="1">'Battery Design'!F9/'Cost Input'!$J$5*100/$E$17*100</f>
        <v>4.0681599669243864</v>
      </c>
      <c r="G20" s="82">
        <f ca="1">'Battery Design'!G9/'Cost Input'!$J$5*100/$E$17*100</f>
        <v>8.1895248122928859</v>
      </c>
      <c r="H20" s="82">
        <f ca="1">'Battery Design'!H9/'Cost Input'!$J$5*100/$E$17*100</f>
        <v>12.356733570811949</v>
      </c>
      <c r="I20" s="82">
        <f ca="1">'Battery Design'!I9/'Cost Input'!$J$5*100/$E$17*100</f>
        <v>16.573203472477793</v>
      </c>
      <c r="J20" s="82">
        <f ca="1">'Battery Design'!J9/'Cost Input'!$J$5*100/$E$17*100</f>
        <v>20.840468233953207</v>
      </c>
      <c r="K20" s="138"/>
    </row>
    <row r="21" spans="1:15">
      <c r="A21" s="7" t="s">
        <v>64</v>
      </c>
      <c r="B21" s="7"/>
      <c r="C21" s="7"/>
      <c r="E21" s="6"/>
      <c r="F21" s="82">
        <f ca="1">96/4*F20</f>
        <v>97.635839206185267</v>
      </c>
      <c r="G21" s="82">
        <f ca="1">96/4*G20</f>
        <v>196.54859549502925</v>
      </c>
      <c r="H21" s="82">
        <f ca="1">96/4*H20</f>
        <v>296.56160569948679</v>
      </c>
      <c r="I21" s="82">
        <f ca="1">96/4*I20</f>
        <v>397.75688333946704</v>
      </c>
      <c r="J21" s="82">
        <f ca="1">96/4*J20</f>
        <v>500.17123761487699</v>
      </c>
      <c r="K21" s="138"/>
    </row>
    <row r="22" spans="1:15">
      <c r="A22" s="7" t="s">
        <v>384</v>
      </c>
      <c r="B22" s="7"/>
      <c r="C22" s="7"/>
      <c r="E22" s="6"/>
      <c r="F22" s="82">
        <f ca="1">SUM(F18:F20)</f>
        <v>81.363199338484733</v>
      </c>
      <c r="G22" s="82">
        <f ca="1">SUM(G18:G20)</f>
        <v>163.79049624585772</v>
      </c>
      <c r="H22" s="82">
        <f ca="1">SUM(H18:H20)</f>
        <v>247.134671416239</v>
      </c>
      <c r="I22" s="82">
        <f ca="1">SUM(I18:I20)</f>
        <v>331.46406944955584</v>
      </c>
      <c r="J22" s="82">
        <f ca="1">SUM(J18:J20)</f>
        <v>416.80936467906417</v>
      </c>
      <c r="K22" s="138"/>
    </row>
    <row r="23" spans="1:15">
      <c r="A23" s="7" t="s">
        <v>271</v>
      </c>
      <c r="B23" s="7"/>
      <c r="C23" s="7"/>
      <c r="E23" s="6">
        <f>'Cost Input'!J8</f>
        <v>92.2</v>
      </c>
      <c r="F23" s="82"/>
      <c r="G23" s="82"/>
      <c r="H23" s="82"/>
      <c r="I23" s="82"/>
      <c r="J23" s="82"/>
      <c r="K23" s="138"/>
    </row>
    <row r="24" spans="1:15">
      <c r="A24" s="7" t="s">
        <v>56</v>
      </c>
      <c r="B24" s="7"/>
      <c r="C24" s="7"/>
      <c r="E24" s="146"/>
      <c r="F24" s="82">
        <f ca="1">'Battery Design'!F13/$E$23*100/'Cost Input'!$J$5*100</f>
        <v>51.776809115837153</v>
      </c>
      <c r="G24" s="82">
        <f ca="1">'Battery Design'!G13/$E$23*100/'Cost Input'!$J$5*100</f>
        <v>103.72140681359487</v>
      </c>
      <c r="H24" s="82">
        <f ca="1">'Battery Design'!H13/$E$23*100/'Cost Input'!$J$5*100</f>
        <v>155.78836883925732</v>
      </c>
      <c r="I24" s="82">
        <f ca="1">'Battery Design'!I13/$E$23*100/'Cost Input'!$J$5*100</f>
        <v>208.30194671312748</v>
      </c>
      <c r="J24" s="82">
        <f ca="1">'Battery Design'!J13/$E$23*100/'Cost Input'!$J$5*100</f>
        <v>261.34537535168744</v>
      </c>
      <c r="K24" s="138"/>
    </row>
    <row r="25" spans="1:15">
      <c r="A25" s="7" t="s">
        <v>60</v>
      </c>
      <c r="B25" s="7"/>
      <c r="C25" s="7"/>
      <c r="E25" s="146"/>
      <c r="F25" s="82">
        <f ca="1">'Battery Design'!F14/$E$23*100/'Cost Input'!$J$5*100</f>
        <v>0</v>
      </c>
      <c r="G25" s="82">
        <f ca="1">'Battery Design'!G14/$E$23*100/'Cost Input'!$J$5*100</f>
        <v>0</v>
      </c>
      <c r="H25" s="82">
        <f ca="1">'Battery Design'!H14/$E$23*100/'Cost Input'!$J$5*100</f>
        <v>0</v>
      </c>
      <c r="I25" s="82">
        <f ca="1">'Battery Design'!I14/$E$23*100/'Cost Input'!$J$5*100</f>
        <v>0</v>
      </c>
      <c r="J25" s="82">
        <f ca="1">'Battery Design'!J14/$E$23*100/'Cost Input'!$J$5*100</f>
        <v>0</v>
      </c>
      <c r="K25" s="138"/>
    </row>
    <row r="26" spans="1:15">
      <c r="A26" s="7" t="s">
        <v>394</v>
      </c>
      <c r="B26" s="7"/>
      <c r="C26" s="7"/>
      <c r="E26" s="146"/>
      <c r="F26" s="82">
        <f ca="1">'Battery Design'!F15/$E$23*100/'Cost Input'!$J$5*100</f>
        <v>2.7250952166233335</v>
      </c>
      <c r="G26" s="82">
        <f ca="1">'Battery Design'!G15/$E$23*100/'Cost Input'!$J$5*100</f>
        <v>5.459021411241836</v>
      </c>
      <c r="H26" s="82">
        <f ca="1">'Battery Design'!H15/$E$23*100/'Cost Input'!$J$5*100</f>
        <v>8.1993878336451207</v>
      </c>
      <c r="I26" s="82">
        <f ca="1">'Battery Design'!I15/$E$23*100/'Cost Input'!$J$5*100</f>
        <v>10.9632603533225</v>
      </c>
      <c r="J26" s="82">
        <f ca="1">'Battery Design'!J15/$E$23*100/'Cost Input'!$J$5*100</f>
        <v>13.755019755351974</v>
      </c>
      <c r="K26" s="138"/>
    </row>
    <row r="27" spans="1:15">
      <c r="A27" s="7" t="s">
        <v>379</v>
      </c>
      <c r="B27" s="7"/>
      <c r="C27" s="7"/>
      <c r="E27" s="146"/>
      <c r="F27" s="82">
        <f ca="1">96/4*F26</f>
        <v>65.402285198960001</v>
      </c>
      <c r="G27" s="82">
        <f ca="1">96/4*G26</f>
        <v>131.01651386980407</v>
      </c>
      <c r="H27" s="82">
        <f ca="1">96/4*H26</f>
        <v>196.78530800748291</v>
      </c>
      <c r="I27" s="82">
        <f ca="1">96/4*I26</f>
        <v>263.11824847974003</v>
      </c>
      <c r="J27" s="82">
        <f ca="1">96/4*J26</f>
        <v>330.12047412844737</v>
      </c>
      <c r="K27" s="138"/>
    </row>
    <row r="28" spans="1:15">
      <c r="A28" s="7" t="s">
        <v>384</v>
      </c>
      <c r="B28" s="7"/>
      <c r="C28" s="7"/>
      <c r="E28" s="146"/>
      <c r="F28" s="82">
        <f ca="1">SUM(F24:F26)</f>
        <v>54.501904332460484</v>
      </c>
      <c r="G28" s="82">
        <f ca="1">SUM(G24:G26)</f>
        <v>109.1804282248367</v>
      </c>
      <c r="H28" s="82">
        <f ca="1">SUM(H24:H26)</f>
        <v>163.98775667290244</v>
      </c>
      <c r="I28" s="82">
        <f ca="1">SUM(I24:I26)</f>
        <v>219.26520706644999</v>
      </c>
      <c r="J28" s="82">
        <f ca="1">SUM(J24:J26)</f>
        <v>275.10039510703939</v>
      </c>
      <c r="K28" s="140"/>
    </row>
    <row r="29" spans="1:15" ht="14.25">
      <c r="A29" s="7" t="s">
        <v>122</v>
      </c>
      <c r="B29" s="7"/>
      <c r="C29" s="7"/>
      <c r="E29" s="6">
        <f>'Cost Input'!J9</f>
        <v>90.2</v>
      </c>
      <c r="F29" s="59">
        <f ca="1">'Battery Design'!F19/$E29*100/'Cost Input'!$J$5*100</f>
        <v>1.050710449924237</v>
      </c>
      <c r="G29" s="59">
        <f ca="1">'Battery Design'!G19/$E29*100/'Cost Input'!$J$5*100</f>
        <v>0.66878686279991106</v>
      </c>
      <c r="H29" s="59">
        <f ca="1">'Battery Design'!H19/$E29*100/'Cost Input'!$J$5*100</f>
        <v>0.61903695882769583</v>
      </c>
      <c r="I29" s="59">
        <f ca="1">'Battery Design'!I19/$E29*100/'Cost Input'!$J$5*100</f>
        <v>0.59782710508045778</v>
      </c>
      <c r="J29" s="59">
        <f ca="1">'Battery Design'!J19/$E29*100/'Cost Input'!$J$5*100</f>
        <v>0.58646869995488971</v>
      </c>
      <c r="K29" s="140"/>
    </row>
    <row r="30" spans="1:15" ht="14.25">
      <c r="A30" s="7" t="s">
        <v>123</v>
      </c>
      <c r="B30" s="7"/>
      <c r="C30" s="7"/>
      <c r="E30" s="6">
        <f>'Cost Input'!J10</f>
        <v>90.2</v>
      </c>
      <c r="F30" s="59">
        <f ca="1">'Battery Design'!F20/$E30*100/'Cost Input'!$J$5*100</f>
        <v>1.1041346423060867</v>
      </c>
      <c r="G30" s="59">
        <f ca="1">'Battery Design'!G20/$E30*100/'Cost Input'!$J$5*100</f>
        <v>0.71116959830412785</v>
      </c>
      <c r="H30" s="59">
        <f ca="1">'Battery Design'!H20/$E30*100/'Cost Input'!$J$5*100</f>
        <v>0.66495019724872195</v>
      </c>
      <c r="I30" s="59">
        <f ca="1">'Battery Design'!I20/$E30*100/'Cost Input'!$J$5*100</f>
        <v>0.64932986781227975</v>
      </c>
      <c r="J30" s="59">
        <f ca="1">'Battery Design'!J20/$E30*100/'Cost Input'!$J$5*100</f>
        <v>0.6444483418294481</v>
      </c>
      <c r="K30" s="140"/>
    </row>
    <row r="31" spans="1:15" ht="14.25">
      <c r="A31" s="7" t="s">
        <v>124</v>
      </c>
      <c r="B31" s="7"/>
      <c r="C31" s="7"/>
      <c r="E31" s="6">
        <f>'Cost Input'!J11</f>
        <v>98</v>
      </c>
      <c r="F31" s="59">
        <f ca="1">'Battery Design'!F21/$E31*100/'Cost Input'!$J$5*100</f>
        <v>1.8462717421107093</v>
      </c>
      <c r="G31" s="59">
        <f ca="1">'Battery Design'!G21/$E31*100/'Cost Input'!$J$5*100</f>
        <v>1.1817257019101859</v>
      </c>
      <c r="H31" s="59">
        <f ca="1">'Battery Design'!H21/$E31*100/'Cost Input'!$J$5*100</f>
        <v>1.099708013677404</v>
      </c>
      <c r="I31" s="59">
        <f ca="1">'Battery Design'!I21/$E31*100/'Cost Input'!$J$5*100</f>
        <v>1.066029800612815</v>
      </c>
      <c r="J31" s="59">
        <f ca="1">'Battery Design'!J21/$E31*100/'Cost Input'!$J$5*100</f>
        <v>1.0487052255543206</v>
      </c>
      <c r="K31" s="138"/>
    </row>
    <row r="32" spans="1:15">
      <c r="A32" s="7" t="s">
        <v>125</v>
      </c>
      <c r="B32" s="7"/>
      <c r="C32" s="7"/>
      <c r="E32" s="6">
        <f>'Cost Input'!J12</f>
        <v>94</v>
      </c>
      <c r="F32" s="59">
        <f ca="1">'Battery Design'!F22/$E32*100/'Cost Input'!$J$5*100</f>
        <v>4.4211563432065525E-2</v>
      </c>
      <c r="G32" s="59">
        <f ca="1">'Battery Design'!G22/$E32*100/'Cost Input'!$J$5*100</f>
        <v>6.0604010630450802E-2</v>
      </c>
      <c r="H32" s="59">
        <f ca="1">'Battery Design'!H22/$E32*100/'Cost Input'!$J$5*100</f>
        <v>8.3644195827765069E-2</v>
      </c>
      <c r="I32" s="59">
        <f ca="1">'Battery Design'!I22/$E32*100/'Cost Input'!$J$5*100</f>
        <v>0.1074617442649102</v>
      </c>
      <c r="J32" s="59">
        <f ca="1">'Battery Design'!J22/$E32*100/'Cost Input'!$J$5*100</f>
        <v>0.13172598858250451</v>
      </c>
      <c r="K32" s="83"/>
    </row>
    <row r="33" spans="1:11">
      <c r="A33" s="5" t="s">
        <v>126</v>
      </c>
      <c r="B33" s="5"/>
      <c r="C33" s="5"/>
      <c r="D33" s="3"/>
      <c r="F33" s="83"/>
      <c r="G33" s="83"/>
      <c r="H33" s="83"/>
      <c r="I33" s="83"/>
      <c r="J33" s="83"/>
      <c r="K33" s="83"/>
    </row>
    <row r="34" spans="1:11">
      <c r="A34" s="7" t="s">
        <v>7</v>
      </c>
      <c r="B34" s="7"/>
      <c r="C34" s="7"/>
      <c r="D34" s="3"/>
      <c r="F34" s="83"/>
      <c r="G34" s="83"/>
      <c r="H34" s="83"/>
      <c r="I34" s="83"/>
      <c r="J34" s="83"/>
      <c r="K34" s="100"/>
    </row>
    <row r="35" spans="1:11">
      <c r="A35" s="7" t="s">
        <v>127</v>
      </c>
      <c r="B35" s="7"/>
      <c r="C35" s="7"/>
      <c r="F35" s="84">
        <f t="shared" ref="F35:J37" ca="1" si="0">F18*F$8/1000</f>
        <v>695167.17514801049</v>
      </c>
      <c r="G35" s="84">
        <f t="shared" ca="1" si="0"/>
        <v>1399425.9999246085</v>
      </c>
      <c r="H35" s="84">
        <f t="shared" ca="1" si="0"/>
        <v>2111518.632580346</v>
      </c>
      <c r="I35" s="84">
        <f t="shared" ca="1" si="0"/>
        <v>2832029.0093770046</v>
      </c>
      <c r="J35" s="84">
        <f t="shared" ca="1" si="0"/>
        <v>3561219.2118179239</v>
      </c>
      <c r="K35" s="100"/>
    </row>
    <row r="36" spans="1:11">
      <c r="A36" s="7" t="s">
        <v>350</v>
      </c>
      <c r="B36" s="7"/>
      <c r="C36" s="7"/>
      <c r="F36" s="84">
        <f t="shared" ca="1" si="0"/>
        <v>46865.202818968923</v>
      </c>
      <c r="G36" s="84">
        <f t="shared" ca="1" si="0"/>
        <v>94343.325837614044</v>
      </c>
      <c r="H36" s="84">
        <f t="shared" ca="1" si="0"/>
        <v>142349.57073575369</v>
      </c>
      <c r="I36" s="84">
        <f t="shared" ca="1" si="0"/>
        <v>190923.30400294415</v>
      </c>
      <c r="J36" s="84">
        <f t="shared" ca="1" si="0"/>
        <v>240082.19405514092</v>
      </c>
      <c r="K36" s="100"/>
    </row>
    <row r="37" spans="1:11">
      <c r="A37" s="7" t="s">
        <v>129</v>
      </c>
      <c r="B37" s="7"/>
      <c r="C37" s="7"/>
      <c r="F37" s="84">
        <f t="shared" ca="1" si="0"/>
        <v>39054.335682474106</v>
      </c>
      <c r="G37" s="84">
        <f t="shared" ca="1" si="0"/>
        <v>78619.438198011718</v>
      </c>
      <c r="H37" s="84">
        <f t="shared" ca="1" si="0"/>
        <v>118624.6422797947</v>
      </c>
      <c r="I37" s="84">
        <f t="shared" ca="1" si="0"/>
        <v>159102.75333578681</v>
      </c>
      <c r="J37" s="84">
        <f t="shared" ca="1" si="0"/>
        <v>200068.49504595078</v>
      </c>
      <c r="K37" s="100"/>
    </row>
    <row r="38" spans="1:11">
      <c r="A38" s="7" t="s">
        <v>277</v>
      </c>
      <c r="B38" s="7"/>
      <c r="C38" s="7"/>
      <c r="F38" s="84">
        <f ca="1">F21*F$8/1000*(1-'Cost Input'!$J13/100)</f>
        <v>4686.5202818968964</v>
      </c>
      <c r="G38" s="84">
        <f ca="1">G21*G$8/1000*(1-'Cost Input'!$J13/100)</f>
        <v>9434.332583761412</v>
      </c>
      <c r="H38" s="84">
        <f ca="1">H21*H$8/1000*(1-'Cost Input'!$J13/100)</f>
        <v>14234.957073575379</v>
      </c>
      <c r="I38" s="84">
        <f ca="1">I21*I$8/1000*(1-'Cost Input'!$J13/100)</f>
        <v>19092.330400294435</v>
      </c>
      <c r="J38" s="84">
        <f ca="1">J21*J$8/1000*(1-'Cost Input'!$J13/100)</f>
        <v>24008.219405514115</v>
      </c>
      <c r="K38" s="100"/>
    </row>
    <row r="39" spans="1:11">
      <c r="A39" s="7" t="s">
        <v>130</v>
      </c>
      <c r="B39" s="7"/>
      <c r="C39" s="7"/>
      <c r="F39" s="84"/>
      <c r="G39" s="84"/>
      <c r="H39" s="84"/>
      <c r="I39" s="84"/>
      <c r="J39" s="84"/>
      <c r="K39" s="100"/>
    </row>
    <row r="40" spans="1:11">
      <c r="A40" s="7" t="s">
        <v>131</v>
      </c>
      <c r="B40" s="7"/>
      <c r="C40" s="7"/>
      <c r="F40" s="84">
        <f t="shared" ref="F40:J42" ca="1" si="1">F24*F$8/1000</f>
        <v>497057.3675120367</v>
      </c>
      <c r="G40" s="84">
        <f t="shared" ca="1" si="1"/>
        <v>995725.50541051081</v>
      </c>
      <c r="H40" s="84">
        <f t="shared" ca="1" si="1"/>
        <v>1495568.3408568702</v>
      </c>
      <c r="I40" s="84">
        <f t="shared" ca="1" si="1"/>
        <v>1999698.6884460237</v>
      </c>
      <c r="J40" s="84">
        <f t="shared" ca="1" si="1"/>
        <v>2508915.603376199</v>
      </c>
      <c r="K40" s="100"/>
    </row>
    <row r="41" spans="1:11">
      <c r="A41" s="7" t="s">
        <v>128</v>
      </c>
      <c r="B41" s="7"/>
      <c r="C41" s="7"/>
      <c r="F41" s="84">
        <f t="shared" ca="1" si="1"/>
        <v>0</v>
      </c>
      <c r="G41" s="84">
        <f t="shared" ca="1" si="1"/>
        <v>0</v>
      </c>
      <c r="H41" s="84">
        <f t="shared" ca="1" si="1"/>
        <v>0</v>
      </c>
      <c r="I41" s="84">
        <f t="shared" ca="1" si="1"/>
        <v>0</v>
      </c>
      <c r="J41" s="84">
        <f t="shared" ca="1" si="1"/>
        <v>0</v>
      </c>
      <c r="K41" s="100"/>
    </row>
    <row r="42" spans="1:11">
      <c r="A42" s="7" t="s">
        <v>129</v>
      </c>
      <c r="B42" s="7"/>
      <c r="C42" s="7"/>
      <c r="F42" s="84">
        <f t="shared" ca="1" si="1"/>
        <v>26160.914079584003</v>
      </c>
      <c r="G42" s="84">
        <f t="shared" ca="1" si="1"/>
        <v>52406.60554792163</v>
      </c>
      <c r="H42" s="84">
        <f t="shared" ca="1" si="1"/>
        <v>78714.123202993156</v>
      </c>
      <c r="I42" s="84">
        <f t="shared" ca="1" si="1"/>
        <v>105247.299391896</v>
      </c>
      <c r="J42" s="84">
        <f t="shared" ca="1" si="1"/>
        <v>132048.18965137895</v>
      </c>
      <c r="K42" s="100"/>
    </row>
    <row r="43" spans="1:11" ht="14.25">
      <c r="A43" s="7" t="s">
        <v>122</v>
      </c>
      <c r="B43" s="7"/>
      <c r="C43" s="7"/>
      <c r="F43" s="84">
        <f t="shared" ref="F43:J45" ca="1" si="2">F29*F$8</f>
        <v>10086820.319272675</v>
      </c>
      <c r="G43" s="84">
        <f t="shared" ca="1" si="2"/>
        <v>6420353.8828791464</v>
      </c>
      <c r="H43" s="84">
        <f t="shared" ca="1" si="2"/>
        <v>5942754.80474588</v>
      </c>
      <c r="I43" s="84">
        <f t="shared" ca="1" si="2"/>
        <v>5739140.2087723948</v>
      </c>
      <c r="J43" s="84">
        <f t="shared" ca="1" si="2"/>
        <v>5630099.5195669411</v>
      </c>
      <c r="K43" s="100"/>
    </row>
    <row r="44" spans="1:11" ht="14.25">
      <c r="A44" s="7" t="s">
        <v>123</v>
      </c>
      <c r="B44" s="7"/>
      <c r="C44" s="7"/>
      <c r="F44" s="84">
        <f t="shared" ca="1" si="2"/>
        <v>10599692.566138433</v>
      </c>
      <c r="G44" s="84">
        <f t="shared" ca="1" si="2"/>
        <v>6827228.1437196275</v>
      </c>
      <c r="H44" s="84">
        <f t="shared" ca="1" si="2"/>
        <v>6383521.8935877308</v>
      </c>
      <c r="I44" s="84">
        <f t="shared" ca="1" si="2"/>
        <v>6233566.7309978856</v>
      </c>
      <c r="J44" s="84">
        <f t="shared" ca="1" si="2"/>
        <v>6186704.0815627016</v>
      </c>
      <c r="K44" s="100"/>
    </row>
    <row r="45" spans="1:11" ht="14.25">
      <c r="A45" s="7" t="s">
        <v>124</v>
      </c>
      <c r="B45" s="7"/>
      <c r="C45" s="7"/>
      <c r="F45" s="84">
        <f t="shared" ca="1" si="2"/>
        <v>17724208.724262811</v>
      </c>
      <c r="G45" s="84">
        <f t="shared" ca="1" si="2"/>
        <v>11344566.738337785</v>
      </c>
      <c r="H45" s="84">
        <f t="shared" ca="1" si="2"/>
        <v>10557196.931303078</v>
      </c>
      <c r="I45" s="84">
        <f t="shared" ca="1" si="2"/>
        <v>10233886.085883025</v>
      </c>
      <c r="J45" s="84">
        <f t="shared" ca="1" si="2"/>
        <v>10067570.165321477</v>
      </c>
      <c r="K45" s="100"/>
    </row>
    <row r="46" spans="1:11">
      <c r="A46" s="7" t="s">
        <v>125</v>
      </c>
      <c r="B46" s="7"/>
      <c r="C46" s="7"/>
      <c r="F46" s="84">
        <f ca="1">F32*F$8</f>
        <v>424431.00894782902</v>
      </c>
      <c r="G46" s="84">
        <f ca="1">G32*G$8</f>
        <v>581798.50205232773</v>
      </c>
      <c r="H46" s="84">
        <f ca="1">H32*H$8</f>
        <v>802984.27994654467</v>
      </c>
      <c r="I46" s="84">
        <f ca="1">I32*I$8</f>
        <v>1031632.744943138</v>
      </c>
      <c r="J46" s="84">
        <f ca="1">J32*J$8</f>
        <v>1264569.4903920433</v>
      </c>
      <c r="K46" s="100"/>
    </row>
    <row r="47" spans="1:11">
      <c r="A47" s="47" t="s">
        <v>132</v>
      </c>
      <c r="B47" s="47"/>
      <c r="C47" s="47"/>
      <c r="F47" s="84">
        <f>F$8/'Cost Input'!$J5*100</f>
        <v>10105263.157894738</v>
      </c>
      <c r="G47" s="84">
        <f>G$8/'Cost Input'!$J5*100</f>
        <v>10105263.157894738</v>
      </c>
      <c r="H47" s="84">
        <f>H$8/'Cost Input'!$J5*100</f>
        <v>10105263.157894738</v>
      </c>
      <c r="I47" s="84">
        <f>I$8/'Cost Input'!$J5*100</f>
        <v>10105263.157894738</v>
      </c>
      <c r="J47" s="84">
        <f>J$8/'Cost Input'!$J5*100</f>
        <v>10105263.157894738</v>
      </c>
      <c r="K47" s="100"/>
    </row>
    <row r="48" spans="1:11">
      <c r="A48" s="47" t="s">
        <v>133</v>
      </c>
      <c r="B48" s="47"/>
      <c r="C48" s="47"/>
      <c r="F48" s="84">
        <f>F47</f>
        <v>10105263.157894738</v>
      </c>
      <c r="G48" s="84">
        <f>G47</f>
        <v>10105263.157894738</v>
      </c>
      <c r="H48" s="84">
        <f>H47</f>
        <v>10105263.157894738</v>
      </c>
      <c r="I48" s="84">
        <f>I47</f>
        <v>10105263.157894738</v>
      </c>
      <c r="J48" s="84">
        <f>J47</f>
        <v>10105263.157894738</v>
      </c>
      <c r="K48" s="100"/>
    </row>
    <row r="49" spans="1:11">
      <c r="A49" s="47" t="s">
        <v>134</v>
      </c>
      <c r="B49" s="47"/>
      <c r="C49" s="47"/>
      <c r="F49" s="84">
        <f ca="1">F129</f>
        <v>40209.452424381263</v>
      </c>
      <c r="G49" s="84">
        <f ca="1">G129</f>
        <v>32357.010840674742</v>
      </c>
      <c r="H49" s="84">
        <f ca="1">H129</f>
        <v>31384.029256978833</v>
      </c>
      <c r="I49" s="84">
        <f ca="1">I129</f>
        <v>31014.354389959164</v>
      </c>
      <c r="J49" s="84">
        <f ca="1">J129</f>
        <v>30844.555934050026</v>
      </c>
      <c r="K49" s="100"/>
    </row>
    <row r="50" spans="1:11">
      <c r="A50" s="52" t="s">
        <v>468</v>
      </c>
      <c r="B50" s="47"/>
      <c r="C50" s="47"/>
      <c r="F50" s="84">
        <f ca="1">(F21)*F8/1000</f>
        <v>937304.05637937854</v>
      </c>
      <c r="G50" s="84">
        <f ca="1">(G21)*G8/1000</f>
        <v>1886866.5167522808</v>
      </c>
      <c r="H50" s="84">
        <f ca="1">(H21)*H8/1000</f>
        <v>2846991.4147150731</v>
      </c>
      <c r="I50" s="84">
        <f ca="1">(I21)*I8/1000</f>
        <v>3818466.0800588839</v>
      </c>
      <c r="J50" s="84">
        <f ca="1">(J21)*J8/1000</f>
        <v>4801643.881102819</v>
      </c>
      <c r="K50" s="100"/>
    </row>
    <row r="51" spans="1:11">
      <c r="A51" s="52" t="s">
        <v>469</v>
      </c>
      <c r="B51" s="47"/>
      <c r="C51" s="47"/>
      <c r="F51" s="84">
        <f ca="1">F27*F8/1000</f>
        <v>627861.93791001604</v>
      </c>
      <c r="G51" s="84">
        <f ca="1">G27*G8/1000</f>
        <v>1257758.533150119</v>
      </c>
      <c r="H51" s="84">
        <f ca="1">H27*H8/1000</f>
        <v>1889138.956871836</v>
      </c>
      <c r="I51" s="84">
        <f ca="1">I27*I8/1000</f>
        <v>2525935.1854055044</v>
      </c>
      <c r="J51" s="84">
        <f ca="1">J27*J8/1000</f>
        <v>3169156.5516330949</v>
      </c>
      <c r="K51" s="100"/>
    </row>
    <row r="52" spans="1:11">
      <c r="A52" s="81" t="s">
        <v>135</v>
      </c>
      <c r="B52" s="81"/>
      <c r="C52" s="81"/>
      <c r="D52" s="8" t="s">
        <v>51</v>
      </c>
      <c r="E52" s="8" t="s">
        <v>53</v>
      </c>
      <c r="F52" s="85"/>
      <c r="G52" s="85"/>
      <c r="H52" s="85"/>
      <c r="I52" s="85"/>
      <c r="J52" s="85"/>
      <c r="K52" s="100"/>
    </row>
    <row r="53" spans="1:11">
      <c r="A53" s="7" t="s">
        <v>52</v>
      </c>
      <c r="B53" s="7"/>
      <c r="C53" s="7"/>
      <c r="D53" s="3"/>
      <c r="F53" s="85"/>
      <c r="G53" s="85"/>
      <c r="H53" s="85"/>
      <c r="I53" s="85"/>
      <c r="J53" s="85"/>
      <c r="K53" s="103"/>
    </row>
    <row r="54" spans="1:11">
      <c r="A54" s="7" t="s">
        <v>56</v>
      </c>
      <c r="B54" s="7"/>
      <c r="C54" s="7"/>
      <c r="D54" s="69">
        <f>'Cost Input'!D20</f>
        <v>36</v>
      </c>
      <c r="E54" s="69">
        <f>'Cost Input'!E20</f>
        <v>0.95</v>
      </c>
      <c r="F54" s="86">
        <f ca="1">$D54*('Cost Input'!$E$13/F$35)^(1-$E54)</f>
        <v>37.659961746920409</v>
      </c>
      <c r="G54" s="86">
        <f ca="1">$D54*('Cost Input'!$E$13/G$35)^(1-$E54)</f>
        <v>36.365272015615737</v>
      </c>
      <c r="H54" s="86">
        <f ca="1">$D54*('Cost Input'!$E$13/H$35)^(1-$E54)</f>
        <v>35.62497690713554</v>
      </c>
      <c r="I54" s="86">
        <f ca="1">$D54*('Cost Input'!$E$13/I$35)^(1-$E54)</f>
        <v>35.105846740101718</v>
      </c>
      <c r="J54" s="86">
        <f ca="1">$D54*('Cost Input'!$E$13/J$35)^(1-$E54)</f>
        <v>34.705987179978671</v>
      </c>
      <c r="K54" s="103"/>
    </row>
    <row r="55" spans="1:11">
      <c r="A55" s="7" t="s">
        <v>349</v>
      </c>
      <c r="B55" s="7"/>
      <c r="C55" s="7"/>
      <c r="D55" s="69">
        <f>'Cost Input'!D21</f>
        <v>6.8</v>
      </c>
      <c r="E55" s="69">
        <f>'Cost Input'!E21</f>
        <v>1</v>
      </c>
      <c r="F55" s="86">
        <f ca="1">$D55*('Cost Input'!$E$13/F$35)^(1-$E55)</f>
        <v>6.8</v>
      </c>
      <c r="G55" s="86">
        <f ca="1">$D55*('Cost Input'!$E$13/G$35)^(1-$E55)</f>
        <v>6.8</v>
      </c>
      <c r="H55" s="86">
        <f ca="1">$D55*('Cost Input'!$E$13/H$35)^(1-$E55)</f>
        <v>6.8</v>
      </c>
      <c r="I55" s="86">
        <f ca="1">$D55*('Cost Input'!$E$13/I$35)^(1-$E55)</f>
        <v>6.8</v>
      </c>
      <c r="J55" s="86">
        <f ca="1">$D55*('Cost Input'!$E$13/J$35)^(1-$E55)</f>
        <v>6.8</v>
      </c>
      <c r="K55" s="103"/>
    </row>
    <row r="56" spans="1:11">
      <c r="A56" s="7" t="s">
        <v>62</v>
      </c>
      <c r="B56" s="7"/>
      <c r="C56" s="7"/>
      <c r="D56" s="69">
        <f>'Cost Input'!D22</f>
        <v>10</v>
      </c>
      <c r="E56" s="69">
        <f>'Cost Input'!E22</f>
        <v>1</v>
      </c>
      <c r="F56" s="86">
        <f ca="1">$D56*('Cost Input'!$E$13/F$35)^(1-$E56)</f>
        <v>10</v>
      </c>
      <c r="G56" s="86">
        <f ca="1">$D56*('Cost Input'!$E$13/G$35)^(1-$E56)</f>
        <v>10</v>
      </c>
      <c r="H56" s="86">
        <f ca="1">$D56*('Cost Input'!$E$13/H$35)^(1-$E56)</f>
        <v>10</v>
      </c>
      <c r="I56" s="86">
        <f ca="1">$D56*('Cost Input'!$E$13/I$35)^(1-$E56)</f>
        <v>10</v>
      </c>
      <c r="J56" s="86">
        <f ca="1">$D56*('Cost Input'!$E$13/J$35)^(1-$E56)</f>
        <v>10</v>
      </c>
      <c r="K56" s="103"/>
    </row>
    <row r="57" spans="1:11">
      <c r="A57" s="7" t="s">
        <v>64</v>
      </c>
      <c r="B57" s="7"/>
      <c r="C57" s="7"/>
      <c r="D57" s="69">
        <f>'Cost Input'!D23</f>
        <v>3.2</v>
      </c>
      <c r="E57" s="69">
        <f>'Cost Input'!E23</f>
        <v>1</v>
      </c>
      <c r="F57" s="86">
        <f ca="1">$D57*('Cost Input'!$E$13/F$35)^(1-$E57)</f>
        <v>3.2</v>
      </c>
      <c r="G57" s="86">
        <f ca="1">$D57*('Cost Input'!$E$13/G$35)^(1-$E57)</f>
        <v>3.2</v>
      </c>
      <c r="H57" s="86">
        <f ca="1">$D57*('Cost Input'!$E$13/H$35)^(1-$E57)</f>
        <v>3.2</v>
      </c>
      <c r="I57" s="86">
        <f ca="1">$D57*('Cost Input'!$E$13/I$35)^(1-$E57)</f>
        <v>3.2</v>
      </c>
      <c r="J57" s="86">
        <f ca="1">$D57*('Cost Input'!$E$13/J$35)^(1-$E57)</f>
        <v>3.2</v>
      </c>
      <c r="K57" s="103"/>
    </row>
    <row r="58" spans="1:11">
      <c r="A58" s="7" t="s">
        <v>66</v>
      </c>
      <c r="B58" s="7"/>
      <c r="C58" s="7"/>
      <c r="D58" s="69"/>
      <c r="E58" s="69"/>
      <c r="F58" s="87"/>
      <c r="G58" s="87"/>
      <c r="H58" s="87"/>
      <c r="I58" s="87"/>
      <c r="J58" s="87"/>
      <c r="K58" s="103"/>
    </row>
    <row r="59" spans="1:11">
      <c r="A59" s="7" t="s">
        <v>56</v>
      </c>
      <c r="B59" s="7"/>
      <c r="C59" s="7"/>
      <c r="D59" s="69">
        <f>'Cost Input'!D25</f>
        <v>19</v>
      </c>
      <c r="E59" s="69">
        <f>'Cost Input'!E25</f>
        <v>0.95</v>
      </c>
      <c r="F59" s="86">
        <f ca="1">$D59*('Cost Input'!$E$14/F$40)^(1-$E59)</f>
        <v>19.863410155337863</v>
      </c>
      <c r="G59" s="86">
        <f ca="1">$D59*('Cost Input'!$E$14/G$40)^(1-$E59)</f>
        <v>19.185236382389029</v>
      </c>
      <c r="H59" s="86">
        <f ca="1">$D59*('Cost Input'!$E$14/H$40)^(1-$E59)</f>
        <v>18.798959963747549</v>
      </c>
      <c r="I59" s="86">
        <f ca="1">$D59*('Cost Input'!$E$14/I$40)^(1-$E59)</f>
        <v>18.527887627122752</v>
      </c>
      <c r="J59" s="86">
        <f ca="1">$D59*('Cost Input'!$E$14/J$40)^(1-$E59)</f>
        <v>18.31891862621633</v>
      </c>
      <c r="K59" s="103"/>
    </row>
    <row r="60" spans="1:11">
      <c r="A60" s="7" t="s">
        <v>60</v>
      </c>
      <c r="B60" s="7"/>
      <c r="C60" s="7"/>
      <c r="D60" s="69">
        <f>'Cost Input'!D26</f>
        <v>6.8</v>
      </c>
      <c r="E60" s="69">
        <f>'Cost Input'!E26</f>
        <v>1</v>
      </c>
      <c r="F60" s="86">
        <f ca="1">$D60*('Cost Input'!$E$14/F$40)^(1-$E60)</f>
        <v>6.8</v>
      </c>
      <c r="G60" s="86">
        <f ca="1">$D60*('Cost Input'!$E$14/G$40)^(1-$E60)</f>
        <v>6.8</v>
      </c>
      <c r="H60" s="86">
        <f ca="1">$D60*('Cost Input'!$E$14/H$40)^(1-$E60)</f>
        <v>6.8</v>
      </c>
      <c r="I60" s="86">
        <f ca="1">$D60*('Cost Input'!$E$14/I$40)^(1-$E60)</f>
        <v>6.8</v>
      </c>
      <c r="J60" s="86">
        <f ca="1">$D60*('Cost Input'!$E$14/J$40)^(1-$E60)</f>
        <v>6.8</v>
      </c>
      <c r="K60" s="103"/>
    </row>
    <row r="61" spans="1:11">
      <c r="A61" s="7" t="s">
        <v>394</v>
      </c>
      <c r="B61" s="7"/>
      <c r="C61" s="7"/>
      <c r="D61" s="69">
        <f>'Cost Input'!D27</f>
        <v>10</v>
      </c>
      <c r="E61" s="69">
        <f>'Cost Input'!E27</f>
        <v>1</v>
      </c>
      <c r="F61" s="86">
        <f ca="1">$D61*('Cost Input'!$E$14/F$40)^(1-$E61)</f>
        <v>10</v>
      </c>
      <c r="G61" s="86">
        <f ca="1">$D61*('Cost Input'!$E$14/G$40)^(1-$E61)</f>
        <v>10</v>
      </c>
      <c r="H61" s="86">
        <f ca="1">$D61*('Cost Input'!$E$14/H$40)^(1-$E61)</f>
        <v>10</v>
      </c>
      <c r="I61" s="86">
        <f ca="1">$D61*('Cost Input'!$E$14/I$40)^(1-$E61)</f>
        <v>10</v>
      </c>
      <c r="J61" s="86">
        <f ca="1">$D61*('Cost Input'!$E$14/J$40)^(1-$E61)</f>
        <v>10</v>
      </c>
      <c r="K61" s="103"/>
    </row>
    <row r="62" spans="1:11" ht="14.25">
      <c r="A62" s="7" t="s">
        <v>380</v>
      </c>
      <c r="B62" s="7"/>
      <c r="C62" s="7"/>
      <c r="D62" s="69">
        <f>'Cost Input'!D29</f>
        <v>0.8</v>
      </c>
      <c r="E62" s="69">
        <f>'Cost Input'!E29</f>
        <v>1</v>
      </c>
      <c r="F62" s="86">
        <f ca="1">$D62*('Cost Input'!$E$12/F$10)^(1-$E62)</f>
        <v>0.8</v>
      </c>
      <c r="G62" s="86">
        <f ca="1">$D62*('Cost Input'!$E$12/G$10)^(1-$E62)</f>
        <v>0.8</v>
      </c>
      <c r="H62" s="86">
        <f ca="1">$D62*('Cost Input'!$E$12/H$10)^(1-$E62)</f>
        <v>0.8</v>
      </c>
      <c r="I62" s="86">
        <f ca="1">$D62*('Cost Input'!$E$12/I$10)^(1-$E62)</f>
        <v>0.8</v>
      </c>
      <c r="J62" s="86">
        <f ca="1">$D62*('Cost Input'!$E$12/J$10)^(1-$E62)</f>
        <v>0.8</v>
      </c>
    </row>
    <row r="63" spans="1:11" ht="14.25">
      <c r="A63" s="7" t="s">
        <v>381</v>
      </c>
      <c r="B63" s="7"/>
      <c r="C63" s="7"/>
      <c r="D63" s="69">
        <f>'Cost Input'!D30</f>
        <v>3</v>
      </c>
      <c r="E63" s="69">
        <f>'Cost Input'!E30</f>
        <v>1</v>
      </c>
      <c r="F63" s="86">
        <f ca="1">$D63*('Cost Input'!$E$12/F$10)^(1-$E63)</f>
        <v>3</v>
      </c>
      <c r="G63" s="86">
        <f ca="1">$D63*('Cost Input'!$E$12/G$10)^(1-$E63)</f>
        <v>3</v>
      </c>
      <c r="H63" s="86">
        <f ca="1">$D63*('Cost Input'!$E$12/H$10)^(1-$E63)</f>
        <v>3</v>
      </c>
      <c r="I63" s="86">
        <f ca="1">$D63*('Cost Input'!$E$12/I$10)^(1-$E63)</f>
        <v>3</v>
      </c>
      <c r="J63" s="86">
        <f ca="1">$D63*('Cost Input'!$E$12/J$10)^(1-$E63)</f>
        <v>3</v>
      </c>
    </row>
    <row r="64" spans="1:11" ht="14.25">
      <c r="A64" s="7" t="s">
        <v>72</v>
      </c>
      <c r="B64" s="7"/>
      <c r="C64" s="7"/>
      <c r="D64" s="69">
        <f>'Cost Input'!D31</f>
        <v>2</v>
      </c>
      <c r="E64" s="69">
        <f>'Cost Input'!E31</f>
        <v>1</v>
      </c>
      <c r="F64" s="86">
        <f ca="1">$D64*('Cost Input'!$E$12/F$10)^(1-$E64)</f>
        <v>2</v>
      </c>
      <c r="G64" s="86">
        <f ca="1">$D64*('Cost Input'!$E$12/G$10)^(1-$E64)</f>
        <v>2</v>
      </c>
      <c r="H64" s="86">
        <f ca="1">$D64*('Cost Input'!$E$12/H$10)^(1-$E64)</f>
        <v>2</v>
      </c>
      <c r="I64" s="86">
        <f ca="1">$D64*('Cost Input'!$E$12/I$10)^(1-$E64)</f>
        <v>2</v>
      </c>
      <c r="J64" s="86">
        <f ca="1">$D64*('Cost Input'!$E$12/J$10)^(1-$E64)</f>
        <v>2</v>
      </c>
    </row>
    <row r="65" spans="1:10">
      <c r="A65" s="47" t="s">
        <v>73</v>
      </c>
      <c r="B65" s="47"/>
      <c r="C65" s="47"/>
      <c r="D65" s="69">
        <f>'Cost Input'!D32</f>
        <v>5</v>
      </c>
      <c r="E65" s="69">
        <f>'Cost Input'!E32</f>
        <v>1</v>
      </c>
      <c r="F65" s="86">
        <f t="shared" ref="F65:J66" si="3">IF($E65=1,$D65)</f>
        <v>5</v>
      </c>
      <c r="G65" s="86">
        <f t="shared" si="3"/>
        <v>5</v>
      </c>
      <c r="H65" s="86">
        <f t="shared" si="3"/>
        <v>5</v>
      </c>
      <c r="I65" s="86">
        <f t="shared" si="3"/>
        <v>5</v>
      </c>
      <c r="J65" s="86">
        <f t="shared" si="3"/>
        <v>5</v>
      </c>
    </row>
    <row r="66" spans="1:10">
      <c r="A66" s="7" t="s">
        <v>74</v>
      </c>
      <c r="B66" s="7"/>
      <c r="C66" s="7"/>
      <c r="D66" s="69">
        <f>'Cost Input'!D33</f>
        <v>16</v>
      </c>
      <c r="E66" s="69">
        <f>'Cost Input'!E33</f>
        <v>1</v>
      </c>
      <c r="F66" s="86">
        <f t="shared" si="3"/>
        <v>16</v>
      </c>
      <c r="G66" s="86">
        <f t="shared" si="3"/>
        <v>16</v>
      </c>
      <c r="H66" s="86">
        <f t="shared" si="3"/>
        <v>16</v>
      </c>
      <c r="I66" s="86">
        <f t="shared" si="3"/>
        <v>16</v>
      </c>
      <c r="J66" s="86">
        <f t="shared" si="3"/>
        <v>16</v>
      </c>
    </row>
    <row r="67" spans="1:10">
      <c r="A67" s="7" t="s">
        <v>136</v>
      </c>
      <c r="B67" s="7"/>
      <c r="C67" s="7"/>
      <c r="D67" s="69"/>
      <c r="E67" s="21"/>
      <c r="F67" s="87"/>
      <c r="G67" s="87"/>
      <c r="H67" s="87"/>
      <c r="I67" s="87"/>
      <c r="J67" s="87"/>
    </row>
    <row r="68" spans="1:10">
      <c r="A68" s="47" t="s">
        <v>137</v>
      </c>
      <c r="B68" s="47"/>
      <c r="C68" s="47"/>
      <c r="D68" s="2"/>
      <c r="E68" s="21"/>
      <c r="F68" s="86">
        <f ca="1">'Battery Design'!F23/1000*'Cost Input'!$H19+'Cost Input'!$I19</f>
        <v>0.12886075688453899</v>
      </c>
      <c r="G68" s="86">
        <f ca="1">'Battery Design'!G23/1000*'Cost Input'!$H19+'Cost Input'!$I19</f>
        <v>0.13384200081313349</v>
      </c>
      <c r="H68" s="86">
        <f ca="1">'Battery Design'!H23/1000*'Cost Input'!$H19+'Cost Input'!$I19</f>
        <v>0.14011634444065685</v>
      </c>
      <c r="I68" s="86">
        <f ca="1">'Battery Design'!I23/1000*'Cost Input'!$H19+'Cost Input'!$I19</f>
        <v>0.14576475095423949</v>
      </c>
      <c r="J68" s="86">
        <f ca="1">'Battery Design'!J23/1000*'Cost Input'!$H19+'Cost Input'!$I19</f>
        <v>0.15091320561764773</v>
      </c>
    </row>
    <row r="69" spans="1:10">
      <c r="A69" s="47" t="s">
        <v>138</v>
      </c>
      <c r="B69" s="47"/>
      <c r="C69" s="47"/>
      <c r="D69" s="2"/>
      <c r="E69" s="21"/>
      <c r="F69" s="86">
        <f ca="1">'Battery Design'!F24/1000*'Cost Input'!$H20+'Cost Input'!$I20</f>
        <v>0.21918423676392951</v>
      </c>
      <c r="G69" s="86">
        <f ca="1">'Battery Design'!G24/1000*'Cost Input'!$H20+'Cost Input'!$I20</f>
        <v>0.2397549292838661</v>
      </c>
      <c r="H69" s="86">
        <f ca="1">'Battery Design'!H24/1000*'Cost Input'!$H20+'Cost Input'!$I20</f>
        <v>0.26566564463456444</v>
      </c>
      <c r="I69" s="86">
        <f ca="1">'Battery Design'!I24/1000*'Cost Input'!$H20+'Cost Input'!$I20</f>
        <v>0.28899147153324833</v>
      </c>
      <c r="J69" s="86">
        <f ca="1">'Battery Design'!J24/1000*'Cost Input'!$H20+'Cost Input'!$I20</f>
        <v>0.3102526824580637</v>
      </c>
    </row>
    <row r="70" spans="1:10">
      <c r="A70" s="47" t="s">
        <v>139</v>
      </c>
      <c r="B70" s="47"/>
      <c r="C70" s="47"/>
      <c r="D70" s="2"/>
      <c r="E70" s="21"/>
      <c r="F70" s="86">
        <f ca="1">'Battery Design'!F25/1000*'Cost Input'!$H21+'Cost Input'!$I21</f>
        <v>0.23756392057158615</v>
      </c>
      <c r="G70" s="86">
        <f ca="1">'Battery Design'!G25/1000*'Cost Input'!$H21+'Cost Input'!$I21</f>
        <v>0.24755464231985863</v>
      </c>
      <c r="H70" s="86">
        <f ca="1">'Battery Design'!H25/1000*'Cost Input'!$H21+'Cost Input'!$I21</f>
        <v>0.26180755402712663</v>
      </c>
      <c r="I70" s="86">
        <f ca="1">'Battery Design'!I25/1000*'Cost Input'!$H21+'Cost Input'!$I21</f>
        <v>0.27622980988893264</v>
      </c>
      <c r="J70" s="86">
        <f ca="1">'Battery Design'!J25/1000*'Cost Input'!$H21+'Cost Input'!$I21</f>
        <v>0.29068895032480996</v>
      </c>
    </row>
    <row r="71" spans="1:10">
      <c r="A71" s="5" t="s">
        <v>140</v>
      </c>
      <c r="B71" s="5"/>
      <c r="C71" s="5"/>
      <c r="D71" s="69"/>
      <c r="E71" s="21"/>
      <c r="F71" s="87"/>
      <c r="G71" s="87"/>
      <c r="H71" s="87"/>
      <c r="I71" s="87"/>
      <c r="J71" s="87"/>
    </row>
    <row r="72" spans="1:10">
      <c r="A72" s="7" t="s">
        <v>141</v>
      </c>
      <c r="B72" s="7"/>
      <c r="C72" s="7"/>
      <c r="D72" s="69"/>
      <c r="E72" s="21"/>
      <c r="F72" s="87"/>
      <c r="G72" s="87"/>
      <c r="H72" s="87"/>
      <c r="I72" s="87"/>
      <c r="J72" s="87"/>
    </row>
    <row r="73" spans="1:10">
      <c r="A73" s="7" t="s">
        <v>56</v>
      </c>
      <c r="B73" s="7"/>
      <c r="C73" s="7"/>
      <c r="D73" s="69"/>
      <c r="E73" s="21"/>
      <c r="F73" s="87">
        <f t="shared" ref="F73:J75" ca="1" si="4">F54*F18/1000</f>
        <v>2.7270801274779997</v>
      </c>
      <c r="G73" s="87">
        <f t="shared" ca="1" si="4"/>
        <v>5.3010944951024408</v>
      </c>
      <c r="H73" s="87">
        <f t="shared" ca="1" si="4"/>
        <v>7.8357085963188799</v>
      </c>
      <c r="I73" s="87">
        <f t="shared" ca="1" si="4"/>
        <v>10.356330871532418</v>
      </c>
      <c r="J73" s="87">
        <f t="shared" ca="1" si="4"/>
        <v>12.874544615671523</v>
      </c>
    </row>
    <row r="74" spans="1:10">
      <c r="A74" s="7" t="s">
        <v>349</v>
      </c>
      <c r="B74" s="7"/>
      <c r="C74" s="7"/>
      <c r="D74" s="69"/>
      <c r="E74" s="21"/>
      <c r="F74" s="87">
        <f t="shared" ca="1" si="4"/>
        <v>3.3196185330102983E-2</v>
      </c>
      <c r="G74" s="87">
        <f t="shared" ca="1" si="4"/>
        <v>6.6826522468309946E-2</v>
      </c>
      <c r="H74" s="87">
        <f t="shared" ca="1" si="4"/>
        <v>0.10083094593782553</v>
      </c>
      <c r="I74" s="87">
        <f t="shared" ca="1" si="4"/>
        <v>0.13523734033541876</v>
      </c>
      <c r="J74" s="87">
        <f t="shared" ca="1" si="4"/>
        <v>0.17005822078905813</v>
      </c>
    </row>
    <row r="75" spans="1:10">
      <c r="A75" s="7" t="s">
        <v>62</v>
      </c>
      <c r="B75" s="7"/>
      <c r="C75" s="7"/>
      <c r="D75" s="69"/>
      <c r="E75" s="21"/>
      <c r="F75" s="87">
        <f t="shared" ca="1" si="4"/>
        <v>4.0681599669243868E-2</v>
      </c>
      <c r="G75" s="87">
        <f t="shared" ca="1" si="4"/>
        <v>8.1895248122928865E-2</v>
      </c>
      <c r="H75" s="87">
        <f t="shared" ca="1" si="4"/>
        <v>0.12356733570811948</v>
      </c>
      <c r="I75" s="87">
        <f t="shared" ca="1" si="4"/>
        <v>0.1657320347247779</v>
      </c>
      <c r="J75" s="87">
        <f t="shared" ca="1" si="4"/>
        <v>0.20840468233953205</v>
      </c>
    </row>
    <row r="76" spans="1:10">
      <c r="A76" s="7" t="s">
        <v>64</v>
      </c>
      <c r="B76" s="7"/>
      <c r="C76" s="7"/>
      <c r="D76" s="69"/>
      <c r="E76" s="21"/>
      <c r="F76" s="87">
        <f ca="1">F57*F21/1000*(1-'Cost Input'!$J13/100)</f>
        <v>1.562173427298966E-3</v>
      </c>
      <c r="G76" s="87">
        <f ca="1">G57*G21/1000*(1-'Cost Input'!$J13/100)</f>
        <v>3.1447775279204709E-3</v>
      </c>
      <c r="H76" s="87">
        <f ca="1">H57*H21/1000*(1-'Cost Input'!$J13/100)</f>
        <v>4.7449856911917932E-3</v>
      </c>
      <c r="I76" s="87">
        <f ca="1">I57*I21/1000*(1-'Cost Input'!$J13/100)</f>
        <v>6.3641101334314786E-3</v>
      </c>
      <c r="J76" s="87">
        <f ca="1">J57*J21/1000*(1-'Cost Input'!$J13/100)</f>
        <v>8.0027398018380387E-3</v>
      </c>
    </row>
    <row r="77" spans="1:10">
      <c r="A77" s="7" t="s">
        <v>142</v>
      </c>
      <c r="B77" s="7"/>
      <c r="C77" s="7"/>
      <c r="D77" s="69"/>
      <c r="E77" s="21"/>
      <c r="F77" s="87"/>
      <c r="G77" s="87"/>
      <c r="H77" s="87"/>
      <c r="I77" s="87"/>
      <c r="J77" s="87"/>
    </row>
    <row r="78" spans="1:10">
      <c r="A78" s="7" t="s">
        <v>56</v>
      </c>
      <c r="B78" s="7"/>
      <c r="C78" s="7"/>
      <c r="D78" s="69"/>
      <c r="E78" s="21"/>
      <c r="F78" s="87">
        <f t="shared" ref="F78:J80" ca="1" si="5">F59*F24/1000</f>
        <v>1.0284639960025097</v>
      </c>
      <c r="G78" s="87">
        <f t="shared" ca="1" si="5"/>
        <v>1.9899197076327535</v>
      </c>
      <c r="H78" s="87">
        <f t="shared" ca="1" si="5"/>
        <v>2.9286593086267345</v>
      </c>
      <c r="I78" s="87">
        <f t="shared" ca="1" si="5"/>
        <v>3.8593950612117371</v>
      </c>
      <c r="J78" s="87">
        <f t="shared" ca="1" si="5"/>
        <v>4.787564664405525</v>
      </c>
    </row>
    <row r="79" spans="1:10">
      <c r="A79" s="7" t="s">
        <v>60</v>
      </c>
      <c r="B79" s="7"/>
      <c r="C79" s="7"/>
      <c r="D79" s="69"/>
      <c r="E79" s="21"/>
      <c r="F79" s="87">
        <f t="shared" ca="1" si="5"/>
        <v>0</v>
      </c>
      <c r="G79" s="87">
        <f t="shared" ca="1" si="5"/>
        <v>0</v>
      </c>
      <c r="H79" s="87">
        <f t="shared" ca="1" si="5"/>
        <v>0</v>
      </c>
      <c r="I79" s="87">
        <f t="shared" ca="1" si="5"/>
        <v>0</v>
      </c>
      <c r="J79" s="87">
        <f t="shared" ca="1" si="5"/>
        <v>0</v>
      </c>
    </row>
    <row r="80" spans="1:10">
      <c r="A80" s="7" t="s">
        <v>394</v>
      </c>
      <c r="B80" s="7"/>
      <c r="C80" s="7"/>
      <c r="D80" s="69"/>
      <c r="E80" s="21"/>
      <c r="F80" s="87">
        <f t="shared" ca="1" si="5"/>
        <v>2.7250952166233335E-2</v>
      </c>
      <c r="G80" s="87">
        <f t="shared" ca="1" si="5"/>
        <v>5.4590214112418357E-2</v>
      </c>
      <c r="H80" s="87">
        <f t="shared" ca="1" si="5"/>
        <v>8.1993878336451206E-2</v>
      </c>
      <c r="I80" s="87">
        <f t="shared" ca="1" si="5"/>
        <v>0.109632603533225</v>
      </c>
      <c r="J80" s="87">
        <f t="shared" ca="1" si="5"/>
        <v>0.13755019755351974</v>
      </c>
    </row>
    <row r="81" spans="1:14">
      <c r="A81" s="7" t="s">
        <v>382</v>
      </c>
      <c r="B81" s="7"/>
      <c r="C81" s="7"/>
      <c r="D81" s="69"/>
      <c r="E81" s="21"/>
      <c r="F81" s="87">
        <f t="shared" ref="F81:J83" ca="1" si="6">F62*F29</f>
        <v>0.84056835993938961</v>
      </c>
      <c r="G81" s="87">
        <f t="shared" ca="1" si="6"/>
        <v>0.53502949023992885</v>
      </c>
      <c r="H81" s="87">
        <f t="shared" ca="1" si="6"/>
        <v>0.49522956706215671</v>
      </c>
      <c r="I81" s="87">
        <f t="shared" ca="1" si="6"/>
        <v>0.47826168406436625</v>
      </c>
      <c r="J81" s="87">
        <f t="shared" ca="1" si="6"/>
        <v>0.46917495996391179</v>
      </c>
    </row>
    <row r="82" spans="1:14">
      <c r="A82" s="7" t="s">
        <v>383</v>
      </c>
      <c r="B82" s="7"/>
      <c r="C82" s="7"/>
      <c r="D82" s="69"/>
      <c r="E82" s="21"/>
      <c r="F82" s="87">
        <f t="shared" ca="1" si="6"/>
        <v>3.3124039269182601</v>
      </c>
      <c r="G82" s="87">
        <f t="shared" ca="1" si="6"/>
        <v>2.1335087949123834</v>
      </c>
      <c r="H82" s="87">
        <f t="shared" ca="1" si="6"/>
        <v>1.9948505917461659</v>
      </c>
      <c r="I82" s="87">
        <f t="shared" ca="1" si="6"/>
        <v>1.9479896034368394</v>
      </c>
      <c r="J82" s="87">
        <f t="shared" ca="1" si="6"/>
        <v>1.9333450254883444</v>
      </c>
      <c r="K82" s="7"/>
      <c r="L82" s="7"/>
      <c r="M82" s="69"/>
      <c r="N82" s="21"/>
    </row>
    <row r="83" spans="1:14">
      <c r="A83" s="7" t="s">
        <v>145</v>
      </c>
      <c r="B83" s="7"/>
      <c r="C83" s="7"/>
      <c r="D83" s="69"/>
      <c r="E83" s="21"/>
      <c r="F83" s="87">
        <f t="shared" ca="1" si="6"/>
        <v>3.6925434842214186</v>
      </c>
      <c r="G83" s="87">
        <f t="shared" ca="1" si="6"/>
        <v>2.3634514038203718</v>
      </c>
      <c r="H83" s="87">
        <f t="shared" ca="1" si="6"/>
        <v>2.199416027354808</v>
      </c>
      <c r="I83" s="87">
        <f t="shared" ca="1" si="6"/>
        <v>2.1320596012256301</v>
      </c>
      <c r="J83" s="87">
        <f t="shared" ca="1" si="6"/>
        <v>2.0974104511086411</v>
      </c>
      <c r="K83" s="47"/>
      <c r="L83" s="47"/>
      <c r="M83" s="69"/>
      <c r="N83" s="58"/>
    </row>
    <row r="84" spans="1:14">
      <c r="A84" s="7" t="s">
        <v>146</v>
      </c>
      <c r="B84" s="7"/>
      <c r="C84" s="7"/>
      <c r="D84" s="69"/>
      <c r="E84" s="88"/>
      <c r="F84" s="87">
        <f ca="1">F66*F32</f>
        <v>0.70738501491304839</v>
      </c>
      <c r="G84" s="87">
        <f ca="1">G66*G32</f>
        <v>0.96966417008721284</v>
      </c>
      <c r="H84" s="87">
        <f ca="1">H66*H32</f>
        <v>1.3383071332442411</v>
      </c>
      <c r="I84" s="87">
        <f ca="1">I66*I32</f>
        <v>1.7193879082385632</v>
      </c>
      <c r="J84" s="87">
        <f ca="1">J66*J32</f>
        <v>2.1076158173200721</v>
      </c>
      <c r="K84" s="7"/>
      <c r="L84" s="7"/>
      <c r="M84" s="69"/>
      <c r="N84" s="88"/>
    </row>
    <row r="85" spans="1:14">
      <c r="A85" s="47" t="s">
        <v>147</v>
      </c>
      <c r="B85" s="47"/>
      <c r="C85" s="47"/>
      <c r="D85" s="69"/>
      <c r="E85" s="58">
        <f>'Cost Input'!J19</f>
        <v>0.8</v>
      </c>
      <c r="F85" s="87">
        <f ca="1">F68*('Cost Input'!$E11/F47)^(1-$E85)</f>
        <v>0.11729964057941911</v>
      </c>
      <c r="G85" s="87">
        <f ca="1">G68*('Cost Input'!$E11/G47)^(1-$E85)</f>
        <v>0.12183397777088918</v>
      </c>
      <c r="H85" s="87">
        <f ca="1">H68*('Cost Input'!$E11/H47)^(1-$E85)</f>
        <v>0.12754540047376609</v>
      </c>
      <c r="I85" s="87">
        <f ca="1">I68*('Cost Input'!$E11/I47)^(1-$E85)</f>
        <v>0.13268704382515004</v>
      </c>
      <c r="J85" s="87">
        <f ca="1">J68*('Cost Input'!$E11/J47)^(1-$E85)</f>
        <v>0.1373735899557019</v>
      </c>
      <c r="K85" s="47"/>
      <c r="L85" s="47"/>
      <c r="M85" s="69"/>
      <c r="N85" s="58"/>
    </row>
    <row r="86" spans="1:14">
      <c r="A86" s="47" t="s">
        <v>148</v>
      </c>
      <c r="B86" s="47"/>
      <c r="C86" s="47"/>
      <c r="D86" s="69"/>
      <c r="E86" s="58">
        <f>'Cost Input'!J20</f>
        <v>0.8</v>
      </c>
      <c r="F86" s="87">
        <f ca="1">F69*('Cost Input'!$E11/F48)^(1-$E86)</f>
        <v>0.19951948766000149</v>
      </c>
      <c r="G86" s="87">
        <f ca="1">G69*('Cost Input'!$E11/G48)^(1-$E86)</f>
        <v>0.21824462087662796</v>
      </c>
      <c r="H86" s="87">
        <f ca="1">H69*('Cost Input'!$E11/H48)^(1-$E86)</f>
        <v>0.24183068129776783</v>
      </c>
      <c r="I86" s="87">
        <f ca="1">I69*('Cost Input'!$E11/I48)^(1-$E86)</f>
        <v>0.26306376402663123</v>
      </c>
      <c r="J86" s="87">
        <f ca="1">J69*('Cost Input'!$E11/J48)^(1-$E86)</f>
        <v>0.28241746378798416</v>
      </c>
      <c r="K86" s="47"/>
      <c r="L86" s="47"/>
      <c r="M86" s="69"/>
      <c r="N86" s="58"/>
    </row>
    <row r="87" spans="1:14">
      <c r="A87" s="47" t="s">
        <v>149</v>
      </c>
      <c r="B87" s="47"/>
      <c r="C87" s="47"/>
      <c r="D87" s="69"/>
      <c r="E87" s="58">
        <f>'Cost Input'!J21</f>
        <v>0.8</v>
      </c>
      <c r="F87" s="87">
        <f ca="1">F70*('Cost Input'!$E11/F49)^(1-$E87)</f>
        <v>0.65313112588037825</v>
      </c>
      <c r="G87" s="87">
        <f ca="1">G70*('Cost Input'!$E11/G49)^(1-$E87)</f>
        <v>0.71082537868140006</v>
      </c>
      <c r="H87" s="87">
        <f ca="1">H70*('Cost Input'!$E11/H49)^(1-$E87)</f>
        <v>0.75635548774382044</v>
      </c>
      <c r="I87" s="87">
        <f ca="1">I70*('Cost Input'!$E11/I49)^(1-$E87)</f>
        <v>0.79991441754418369</v>
      </c>
      <c r="J87" s="87">
        <f ca="1">J70*('Cost Input'!$E11/J49)^(1-$E87)</f>
        <v>0.84271038957059663</v>
      </c>
      <c r="K87" s="47"/>
      <c r="L87" s="47"/>
      <c r="M87" s="69"/>
      <c r="N87" s="58"/>
    </row>
    <row r="88" spans="1:14">
      <c r="A88" s="7" t="s">
        <v>150</v>
      </c>
      <c r="B88" s="7"/>
      <c r="C88" s="7"/>
      <c r="D88" s="3"/>
      <c r="F88" s="87">
        <f ca="1">SUM(F73:F84)</f>
        <v>12.411135820065507</v>
      </c>
      <c r="G88" s="87">
        <f ca="1">SUM(G73:G84)</f>
        <v>13.499124824026671</v>
      </c>
      <c r="H88" s="87">
        <f ca="1">SUM(H73:H84)</f>
        <v>17.103308370026575</v>
      </c>
      <c r="I88" s="87">
        <f ca="1">SUM(I73:I84)</f>
        <v>20.910390818436404</v>
      </c>
      <c r="J88" s="87">
        <f ca="1">SUM(J73:J84)</f>
        <v>24.793671374441963</v>
      </c>
      <c r="K88" s="7"/>
      <c r="L88" s="7"/>
      <c r="M88" s="3"/>
    </row>
    <row r="89" spans="1:14">
      <c r="A89" s="47" t="s">
        <v>151</v>
      </c>
      <c r="B89" s="47"/>
      <c r="C89" s="47"/>
      <c r="D89" s="3"/>
      <c r="F89" s="87">
        <f ca="1">SUM(F73:F87)</f>
        <v>13.381086074185307</v>
      </c>
      <c r="G89" s="87">
        <f ca="1">SUM(G73:G87)</f>
        <v>14.550028801355589</v>
      </c>
      <c r="H89" s="87">
        <f ca="1">SUM(H73:H87)</f>
        <v>18.229039939541931</v>
      </c>
      <c r="I89" s="87">
        <f ca="1">SUM(I73:I87)</f>
        <v>22.106056043832371</v>
      </c>
      <c r="J89" s="87">
        <f ca="1">SUM(J73:J87)</f>
        <v>26.056172817756245</v>
      </c>
      <c r="K89" s="47"/>
      <c r="L89" s="47"/>
      <c r="M89" s="3"/>
    </row>
    <row r="90" spans="1:14">
      <c r="A90" s="5" t="s">
        <v>65</v>
      </c>
      <c r="B90" s="5"/>
      <c r="C90" s="5"/>
      <c r="D90" s="3"/>
      <c r="F90" s="85"/>
      <c r="G90" s="85"/>
      <c r="H90" s="85"/>
      <c r="I90" s="85"/>
      <c r="J90" s="85"/>
      <c r="K90" s="5"/>
      <c r="L90" s="5"/>
      <c r="M90" s="3"/>
    </row>
    <row r="91" spans="1:14">
      <c r="A91" s="47" t="s">
        <v>152</v>
      </c>
      <c r="B91" s="47"/>
      <c r="C91" s="47"/>
      <c r="F91" s="3"/>
      <c r="G91" s="3"/>
      <c r="H91" s="3"/>
      <c r="I91" s="3"/>
      <c r="J91" s="3"/>
      <c r="K91" s="47"/>
      <c r="L91" s="47"/>
    </row>
    <row r="92" spans="1:14">
      <c r="A92" s="7" t="s">
        <v>456</v>
      </c>
      <c r="B92" s="47"/>
      <c r="C92" s="47"/>
      <c r="F92" s="21">
        <f>IF('Battery Design'!F52=1,0,'Battery Design'!F51/'Battery Design'!F52*2*('Cost Input'!$I20+'Battery Design'!F100/1000*'Cost Input'!$H20))</f>
        <v>0</v>
      </c>
      <c r="G92" s="21">
        <f>IF('Battery Design'!G52=1,0,'Battery Design'!G51/'Battery Design'!G52*2*('Cost Input'!$I20+'Battery Design'!G100/1000*'Cost Input'!$H20))</f>
        <v>0</v>
      </c>
      <c r="H92" s="21">
        <f>IF('Battery Design'!H52=1,0,'Battery Design'!H51/'Battery Design'!H52*2*('Cost Input'!$I20+'Battery Design'!H100/1000*'Cost Input'!$H20))</f>
        <v>0</v>
      </c>
      <c r="I92" s="21">
        <f>IF('Battery Design'!I52=1,0,'Battery Design'!I51/'Battery Design'!I52*2*('Cost Input'!$I20+'Battery Design'!I100/1000*'Cost Input'!$H20))</f>
        <v>0</v>
      </c>
      <c r="J92" s="21">
        <f>IF('Battery Design'!J52=1,0,'Battery Design'!J51/'Battery Design'!J52*2*('Cost Input'!$I20+'Battery Design'!J100/1000*'Cost Input'!$H20))</f>
        <v>0</v>
      </c>
      <c r="K92" s="7"/>
      <c r="L92" s="7"/>
    </row>
    <row r="93" spans="1:14">
      <c r="A93" s="7" t="s">
        <v>153</v>
      </c>
      <c r="B93" s="7"/>
      <c r="C93" s="7"/>
      <c r="F93" s="21">
        <f ca="1">'Battery Design'!F51/'Battery Design'!F52*('Cost Input'!$J$24+'Cost Input'!$J$25*'Battery Design'!F67)</f>
        <v>29.611862571616157</v>
      </c>
      <c r="G93" s="21">
        <f ca="1">'Battery Design'!G51/'Battery Design'!G52*('Cost Input'!$J$24+'Cost Input'!$J$25*'Battery Design'!G67)</f>
        <v>30.43434297777862</v>
      </c>
      <c r="H93" s="21">
        <f ca="1">'Battery Design'!H51/'Battery Design'!H52*('Cost Input'!$J$24+'Cost Input'!$J$25*'Battery Design'!H67)</f>
        <v>31.265972227036169</v>
      </c>
      <c r="I93" s="21">
        <f ca="1">'Battery Design'!I51/'Battery Design'!I52*('Cost Input'!$J$24+'Cost Input'!$J$25*'Battery Design'!I67)</f>
        <v>32.107432279084428</v>
      </c>
      <c r="J93" s="21">
        <f ca="1">'Battery Design'!J51/'Battery Design'!J52*('Cost Input'!$J$24+'Cost Input'!$J$25*'Battery Design'!J67)</f>
        <v>32.959029210175096</v>
      </c>
      <c r="K93" s="7"/>
      <c r="L93" s="7"/>
    </row>
    <row r="94" spans="1:14">
      <c r="A94" s="7" t="s">
        <v>455</v>
      </c>
      <c r="B94" s="7"/>
      <c r="C94" s="7"/>
      <c r="F94" s="21">
        <f ca="1">'Cost Input'!$J$27*'Battery Design'!F104/1000+'Cost Input'!$J$28</f>
        <v>0.80865856924065471</v>
      </c>
      <c r="G94" s="21">
        <f ca="1">'Cost Input'!$J$27*'Battery Design'!G104/1000+'Cost Input'!$J$28</f>
        <v>0.80865856924065471</v>
      </c>
      <c r="H94" s="21">
        <f ca="1">'Cost Input'!$J$27*'Battery Design'!H104/1000+'Cost Input'!$J$28</f>
        <v>0.80865856924065471</v>
      </c>
      <c r="I94" s="21">
        <f ca="1">'Cost Input'!$J$27*'Battery Design'!I104/1000+'Cost Input'!$J$28</f>
        <v>0.80865856924065471</v>
      </c>
      <c r="J94" s="21">
        <f ca="1">'Cost Input'!$J$27*'Battery Design'!J104/1000+'Cost Input'!$J$28</f>
        <v>0.80865856924065471</v>
      </c>
      <c r="K94" s="7"/>
      <c r="L94" s="7"/>
    </row>
    <row r="95" spans="1:14">
      <c r="A95" s="7" t="s">
        <v>154</v>
      </c>
      <c r="B95" s="7"/>
      <c r="C95" s="7"/>
      <c r="F95" s="90">
        <f ca="1">'Cost Input'!$J$30*'Battery Design'!F107/1000+'Cost Input'!$J$31</f>
        <v>1.5046427071988551</v>
      </c>
      <c r="G95" s="90">
        <f ca="1">'Cost Input'!$J$30*'Battery Design'!G107/1000+'Cost Input'!$J$31</f>
        <v>1.5931451080323513</v>
      </c>
      <c r="H95" s="90">
        <f ca="1">'Cost Input'!$J$30*'Battery Design'!H107/1000+'Cost Input'!$J$31</f>
        <v>1.7117061164862999</v>
      </c>
      <c r="I95" s="90">
        <f ca="1">'Cost Input'!$J$30*'Battery Design'!I107/1000+'Cost Input'!$J$31</f>
        <v>1.8251945556571167</v>
      </c>
      <c r="J95" s="90">
        <f ca="1">'Cost Input'!$J$30*'Battery Design'!J107/1000+'Cost Input'!$J$31</f>
        <v>1.9342137757901581</v>
      </c>
      <c r="K95" s="7"/>
      <c r="L95" s="7"/>
    </row>
    <row r="96" spans="1:14">
      <c r="A96" s="7" t="s">
        <v>213</v>
      </c>
      <c r="B96" s="7"/>
      <c r="C96" s="7"/>
      <c r="F96" s="21">
        <f ca="1">SUM(F92:F95)</f>
        <v>31.925163848055668</v>
      </c>
      <c r="G96" s="21">
        <f ca="1">SUM(G92:G95)</f>
        <v>32.836146655051628</v>
      </c>
      <c r="H96" s="21">
        <f ca="1">SUM(H92:H95)</f>
        <v>33.786336912763119</v>
      </c>
      <c r="I96" s="21">
        <f ca="1">SUM(I92:I95)</f>
        <v>34.741285403982204</v>
      </c>
      <c r="J96" s="21">
        <f ca="1">SUM(J92:J95)</f>
        <v>35.701901555205907</v>
      </c>
      <c r="K96" s="7"/>
      <c r="L96" s="7"/>
    </row>
    <row r="97" spans="1:17">
      <c r="A97" s="7" t="s">
        <v>155</v>
      </c>
      <c r="B97" s="7"/>
      <c r="C97" s="7"/>
      <c r="F97" s="21">
        <f ca="1">'Battery Design'!F133*'Cost Input'!$J33+'Cost Input'!$J34+'Cost Input'!$J35</f>
        <v>80.74658065089622</v>
      </c>
      <c r="G97" s="21">
        <f ca="1">'Battery Design'!G133*'Cost Input'!$J33+'Cost Input'!$J34+'Cost Input'!$J35</f>
        <v>98.729382880260687</v>
      </c>
      <c r="H97" s="21">
        <f ca="1">'Battery Design'!H133*'Cost Input'!$J33+'Cost Input'!$J34+'Cost Input'!$J35</f>
        <v>107.44071487762452</v>
      </c>
      <c r="I97" s="21">
        <f ca="1">'Battery Design'!I133*'Cost Input'!$J33+'Cost Input'!$J34+'Cost Input'!$J35</f>
        <v>115.7528235271801</v>
      </c>
      <c r="J97" s="21">
        <f ca="1">'Battery Design'!J133*'Cost Input'!$J33+'Cost Input'!$J34+'Cost Input'!$J35</f>
        <v>142.59290340501889</v>
      </c>
      <c r="K97" s="7"/>
      <c r="L97" s="7"/>
    </row>
    <row r="98" spans="1:17">
      <c r="A98" s="7" t="s">
        <v>156</v>
      </c>
      <c r="B98" s="7"/>
      <c r="C98" s="7"/>
      <c r="F98" s="21">
        <f ca="1">F89*'Battery Design'!F56+F96*'Battery Design'!F55+F97</f>
        <v>1556.8818268610198</v>
      </c>
      <c r="G98" s="21">
        <f ca="1">G89*'Battery Design'!G56+G96*'Battery Design'!G55+G97</f>
        <v>1692.5490277407071</v>
      </c>
      <c r="H98" s="21">
        <f ca="1">H89*'Battery Design'!H56+H96*'Battery Design'!H55+H97</f>
        <v>2060.1465705502287</v>
      </c>
      <c r="I98" s="21">
        <f ca="1">I89*'Battery Design'!I56+I96*'Battery Design'!I55+I97</f>
        <v>2446.3819161589813</v>
      </c>
      <c r="J98" s="21">
        <f ca="1">J89*'Battery Design'!J56+J96*'Battery Design'!J55+J97</f>
        <v>2858.1969032408533</v>
      </c>
      <c r="K98" s="95"/>
    </row>
    <row r="99" spans="1:17" ht="15.75">
      <c r="A99" s="19" t="s">
        <v>77</v>
      </c>
      <c r="B99" s="19"/>
      <c r="C99" s="19"/>
      <c r="F99" s="83"/>
      <c r="G99" s="83"/>
      <c r="H99" s="83"/>
      <c r="I99" s="83"/>
      <c r="J99" s="83"/>
      <c r="K99" s="83"/>
    </row>
    <row r="100" spans="1:17">
      <c r="A100" s="10"/>
      <c r="B100" s="10"/>
      <c r="C100" s="10"/>
      <c r="D100" s="72" t="s">
        <v>51</v>
      </c>
      <c r="E100" s="73"/>
      <c r="F100" s="8"/>
      <c r="G100" s="8"/>
      <c r="H100" s="8"/>
      <c r="I100" s="8"/>
      <c r="J100" s="8"/>
    </row>
    <row r="101" spans="1:17">
      <c r="A101" s="74" t="s">
        <v>157</v>
      </c>
      <c r="B101" s="61"/>
      <c r="C101" s="61"/>
      <c r="D101" s="75" t="s">
        <v>79</v>
      </c>
      <c r="E101" s="64" t="s">
        <v>53</v>
      </c>
      <c r="F101" s="68"/>
      <c r="G101" s="68"/>
      <c r="H101" s="68"/>
      <c r="I101" s="68"/>
      <c r="J101" s="68"/>
    </row>
    <row r="102" spans="1:17">
      <c r="A102" s="5" t="s">
        <v>275</v>
      </c>
      <c r="B102" s="5"/>
      <c r="C102" s="5"/>
      <c r="E102" s="76"/>
    </row>
    <row r="103" spans="1:17">
      <c r="A103" s="7" t="s">
        <v>158</v>
      </c>
      <c r="B103" s="7"/>
      <c r="C103" s="7"/>
      <c r="D103" s="14"/>
      <c r="E103" s="76"/>
      <c r="F103" s="130">
        <f ca="1">F7/'Cost Input'!$E9</f>
        <v>0.41078300138079682</v>
      </c>
      <c r="G103" s="130">
        <f ca="1">G7/'Cost Input'!$E9</f>
        <v>0.82156600276128877</v>
      </c>
      <c r="H103" s="130">
        <f ca="1">H7/'Cost Input'!$E9</f>
        <v>1.2323490041419278</v>
      </c>
      <c r="I103" s="130">
        <f ca="1">I7/'Cost Input'!$E9</f>
        <v>1.6431320055225715</v>
      </c>
      <c r="J103" s="130">
        <f ca="1">J7/'Cost Input'!$E9</f>
        <v>2.0539150069032148</v>
      </c>
      <c r="Q103" s="7"/>
    </row>
    <row r="104" spans="1:17">
      <c r="A104" s="7" t="s">
        <v>82</v>
      </c>
      <c r="B104" s="7"/>
      <c r="C104" s="7"/>
      <c r="D104" s="78">
        <f>'Cost Input'!D67</f>
        <v>14400</v>
      </c>
      <c r="E104" s="135">
        <f>'Cost Input'!E67</f>
        <v>0.4</v>
      </c>
      <c r="F104" s="76">
        <f t="shared" ref="F104:J106" ca="1" si="7">$D104*F$103^$E104</f>
        <v>10088.055842108004</v>
      </c>
      <c r="G104" s="76">
        <f t="shared" ca="1" si="7"/>
        <v>13311.269487978247</v>
      </c>
      <c r="H104" s="76">
        <f t="shared" ca="1" si="7"/>
        <v>15655.10480798394</v>
      </c>
      <c r="I104" s="76">
        <f t="shared" ca="1" si="7"/>
        <v>17564.325391817125</v>
      </c>
      <c r="J104" s="76">
        <f t="shared" ca="1" si="7"/>
        <v>19204.167237811751</v>
      </c>
      <c r="Q104" s="7"/>
    </row>
    <row r="105" spans="1:17">
      <c r="A105" s="7" t="s">
        <v>84</v>
      </c>
      <c r="B105" s="7"/>
      <c r="C105" s="7"/>
      <c r="D105" s="79">
        <f>'Cost Input'!D68</f>
        <v>3.6</v>
      </c>
      <c r="E105" s="135">
        <f>'Cost Input'!E68</f>
        <v>0.6</v>
      </c>
      <c r="F105" s="91">
        <f t="shared" ca="1" si="7"/>
        <v>2.1109112721892607</v>
      </c>
      <c r="G105" s="91">
        <f t="shared" ca="1" si="7"/>
        <v>3.1995431856900898</v>
      </c>
      <c r="H105" s="91">
        <f t="shared" ca="1" si="7"/>
        <v>4.0807757698394242</v>
      </c>
      <c r="I105" s="91">
        <f t="shared" ca="1" si="7"/>
        <v>4.8496006118159132</v>
      </c>
      <c r="J105" s="91">
        <f t="shared" ca="1" si="7"/>
        <v>5.5443671490331754</v>
      </c>
      <c r="Q105" s="7"/>
    </row>
    <row r="106" spans="1:17">
      <c r="A106" s="7" t="s">
        <v>85</v>
      </c>
      <c r="B106" s="7"/>
      <c r="C106" s="7"/>
      <c r="D106" s="78">
        <f>'Cost Input'!D69</f>
        <v>600</v>
      </c>
      <c r="E106" s="135">
        <f>'Cost Input'!E69</f>
        <v>0.5</v>
      </c>
      <c r="F106" s="76">
        <f t="shared" ca="1" si="7"/>
        <v>384.55413207646967</v>
      </c>
      <c r="G106" s="76">
        <f t="shared" ca="1" si="7"/>
        <v>543.84166904905692</v>
      </c>
      <c r="H106" s="76">
        <f t="shared" ca="1" si="7"/>
        <v>666.06729501687289</v>
      </c>
      <c r="I106" s="76">
        <f t="shared" ca="1" si="7"/>
        <v>769.10826415279519</v>
      </c>
      <c r="J106" s="76">
        <f t="shared" ca="1" si="7"/>
        <v>859.88918035125744</v>
      </c>
      <c r="Q106" s="7"/>
    </row>
    <row r="107" spans="1:17">
      <c r="A107" s="5" t="s">
        <v>86</v>
      </c>
      <c r="B107" s="5"/>
      <c r="C107" s="5"/>
      <c r="D107" s="78"/>
      <c r="E107" s="135"/>
      <c r="F107" s="71"/>
      <c r="G107" s="71"/>
      <c r="H107" s="71"/>
      <c r="I107" s="71"/>
      <c r="J107" s="71"/>
      <c r="Q107" s="5"/>
    </row>
    <row r="108" spans="1:17">
      <c r="A108" s="7" t="s">
        <v>87</v>
      </c>
      <c r="B108" s="7"/>
      <c r="C108" s="7"/>
      <c r="D108" s="78"/>
      <c r="E108" s="135"/>
      <c r="F108" s="71"/>
      <c r="G108" s="71"/>
      <c r="H108" s="71"/>
      <c r="I108" s="71"/>
      <c r="J108" s="71"/>
      <c r="Q108" s="7"/>
    </row>
    <row r="109" spans="1:17">
      <c r="A109" s="7" t="s">
        <v>159</v>
      </c>
      <c r="B109" s="7"/>
      <c r="C109" s="7"/>
      <c r="D109" s="78"/>
      <c r="E109" s="135"/>
      <c r="F109" s="71"/>
      <c r="G109" s="71"/>
      <c r="H109" s="71"/>
      <c r="I109" s="71"/>
      <c r="J109" s="71"/>
      <c r="Q109" s="7"/>
    </row>
    <row r="110" spans="1:17">
      <c r="A110" s="7" t="s">
        <v>158</v>
      </c>
      <c r="B110" s="7"/>
      <c r="C110" s="7"/>
      <c r="D110" s="78"/>
      <c r="E110" s="135"/>
      <c r="F110" s="92">
        <f ca="1">F11/'Cost Input'!$E13</f>
        <v>0.40593128580809501</v>
      </c>
      <c r="G110" s="92">
        <f ca="1">G11/'Cost Input'!$E13</f>
        <v>0.81717148888930968</v>
      </c>
      <c r="H110" s="92">
        <f ca="1">H11/'Cost Input'!$E13</f>
        <v>1.2329861135180835</v>
      </c>
      <c r="I110" s="92">
        <f ca="1">I11/'Cost Input'!$E13</f>
        <v>1.6537161395422126</v>
      </c>
      <c r="J110" s="92">
        <f ca="1">J11/'Cost Input'!$E13</f>
        <v>2.0795146050875464</v>
      </c>
      <c r="Q110" s="7"/>
    </row>
    <row r="111" spans="1:17">
      <c r="A111" s="7" t="s">
        <v>82</v>
      </c>
      <c r="B111" s="7"/>
      <c r="C111" s="7"/>
      <c r="D111" s="78">
        <f>'Cost Input'!D74</f>
        <v>21600</v>
      </c>
      <c r="E111" s="135">
        <f>'Cost Input'!E74</f>
        <v>0.5</v>
      </c>
      <c r="F111" s="76">
        <f t="shared" ref="F111:J113" ca="1" si="8">$D111*F$110^$E111</f>
        <v>13761.951195474601</v>
      </c>
      <c r="G111" s="76">
        <f t="shared" ca="1" si="8"/>
        <v>19525.868222852379</v>
      </c>
      <c r="H111" s="76">
        <f t="shared" ca="1" si="8"/>
        <v>23984.620095448605</v>
      </c>
      <c r="I111" s="76">
        <f t="shared" ca="1" si="8"/>
        <v>27776.929313097491</v>
      </c>
      <c r="J111" s="76">
        <f t="shared" ca="1" si="8"/>
        <v>31148.327951105912</v>
      </c>
      <c r="Q111" s="7"/>
    </row>
    <row r="112" spans="1:17">
      <c r="A112" s="7" t="s">
        <v>84</v>
      </c>
      <c r="B112" s="7"/>
      <c r="C112" s="7"/>
      <c r="D112" s="79">
        <f>'Cost Input'!D75</f>
        <v>4</v>
      </c>
      <c r="E112" s="135">
        <f>'Cost Input'!E75</f>
        <v>0.7</v>
      </c>
      <c r="F112" s="91">
        <f t="shared" ca="1" si="8"/>
        <v>2.1280251601372009</v>
      </c>
      <c r="G112" s="91">
        <f t="shared" ca="1" si="8"/>
        <v>3.4727957017799658</v>
      </c>
      <c r="H112" s="91">
        <f t="shared" ca="1" si="8"/>
        <v>4.631596542973111</v>
      </c>
      <c r="I112" s="91">
        <f t="shared" ca="1" si="8"/>
        <v>5.6883022769760059</v>
      </c>
      <c r="J112" s="91">
        <f t="shared" ca="1" si="8"/>
        <v>6.6777994765425648</v>
      </c>
      <c r="Q112" s="7"/>
    </row>
    <row r="113" spans="1:17">
      <c r="A113" s="7" t="s">
        <v>85</v>
      </c>
      <c r="B113" s="7"/>
      <c r="C113" s="7"/>
      <c r="D113" s="78">
        <f>'Cost Input'!D76</f>
        <v>400</v>
      </c>
      <c r="E113" s="135">
        <f>'Cost Input'!E76</f>
        <v>0.6</v>
      </c>
      <c r="F113" s="76">
        <f t="shared" ca="1" si="8"/>
        <v>232.87963190578606</v>
      </c>
      <c r="G113" s="76">
        <f t="shared" ca="1" si="8"/>
        <v>354.36262876137721</v>
      </c>
      <c r="H113" s="76">
        <f t="shared" ca="1" si="8"/>
        <v>453.56016285686576</v>
      </c>
      <c r="I113" s="76">
        <f t="shared" ca="1" si="8"/>
        <v>540.92439784456701</v>
      </c>
      <c r="J113" s="76">
        <f t="shared" ca="1" si="8"/>
        <v>620.63630443558907</v>
      </c>
      <c r="Q113" s="7"/>
    </row>
    <row r="114" spans="1:17">
      <c r="A114" s="7" t="s">
        <v>160</v>
      </c>
      <c r="B114" s="7"/>
      <c r="C114" s="7"/>
      <c r="D114" s="78"/>
      <c r="E114" s="135"/>
      <c r="F114" s="71"/>
      <c r="G114" s="71"/>
      <c r="H114" s="71"/>
      <c r="I114" s="71"/>
      <c r="J114" s="71"/>
      <c r="Q114" s="7"/>
    </row>
    <row r="115" spans="1:17">
      <c r="A115" s="7" t="s">
        <v>158</v>
      </c>
      <c r="B115" s="7"/>
      <c r="C115" s="7"/>
      <c r="D115" s="78"/>
      <c r="E115" s="135"/>
      <c r="F115" s="92">
        <f ca="1">F12/'Cost Input'!$E14</f>
        <v>0.41114575640350542</v>
      </c>
      <c r="G115" s="92">
        <f ca="1">G12/'Cost Input'!$E14</f>
        <v>0.82362387694083117</v>
      </c>
      <c r="H115" s="92">
        <f ca="1">H12/'Cost Input'!$E14</f>
        <v>1.2370736597920826</v>
      </c>
      <c r="I115" s="92">
        <f ca="1">I12/'Cost Input'!$E14</f>
        <v>1.6540698993267184</v>
      </c>
      <c r="J115" s="92">
        <f ca="1">J12/'Cost Input'!$E14</f>
        <v>2.0752735416957386</v>
      </c>
      <c r="Q115" s="7"/>
    </row>
    <row r="116" spans="1:17">
      <c r="A116" s="7" t="s">
        <v>82</v>
      </c>
      <c r="B116" s="7"/>
      <c r="C116" s="7"/>
      <c r="D116" s="78">
        <f>'Cost Input'!D79</f>
        <v>21600</v>
      </c>
      <c r="E116" s="135">
        <f>'Cost Input'!E79</f>
        <v>0.5</v>
      </c>
      <c r="F116" s="76">
        <f t="shared" ref="F116:J118" ca="1" si="9">$D116*F$115^$E116</f>
        <v>13850.060075957053</v>
      </c>
      <c r="G116" s="76">
        <f t="shared" ca="1" si="9"/>
        <v>19602.804799964575</v>
      </c>
      <c r="H116" s="76">
        <f t="shared" ca="1" si="9"/>
        <v>24024.343627091963</v>
      </c>
      <c r="I116" s="76">
        <f t="shared" ca="1" si="9"/>
        <v>27779.900147946428</v>
      </c>
      <c r="J116" s="76">
        <f t="shared" ca="1" si="9"/>
        <v>31116.549031240014</v>
      </c>
      <c r="Q116" s="7"/>
    </row>
    <row r="117" spans="1:17">
      <c r="A117" s="7" t="s">
        <v>84</v>
      </c>
      <c r="B117" s="7"/>
      <c r="C117" s="7"/>
      <c r="D117" s="79">
        <f>'Cost Input'!D80</f>
        <v>4</v>
      </c>
      <c r="E117" s="135">
        <f>'Cost Input'!E80</f>
        <v>0.7</v>
      </c>
      <c r="F117" s="91">
        <f t="shared" ca="1" si="9"/>
        <v>2.1471236707413173</v>
      </c>
      <c r="G117" s="91">
        <f t="shared" ca="1" si="9"/>
        <v>3.491967887117382</v>
      </c>
      <c r="H117" s="91">
        <f t="shared" ca="1" si="9"/>
        <v>4.6423393444621537</v>
      </c>
      <c r="I117" s="91">
        <f t="shared" ca="1" si="9"/>
        <v>5.6891540311452964</v>
      </c>
      <c r="J117" s="91">
        <f t="shared" ca="1" si="9"/>
        <v>6.6682632368553776</v>
      </c>
      <c r="Q117" s="7"/>
    </row>
    <row r="118" spans="1:17">
      <c r="A118" s="7" t="s">
        <v>85</v>
      </c>
      <c r="B118" s="7"/>
      <c r="C118" s="7"/>
      <c r="D118" s="78">
        <f>'Cost Input'!D81</f>
        <v>400</v>
      </c>
      <c r="E118" s="135">
        <f>'Cost Input'!E81</f>
        <v>0.6</v>
      </c>
      <c r="F118" s="76">
        <f t="shared" ca="1" si="9"/>
        <v>234.66994880231837</v>
      </c>
      <c r="G118" s="76">
        <f t="shared" ca="1" si="9"/>
        <v>356.03881618105231</v>
      </c>
      <c r="H118" s="76">
        <f t="shared" ca="1" si="9"/>
        <v>454.46174032203481</v>
      </c>
      <c r="I118" s="76">
        <f t="shared" ca="1" si="9"/>
        <v>540.99382298024784</v>
      </c>
      <c r="J118" s="76">
        <f t="shared" ca="1" si="9"/>
        <v>619.87654081847973</v>
      </c>
      <c r="Q118" s="7"/>
    </row>
    <row r="119" spans="1:17">
      <c r="A119" s="7" t="s">
        <v>94</v>
      </c>
      <c r="B119" s="7"/>
      <c r="C119" s="7"/>
      <c r="D119" s="78"/>
      <c r="E119" s="135"/>
      <c r="F119" s="71"/>
      <c r="G119" s="71"/>
      <c r="H119" s="71"/>
      <c r="I119" s="71"/>
      <c r="J119" s="71"/>
      <c r="Q119" s="7"/>
    </row>
    <row r="120" spans="1:17">
      <c r="A120" s="7" t="s">
        <v>161</v>
      </c>
      <c r="B120" s="7"/>
      <c r="C120" s="7"/>
      <c r="D120" s="78"/>
      <c r="E120" s="135"/>
      <c r="F120" s="71"/>
      <c r="G120" s="71"/>
      <c r="H120" s="71"/>
      <c r="I120" s="71"/>
      <c r="J120" s="71"/>
      <c r="Q120" s="7"/>
    </row>
    <row r="121" spans="1:17">
      <c r="A121" s="7" t="s">
        <v>158</v>
      </c>
      <c r="B121" s="7"/>
      <c r="C121" s="7"/>
      <c r="D121" s="78"/>
      <c r="E121" s="135"/>
      <c r="F121" s="92">
        <f ca="1">F10/'Cost Input'!$E12</f>
        <v>1.9492670528095593</v>
      </c>
      <c r="G121" s="92">
        <f ca="1">G10/'Cost Input'!$E12</f>
        <v>1.2622687000187387</v>
      </c>
      <c r="H121" s="92">
        <f ca="1">H10/'Cost Input'!$E12</f>
        <v>1.187496735632358</v>
      </c>
      <c r="I121" s="92">
        <f ca="1">I10/'Cost Input'!$E12</f>
        <v>1.1596862681158124</v>
      </c>
      <c r="J121" s="92">
        <f ca="1">J10/'Cost Input'!$E12</f>
        <v>1.1470228476667881</v>
      </c>
      <c r="Q121" s="7"/>
    </row>
    <row r="122" spans="1:17">
      <c r="A122" s="7" t="s">
        <v>470</v>
      </c>
      <c r="B122" s="7"/>
      <c r="C122" s="7"/>
      <c r="D122" s="78">
        <f>'Cost Input'!D85</f>
        <v>2309021.4751825081</v>
      </c>
      <c r="E122" s="79">
        <f>'Cost Input'!E85</f>
        <v>0.2</v>
      </c>
      <c r="F122" s="76">
        <f ca="1">F50</f>
        <v>937304.05637937854</v>
      </c>
      <c r="G122" s="76">
        <f ca="1">G50</f>
        <v>1886866.5167522808</v>
      </c>
      <c r="H122" s="76">
        <f ca="1">H50</f>
        <v>2846991.4147150731</v>
      </c>
      <c r="I122" s="76">
        <f ca="1">I50</f>
        <v>3818466.0800588839</v>
      </c>
      <c r="J122" s="76">
        <f ca="1">J50</f>
        <v>4801643.881102819</v>
      </c>
      <c r="Q122" s="7"/>
    </row>
    <row r="123" spans="1:17">
      <c r="A123" s="7" t="s">
        <v>82</v>
      </c>
      <c r="B123" s="7"/>
      <c r="C123" s="7"/>
      <c r="D123" s="78">
        <f>'Cost Input'!D86</f>
        <v>28800</v>
      </c>
      <c r="E123" s="135">
        <f>'Cost Input'!E86</f>
        <v>0.5</v>
      </c>
      <c r="F123" s="76">
        <f t="shared" ref="F123:J125" ca="1" si="10">$D123*F$121^$E123</f>
        <v>40209.452424552619</v>
      </c>
      <c r="G123" s="76">
        <f t="shared" ca="1" si="10"/>
        <v>32357.010840674742</v>
      </c>
      <c r="H123" s="76">
        <f t="shared" ca="1" si="10"/>
        <v>31384.029256978833</v>
      </c>
      <c r="I123" s="76">
        <f t="shared" ca="1" si="10"/>
        <v>31014.354389959164</v>
      </c>
      <c r="J123" s="76">
        <f t="shared" ca="1" si="10"/>
        <v>30844.555934050026</v>
      </c>
    </row>
    <row r="124" spans="1:17">
      <c r="A124" s="7" t="s">
        <v>84</v>
      </c>
      <c r="B124" s="7"/>
      <c r="C124" s="7"/>
      <c r="D124" s="79">
        <f>'Cost Input'!D87</f>
        <v>6</v>
      </c>
      <c r="E124" s="135">
        <f>'Cost Input'!E87</f>
        <v>0.8</v>
      </c>
      <c r="F124" s="91">
        <f ca="1">$D124*F$121^$E124*(F122/$D122)^$E122</f>
        <v>8.5455265746395082</v>
      </c>
      <c r="G124" s="91">
        <f ca="1">$D124*G$121^$E124*(G122/$D122)^$E122</f>
        <v>6.9428109887915861</v>
      </c>
      <c r="H124" s="91">
        <f ca="1">$D124*H$121^$E124*(H122/$D122)^$E122</f>
        <v>7.1787499624558686</v>
      </c>
      <c r="I124" s="91">
        <f ca="1">$D124*I$121^$E124*(I122/$D122)^$E122</f>
        <v>7.4699183559848175</v>
      </c>
      <c r="J124" s="91">
        <f ca="1">$D124*J$121^$E124*(J122/$D122)^$E122</f>
        <v>7.7517775309249517</v>
      </c>
    </row>
    <row r="125" spans="1:17">
      <c r="A125" s="7" t="s">
        <v>85</v>
      </c>
      <c r="B125" s="7"/>
      <c r="C125" s="7"/>
      <c r="D125" s="78">
        <f>'Cost Input'!D88</f>
        <v>500</v>
      </c>
      <c r="E125" s="135">
        <f>'Cost Input'!E88</f>
        <v>0.8</v>
      </c>
      <c r="F125" s="76">
        <f t="shared" ca="1" si="10"/>
        <v>852.83905082976014</v>
      </c>
      <c r="G125" s="76">
        <f t="shared" ca="1" si="10"/>
        <v>602.40900469307712</v>
      </c>
      <c r="H125" s="76">
        <f t="shared" ca="1" si="10"/>
        <v>573.68823536931495</v>
      </c>
      <c r="I125" s="76">
        <f t="shared" ca="1" si="10"/>
        <v>562.91447457741765</v>
      </c>
      <c r="J125" s="76">
        <f t="shared" ca="1" si="10"/>
        <v>557.99159769934829</v>
      </c>
    </row>
    <row r="126" spans="1:17">
      <c r="A126" s="7" t="s">
        <v>162</v>
      </c>
      <c r="B126" s="7"/>
      <c r="C126" s="7"/>
      <c r="D126" s="78"/>
      <c r="E126" s="135"/>
      <c r="F126" s="71"/>
      <c r="G126" s="71"/>
      <c r="H126" s="71"/>
      <c r="I126" s="71"/>
      <c r="J126" s="71"/>
      <c r="M126" s="101"/>
      <c r="N126" s="146"/>
      <c r="O126" s="40"/>
      <c r="P126" s="146"/>
      <c r="Q126" s="101"/>
    </row>
    <row r="127" spans="1:17">
      <c r="A127" s="7" t="s">
        <v>158</v>
      </c>
      <c r="B127" s="7"/>
      <c r="C127" s="7"/>
      <c r="D127" s="78"/>
      <c r="E127" s="135"/>
      <c r="F127" s="92">
        <f ca="1">F121</f>
        <v>1.9492670528095593</v>
      </c>
      <c r="G127" s="92">
        <f ca="1">G121</f>
        <v>1.2622687000187387</v>
      </c>
      <c r="H127" s="92">
        <f ca="1">H121</f>
        <v>1.187496735632358</v>
      </c>
      <c r="I127" s="92">
        <f ca="1">I121</f>
        <v>1.1596862681158124</v>
      </c>
      <c r="J127" s="92">
        <f ca="1">J121</f>
        <v>1.1470228476667881</v>
      </c>
      <c r="M127" s="101"/>
      <c r="N127" s="146"/>
      <c r="O127" s="40"/>
      <c r="P127" s="146"/>
      <c r="Q127" s="101"/>
    </row>
    <row r="128" spans="1:17">
      <c r="A128" s="7" t="s">
        <v>470</v>
      </c>
      <c r="B128" s="7"/>
      <c r="C128" s="7"/>
      <c r="D128" s="78">
        <f>'Cost Input'!D91</f>
        <v>1527103.0483256322</v>
      </c>
      <c r="E128" s="79">
        <v>0.2</v>
      </c>
      <c r="F128" s="76">
        <f ca="1">F51</f>
        <v>627861.93791001604</v>
      </c>
      <c r="G128" s="76">
        <f ca="1">G51</f>
        <v>1257758.533150119</v>
      </c>
      <c r="H128" s="76">
        <f ca="1">H51</f>
        <v>1889138.956871836</v>
      </c>
      <c r="I128" s="76">
        <f ca="1">I51</f>
        <v>2525935.1854055044</v>
      </c>
      <c r="J128" s="76">
        <f ca="1">J51</f>
        <v>3169156.5516330949</v>
      </c>
      <c r="M128" s="101"/>
      <c r="N128" s="146"/>
      <c r="O128" s="40"/>
      <c r="P128" s="146"/>
      <c r="Q128" s="101"/>
    </row>
    <row r="129" spans="1:18">
      <c r="A129" s="7" t="s">
        <v>82</v>
      </c>
      <c r="B129" s="7"/>
      <c r="C129" s="7"/>
      <c r="D129" s="78">
        <f>'Cost Input'!D92</f>
        <v>28800</v>
      </c>
      <c r="E129" s="135">
        <f>'Cost Input'!E92</f>
        <v>0.5</v>
      </c>
      <c r="F129" s="76">
        <f t="shared" ref="F129:J131" ca="1" si="11">$D129*F$127^$E129</f>
        <v>40209.452424552619</v>
      </c>
      <c r="G129" s="76">
        <f t="shared" ca="1" si="11"/>
        <v>32357.010840674742</v>
      </c>
      <c r="H129" s="76">
        <f t="shared" ca="1" si="11"/>
        <v>31384.029256978833</v>
      </c>
      <c r="I129" s="76">
        <f t="shared" ca="1" si="11"/>
        <v>31014.354389959164</v>
      </c>
      <c r="J129" s="76">
        <f t="shared" ca="1" si="11"/>
        <v>30844.555934050026</v>
      </c>
      <c r="M129" s="101"/>
      <c r="N129" s="146"/>
      <c r="O129" s="40"/>
      <c r="P129" s="146"/>
      <c r="Q129" s="101"/>
    </row>
    <row r="130" spans="1:18">
      <c r="A130" s="7" t="s">
        <v>84</v>
      </c>
      <c r="B130" s="7"/>
      <c r="C130" s="7"/>
      <c r="D130" s="79">
        <f>'Cost Input'!D93</f>
        <v>6</v>
      </c>
      <c r="E130" s="135">
        <f>'Cost Input'!E93</f>
        <v>0.8</v>
      </c>
      <c r="F130" s="91">
        <f ca="1">$D130*F$121^$E130*(F128/$D128)^$E128</f>
        <v>8.5673692775028183</v>
      </c>
      <c r="G130" s="91">
        <f ca="1">$D130*G$121^$E130*(G128/$D128)^$E128</f>
        <v>6.9537406134245465</v>
      </c>
      <c r="H130" s="91">
        <f ca="1">$D130*H$121^$E130*(H128/$D128)^$E128</f>
        <v>7.1835034042401515</v>
      </c>
      <c r="I130" s="91">
        <f ca="1">$D130*I$121^$E130*(I128/$D128)^$E128</f>
        <v>7.4702379187631527</v>
      </c>
      <c r="J130" s="91">
        <f ca="1">$D130*J$121^$E130*(J128/$D128)^$E128</f>
        <v>7.7486130778281384</v>
      </c>
      <c r="M130" s="101"/>
      <c r="N130" s="146"/>
      <c r="O130" s="40"/>
      <c r="P130" s="146"/>
      <c r="Q130" s="101"/>
    </row>
    <row r="131" spans="1:18">
      <c r="A131" s="7" t="s">
        <v>85</v>
      </c>
      <c r="B131" s="7"/>
      <c r="C131" s="7"/>
      <c r="D131" s="78">
        <f>'Cost Input'!D94</f>
        <v>500</v>
      </c>
      <c r="E131" s="135">
        <f>'Cost Input'!E94</f>
        <v>0.8</v>
      </c>
      <c r="F131" s="76">
        <f t="shared" ca="1" si="11"/>
        <v>852.83905082976014</v>
      </c>
      <c r="G131" s="76">
        <f t="shared" ca="1" si="11"/>
        <v>602.40900469307712</v>
      </c>
      <c r="H131" s="76">
        <f t="shared" ca="1" si="11"/>
        <v>573.68823536931495</v>
      </c>
      <c r="I131" s="76">
        <f t="shared" ca="1" si="11"/>
        <v>562.91447457741765</v>
      </c>
      <c r="J131" s="76">
        <f t="shared" ca="1" si="11"/>
        <v>557.99159769934829</v>
      </c>
      <c r="M131" s="101"/>
      <c r="N131" s="146"/>
      <c r="O131" s="40"/>
      <c r="P131" s="146"/>
      <c r="Q131" s="101"/>
    </row>
    <row r="132" spans="1:18">
      <c r="A132" t="s">
        <v>363</v>
      </c>
      <c r="B132" s="7"/>
      <c r="C132" s="7"/>
      <c r="D132" s="78"/>
      <c r="E132" s="135"/>
      <c r="F132" s="76"/>
      <c r="G132" s="76"/>
      <c r="H132" s="76"/>
      <c r="I132" s="76"/>
      <c r="J132" s="76"/>
      <c r="M132" s="101"/>
      <c r="N132" s="146"/>
      <c r="O132" s="40"/>
      <c r="P132" s="146"/>
      <c r="Q132" s="101"/>
    </row>
    <row r="133" spans="1:18">
      <c r="A133" s="7" t="s">
        <v>158</v>
      </c>
      <c r="B133" s="7"/>
      <c r="C133" s="7"/>
      <c r="D133" s="78"/>
      <c r="E133" s="135"/>
      <c r="F133" s="92">
        <f ca="1">F13/'Cost Input'!$E15</f>
        <v>0.40593128580812937</v>
      </c>
      <c r="G133" s="92">
        <f ca="1">G13/'Cost Input'!$E15</f>
        <v>0.81717148888930979</v>
      </c>
      <c r="H133" s="92">
        <f ca="1">H13/'Cost Input'!$E15</f>
        <v>1.2329861135180837</v>
      </c>
      <c r="I133" s="92">
        <f ca="1">I13/'Cost Input'!$E15</f>
        <v>1.6537161395422133</v>
      </c>
      <c r="J133" s="92">
        <f ca="1">J13/'Cost Input'!$E15</f>
        <v>2.0795146050875473</v>
      </c>
      <c r="M133" s="101"/>
      <c r="N133" s="146"/>
      <c r="O133" s="40"/>
      <c r="P133" s="146"/>
      <c r="Q133" s="101"/>
      <c r="R133" s="146"/>
    </row>
    <row r="134" spans="1:18">
      <c r="A134" s="7" t="s">
        <v>82</v>
      </c>
      <c r="B134" s="7"/>
      <c r="C134" s="7"/>
      <c r="D134" s="78">
        <f>'Cost Input'!D97</f>
        <v>14400</v>
      </c>
      <c r="E134" s="135">
        <f>'Cost Input'!E97</f>
        <v>0.4</v>
      </c>
      <c r="F134" s="76">
        <f t="shared" ref="F134:J136" ca="1" si="12">$D134*F$133^$E134</f>
        <v>10040.22630541015</v>
      </c>
      <c r="G134" s="76">
        <f t="shared" ca="1" si="12"/>
        <v>13282.743139294154</v>
      </c>
      <c r="H134" s="76">
        <f t="shared" ca="1" si="12"/>
        <v>15658.34170516736</v>
      </c>
      <c r="I134" s="76">
        <f t="shared" ca="1" si="12"/>
        <v>17609.494047077984</v>
      </c>
      <c r="J134" s="76">
        <f t="shared" ca="1" si="12"/>
        <v>19299.554408434342</v>
      </c>
      <c r="M134" s="101"/>
      <c r="N134" s="146"/>
      <c r="O134" s="40"/>
      <c r="P134" s="146"/>
      <c r="Q134" s="101"/>
    </row>
    <row r="135" spans="1:18">
      <c r="A135" s="7" t="s">
        <v>84</v>
      </c>
      <c r="B135" s="7"/>
      <c r="C135" s="7"/>
      <c r="D135" s="78">
        <f>'Cost Input'!D98</f>
        <v>3</v>
      </c>
      <c r="E135" s="135">
        <f>'Cost Input'!E98</f>
        <v>0.6</v>
      </c>
      <c r="F135" s="91">
        <f t="shared" ca="1" si="12"/>
        <v>1.7465972392934841</v>
      </c>
      <c r="G135" s="91">
        <f t="shared" ca="1" si="12"/>
        <v>2.6577197157103294</v>
      </c>
      <c r="H135" s="91">
        <f t="shared" ca="1" si="12"/>
        <v>3.4017012214264937</v>
      </c>
      <c r="I135" s="91">
        <f t="shared" ca="1" si="12"/>
        <v>4.0569329838342529</v>
      </c>
      <c r="J135" s="91">
        <f t="shared" ca="1" si="12"/>
        <v>4.6547722832669187</v>
      </c>
      <c r="M135" s="101"/>
      <c r="N135" s="146"/>
      <c r="O135" s="40"/>
      <c r="P135" s="146"/>
      <c r="Q135" s="101"/>
    </row>
    <row r="136" spans="1:18">
      <c r="A136" s="7" t="s">
        <v>85</v>
      </c>
      <c r="B136" s="7"/>
      <c r="C136" s="7"/>
      <c r="D136" s="78">
        <f>'Cost Input'!D99</f>
        <v>150</v>
      </c>
      <c r="E136" s="135">
        <f>'Cost Input'!E99</f>
        <v>0.6</v>
      </c>
      <c r="F136" s="76">
        <f t="shared" ca="1" si="12"/>
        <v>87.329861964674208</v>
      </c>
      <c r="G136" s="76">
        <f t="shared" ca="1" si="12"/>
        <v>132.88598578551648</v>
      </c>
      <c r="H136" s="76">
        <f t="shared" ca="1" si="12"/>
        <v>170.08506107132467</v>
      </c>
      <c r="I136" s="76">
        <f t="shared" ca="1" si="12"/>
        <v>202.84664919171266</v>
      </c>
      <c r="J136" s="76">
        <f t="shared" ca="1" si="12"/>
        <v>232.73861416334594</v>
      </c>
      <c r="M136" s="101"/>
      <c r="N136" s="146"/>
      <c r="O136" s="40"/>
      <c r="P136" s="146"/>
      <c r="Q136" s="101"/>
    </row>
    <row r="137" spans="1:18">
      <c r="A137" s="7" t="s">
        <v>280</v>
      </c>
      <c r="B137" s="7"/>
      <c r="C137" s="7"/>
      <c r="D137" s="78"/>
      <c r="E137" s="135"/>
      <c r="F137" s="71"/>
      <c r="G137" s="71"/>
      <c r="H137" s="71"/>
      <c r="I137" s="71"/>
      <c r="J137" s="71"/>
      <c r="M137" s="101"/>
      <c r="N137" s="146"/>
      <c r="O137" s="40"/>
      <c r="P137" s="146"/>
      <c r="Q137" s="101"/>
    </row>
    <row r="138" spans="1:18">
      <c r="A138" s="7" t="s">
        <v>161</v>
      </c>
      <c r="B138" s="7"/>
      <c r="C138" s="7"/>
      <c r="D138" s="78"/>
      <c r="E138" s="135"/>
      <c r="F138" s="71"/>
      <c r="G138" s="71"/>
      <c r="H138" s="71"/>
      <c r="I138" s="71"/>
      <c r="J138" s="71"/>
      <c r="M138" s="101"/>
      <c r="N138" s="146"/>
      <c r="O138" s="40"/>
      <c r="P138" s="146"/>
      <c r="Q138" s="101"/>
    </row>
    <row r="139" spans="1:18">
      <c r="A139" s="7" t="s">
        <v>158</v>
      </c>
      <c r="B139" s="7"/>
      <c r="C139" s="7"/>
      <c r="D139" s="78"/>
      <c r="E139" s="135"/>
      <c r="F139" s="92">
        <f ca="1">F121</f>
        <v>1.9492670528095593</v>
      </c>
      <c r="G139" s="92">
        <f ca="1">G121</f>
        <v>1.2622687000187387</v>
      </c>
      <c r="H139" s="92">
        <f ca="1">H121</f>
        <v>1.187496735632358</v>
      </c>
      <c r="I139" s="92">
        <f ca="1">I121</f>
        <v>1.1596862681158124</v>
      </c>
      <c r="J139" s="92">
        <f ca="1">J121</f>
        <v>1.1470228476667881</v>
      </c>
      <c r="M139" s="101"/>
      <c r="N139" s="146"/>
      <c r="O139" s="40"/>
      <c r="P139" s="146"/>
      <c r="Q139" s="101"/>
    </row>
    <row r="140" spans="1:18">
      <c r="A140" s="7" t="s">
        <v>82</v>
      </c>
      <c r="B140" s="7"/>
      <c r="C140" s="7"/>
      <c r="D140" s="78">
        <v>7200</v>
      </c>
      <c r="E140" s="135">
        <f>'Cost Input'!E103</f>
        <v>0.5</v>
      </c>
      <c r="F140" s="76">
        <f t="shared" ref="F140:J142" ca="1" si="13">$D140*F$139^$E140</f>
        <v>10052.363106138155</v>
      </c>
      <c r="G140" s="76">
        <f t="shared" ca="1" si="13"/>
        <v>8089.2527101686856</v>
      </c>
      <c r="H140" s="76">
        <f t="shared" ca="1" si="13"/>
        <v>7846.0073142447081</v>
      </c>
      <c r="I140" s="76">
        <f t="shared" ca="1" si="13"/>
        <v>7753.588597489791</v>
      </c>
      <c r="J140" s="76">
        <f t="shared" ca="1" si="13"/>
        <v>7711.1389835125065</v>
      </c>
      <c r="M140" s="101"/>
      <c r="N140" s="146"/>
      <c r="O140" s="40"/>
      <c r="P140" s="146"/>
      <c r="Q140" s="101"/>
    </row>
    <row r="141" spans="1:18">
      <c r="A141" s="7" t="s">
        <v>84</v>
      </c>
      <c r="B141" s="7"/>
      <c r="C141" s="7"/>
      <c r="D141" s="79">
        <v>1</v>
      </c>
      <c r="E141" s="135">
        <f>'Cost Input'!E104</f>
        <v>0.7</v>
      </c>
      <c r="F141" s="91">
        <f t="shared" ca="1" si="13"/>
        <v>1.5955482412446882</v>
      </c>
      <c r="G141" s="91">
        <f t="shared" ca="1" si="13"/>
        <v>1.1770807825838749</v>
      </c>
      <c r="H141" s="91">
        <f t="shared" ca="1" si="13"/>
        <v>1.1278275448170971</v>
      </c>
      <c r="I141" s="91">
        <f t="shared" ca="1" si="13"/>
        <v>1.109272790590631</v>
      </c>
      <c r="J141" s="91">
        <f t="shared" ca="1" si="13"/>
        <v>1.1007797917182722</v>
      </c>
      <c r="M141" s="101"/>
      <c r="N141" s="146"/>
      <c r="O141" s="40"/>
      <c r="P141" s="146"/>
      <c r="R141" s="101"/>
    </row>
    <row r="142" spans="1:18">
      <c r="A142" s="7" t="s">
        <v>85</v>
      </c>
      <c r="B142" s="7"/>
      <c r="C142" s="7"/>
      <c r="D142" s="78">
        <f>'Cost Input'!D105</f>
        <v>150</v>
      </c>
      <c r="E142" s="135">
        <f>'Cost Input'!E105</f>
        <v>0.6</v>
      </c>
      <c r="F142" s="76">
        <f t="shared" ca="1" si="13"/>
        <v>223.87936396048013</v>
      </c>
      <c r="G142" s="76">
        <f t="shared" ca="1" si="13"/>
        <v>172.49731800998464</v>
      </c>
      <c r="H142" s="76">
        <f t="shared" ca="1" si="13"/>
        <v>166.29175383420244</v>
      </c>
      <c r="I142" s="76">
        <f t="shared" ca="1" si="13"/>
        <v>163.94401541217127</v>
      </c>
      <c r="J142" s="76">
        <f t="shared" ca="1" si="13"/>
        <v>162.86752634600714</v>
      </c>
      <c r="M142" s="101"/>
      <c r="N142" s="146"/>
      <c r="O142" s="40"/>
      <c r="P142" s="146"/>
      <c r="Q142" s="101"/>
    </row>
    <row r="143" spans="1:18">
      <c r="A143" s="7" t="s">
        <v>162</v>
      </c>
      <c r="B143" s="7"/>
      <c r="C143" s="7"/>
      <c r="D143" s="78"/>
      <c r="E143" s="135"/>
      <c r="M143" s="101"/>
      <c r="N143" s="146"/>
      <c r="O143" s="40"/>
      <c r="P143" s="146"/>
      <c r="Q143" s="101"/>
    </row>
    <row r="144" spans="1:18">
      <c r="A144" s="7" t="s">
        <v>158</v>
      </c>
      <c r="B144" s="7"/>
      <c r="C144" s="7"/>
      <c r="D144" s="78"/>
      <c r="E144" s="135"/>
      <c r="F144" s="93">
        <f ca="1">F127</f>
        <v>1.9492670528095593</v>
      </c>
      <c r="G144" s="93">
        <f ca="1">G127</f>
        <v>1.2622687000187387</v>
      </c>
      <c r="H144" s="93">
        <f ca="1">H127</f>
        <v>1.187496735632358</v>
      </c>
      <c r="I144" s="93">
        <f ca="1">I127</f>
        <v>1.1596862681158124</v>
      </c>
      <c r="J144" s="93">
        <f ca="1">J127</f>
        <v>1.1470228476667881</v>
      </c>
      <c r="M144" s="101"/>
      <c r="N144" s="146"/>
      <c r="O144" s="40"/>
      <c r="P144" s="146"/>
      <c r="Q144" s="101"/>
    </row>
    <row r="145" spans="1:17">
      <c r="A145" s="7" t="s">
        <v>82</v>
      </c>
      <c r="B145" s="7"/>
      <c r="C145" s="7"/>
      <c r="D145" s="78">
        <v>7200</v>
      </c>
      <c r="E145" s="135">
        <f>'Cost Input'!E108</f>
        <v>0.5</v>
      </c>
      <c r="F145" s="76">
        <f t="shared" ref="F145:J147" ca="1" si="14">$D145*F$144^$E145</f>
        <v>10052.363106138155</v>
      </c>
      <c r="G145" s="76">
        <f t="shared" ca="1" si="14"/>
        <v>8089.2527101686856</v>
      </c>
      <c r="H145" s="76">
        <f t="shared" ca="1" si="14"/>
        <v>7846.0073142447081</v>
      </c>
      <c r="I145" s="76">
        <f t="shared" ca="1" si="14"/>
        <v>7753.588597489791</v>
      </c>
      <c r="J145" s="76">
        <f t="shared" ca="1" si="14"/>
        <v>7711.1389835125065</v>
      </c>
      <c r="M145" s="101"/>
      <c r="N145" s="146"/>
      <c r="O145" s="40"/>
      <c r="P145" s="146"/>
      <c r="Q145" s="101"/>
    </row>
    <row r="146" spans="1:17">
      <c r="A146" s="7" t="s">
        <v>84</v>
      </c>
      <c r="B146" s="7"/>
      <c r="C146" s="7"/>
      <c r="D146" s="79">
        <v>1</v>
      </c>
      <c r="E146" s="135">
        <f>'Cost Input'!E109</f>
        <v>0.7</v>
      </c>
      <c r="F146" s="91">
        <f t="shared" ca="1" si="14"/>
        <v>1.5955482412446882</v>
      </c>
      <c r="G146" s="91">
        <f t="shared" ca="1" si="14"/>
        <v>1.1770807825838749</v>
      </c>
      <c r="H146" s="91">
        <f t="shared" ca="1" si="14"/>
        <v>1.1278275448170971</v>
      </c>
      <c r="I146" s="91">
        <f t="shared" ca="1" si="14"/>
        <v>1.109272790590631</v>
      </c>
      <c r="J146" s="91">
        <f t="shared" ca="1" si="14"/>
        <v>1.1007797917182722</v>
      </c>
      <c r="M146" s="101"/>
      <c r="O146" s="40"/>
      <c r="Q146" s="101"/>
    </row>
    <row r="147" spans="1:17">
      <c r="A147" s="7" t="s">
        <v>85</v>
      </c>
      <c r="B147" s="7"/>
      <c r="C147" s="7"/>
      <c r="D147" s="78">
        <f>'Cost Input'!D110</f>
        <v>150</v>
      </c>
      <c r="E147" s="135">
        <f>'Cost Input'!E110</f>
        <v>0.6</v>
      </c>
      <c r="F147" s="76">
        <f t="shared" ca="1" si="14"/>
        <v>223.87936396048013</v>
      </c>
      <c r="G147" s="76">
        <f t="shared" ca="1" si="14"/>
        <v>172.49731800998464</v>
      </c>
      <c r="H147" s="76">
        <f t="shared" ca="1" si="14"/>
        <v>166.29175383420244</v>
      </c>
      <c r="I147" s="76">
        <f t="shared" ca="1" si="14"/>
        <v>163.94401541217127</v>
      </c>
      <c r="J147" s="76">
        <f t="shared" ca="1" si="14"/>
        <v>162.86752634600714</v>
      </c>
      <c r="M147" s="101"/>
      <c r="N147" s="146"/>
      <c r="O147" s="40"/>
      <c r="P147" s="146"/>
      <c r="Q147" s="101"/>
    </row>
    <row r="148" spans="1:17">
      <c r="A148" s="7" t="s">
        <v>285</v>
      </c>
      <c r="B148" s="7"/>
      <c r="C148" s="7"/>
      <c r="D148" s="10"/>
      <c r="E148" s="77"/>
      <c r="F148" s="71"/>
      <c r="G148" s="71"/>
      <c r="H148" s="71"/>
      <c r="I148" s="71"/>
      <c r="J148" s="71"/>
      <c r="M148" s="101"/>
      <c r="N148" s="146"/>
      <c r="O148" s="40"/>
      <c r="P148" s="146"/>
      <c r="Q148" s="101"/>
    </row>
    <row r="149" spans="1:17">
      <c r="A149" s="7" t="s">
        <v>158</v>
      </c>
      <c r="B149" s="7"/>
      <c r="C149" s="7"/>
      <c r="D149" s="10"/>
      <c r="E149" s="77"/>
      <c r="F149" s="94">
        <f ca="1">F139</f>
        <v>1.9492670528095593</v>
      </c>
      <c r="G149" s="94">
        <f ca="1">G139</f>
        <v>1.2622687000187387</v>
      </c>
      <c r="H149" s="94">
        <f ca="1">H139</f>
        <v>1.187496735632358</v>
      </c>
      <c r="I149" s="94">
        <f ca="1">I139</f>
        <v>1.1596862681158124</v>
      </c>
      <c r="J149" s="94">
        <f ca="1">J139</f>
        <v>1.1470228476667881</v>
      </c>
      <c r="M149" s="101"/>
      <c r="N149" s="146"/>
      <c r="O149" s="40"/>
      <c r="P149" s="146"/>
      <c r="Q149" s="101"/>
    </row>
    <row r="150" spans="1:17">
      <c r="A150" s="7" t="s">
        <v>82</v>
      </c>
      <c r="B150" s="7"/>
      <c r="C150" s="7"/>
      <c r="D150" s="76">
        <f>'Cost Input'!D113</f>
        <v>28800</v>
      </c>
      <c r="E150" s="91">
        <f>'Cost Input'!E113</f>
        <v>0.7</v>
      </c>
      <c r="F150" s="76">
        <f t="shared" ref="F150:J152" ca="1" si="15">$D150*F$149^$E150</f>
        <v>45951.789347847021</v>
      </c>
      <c r="G150" s="76">
        <f t="shared" ca="1" si="15"/>
        <v>33899.926538415595</v>
      </c>
      <c r="H150" s="76">
        <f t="shared" ca="1" si="15"/>
        <v>32481.433290732399</v>
      </c>
      <c r="I150" s="76">
        <f t="shared" ca="1" si="15"/>
        <v>31947.056369010174</v>
      </c>
      <c r="J150" s="76">
        <f t="shared" ca="1" si="15"/>
        <v>31702.45800148624</v>
      </c>
      <c r="M150" s="101"/>
      <c r="N150" s="146"/>
      <c r="O150" s="40"/>
      <c r="P150" s="146"/>
      <c r="Q150" s="101"/>
    </row>
    <row r="151" spans="1:17">
      <c r="A151" s="7" t="s">
        <v>84</v>
      </c>
      <c r="B151" s="7"/>
      <c r="C151" s="7"/>
      <c r="D151" s="91">
        <f>'Cost Input'!D114</f>
        <v>1.5</v>
      </c>
      <c r="E151" s="91">
        <f>'Cost Input'!E114</f>
        <v>0.7</v>
      </c>
      <c r="F151" s="91">
        <f t="shared" ca="1" si="15"/>
        <v>2.3933223618670323</v>
      </c>
      <c r="G151" s="91">
        <f t="shared" ca="1" si="15"/>
        <v>1.7656211738758123</v>
      </c>
      <c r="H151" s="91">
        <f t="shared" ca="1" si="15"/>
        <v>1.6917413172256457</v>
      </c>
      <c r="I151" s="91">
        <f t="shared" ca="1" si="15"/>
        <v>1.6639091858859465</v>
      </c>
      <c r="J151" s="91">
        <f t="shared" ca="1" si="15"/>
        <v>1.6511696875774082</v>
      </c>
      <c r="M151" s="101"/>
      <c r="N151" s="146"/>
      <c r="O151" s="40"/>
      <c r="P151" s="146"/>
      <c r="Q151" s="101"/>
    </row>
    <row r="152" spans="1:17">
      <c r="A152" s="7" t="s">
        <v>85</v>
      </c>
      <c r="B152" s="7"/>
      <c r="C152" s="7"/>
      <c r="D152" s="76">
        <f>'Cost Input'!D115</f>
        <v>600</v>
      </c>
      <c r="E152" s="91">
        <f>'Cost Input'!E115</f>
        <v>0.6</v>
      </c>
      <c r="F152" s="76">
        <f t="shared" ca="1" si="15"/>
        <v>895.51745584192054</v>
      </c>
      <c r="G152" s="76">
        <f t="shared" ca="1" si="15"/>
        <v>689.98927203993856</v>
      </c>
      <c r="H152" s="76">
        <f t="shared" ca="1" si="15"/>
        <v>665.16701533680975</v>
      </c>
      <c r="I152" s="76">
        <f t="shared" ca="1" si="15"/>
        <v>655.77606164868507</v>
      </c>
      <c r="J152" s="76">
        <f t="shared" ca="1" si="15"/>
        <v>651.47010538402856</v>
      </c>
      <c r="M152" s="101"/>
      <c r="N152" s="146"/>
      <c r="O152" s="40"/>
      <c r="P152" s="146"/>
      <c r="Q152" s="101"/>
    </row>
    <row r="153" spans="1:17">
      <c r="A153" s="7" t="s">
        <v>163</v>
      </c>
      <c r="B153" s="7"/>
      <c r="C153" s="7"/>
      <c r="D153" s="76"/>
      <c r="E153" s="91"/>
      <c r="F153" s="71"/>
      <c r="G153" s="71"/>
      <c r="H153" s="71"/>
      <c r="I153" s="71"/>
      <c r="J153" s="71"/>
      <c r="M153" s="101"/>
      <c r="N153" s="146"/>
      <c r="O153" s="40"/>
      <c r="P153" s="146"/>
      <c r="Q153" s="101"/>
    </row>
    <row r="154" spans="1:17">
      <c r="A154" s="7" t="s">
        <v>158</v>
      </c>
      <c r="B154" s="7"/>
      <c r="C154" s="7"/>
      <c r="D154" s="76"/>
      <c r="E154" s="91"/>
      <c r="F154" s="92">
        <f ca="1">F149</f>
        <v>1.9492670528095593</v>
      </c>
      <c r="G154" s="92">
        <f ca="1">G149</f>
        <v>1.2622687000187387</v>
      </c>
      <c r="H154" s="92">
        <f ca="1">H149</f>
        <v>1.187496735632358</v>
      </c>
      <c r="I154" s="92">
        <f ca="1">I149</f>
        <v>1.1596862681158124</v>
      </c>
      <c r="J154" s="92">
        <f ca="1">J149</f>
        <v>1.1470228476667881</v>
      </c>
      <c r="M154" s="101"/>
      <c r="O154" s="40"/>
      <c r="Q154" s="101"/>
    </row>
    <row r="155" spans="1:17">
      <c r="A155" s="7" t="s">
        <v>82</v>
      </c>
      <c r="B155" s="7"/>
      <c r="C155" s="7"/>
      <c r="D155" s="76">
        <f>'Cost Input'!D118</f>
        <v>28800</v>
      </c>
      <c r="E155" s="91">
        <f>'Cost Input'!E118</f>
        <v>0.5</v>
      </c>
      <c r="F155" s="76">
        <f t="shared" ref="F155:J157" ca="1" si="16">$D155*F$154^$E155</f>
        <v>40209.452424552619</v>
      </c>
      <c r="G155" s="76">
        <f t="shared" ca="1" si="16"/>
        <v>32357.010840674742</v>
      </c>
      <c r="H155" s="76">
        <f t="shared" ca="1" si="16"/>
        <v>31384.029256978833</v>
      </c>
      <c r="I155" s="76">
        <f t="shared" ca="1" si="16"/>
        <v>31014.354389959164</v>
      </c>
      <c r="J155" s="76">
        <f t="shared" ca="1" si="16"/>
        <v>30844.555934050026</v>
      </c>
      <c r="M155" s="101"/>
      <c r="O155" s="40"/>
      <c r="Q155" s="101"/>
    </row>
    <row r="156" spans="1:17">
      <c r="A156" s="7" t="s">
        <v>84</v>
      </c>
      <c r="B156" s="7"/>
      <c r="C156" s="7"/>
      <c r="D156" s="91">
        <f>'Cost Input'!D119</f>
        <v>2</v>
      </c>
      <c r="E156" s="91">
        <f>'Cost Input'!E119</f>
        <v>0.7</v>
      </c>
      <c r="F156" s="91">
        <f t="shared" ca="1" si="16"/>
        <v>3.1910964824893764</v>
      </c>
      <c r="G156" s="91">
        <f t="shared" ca="1" si="16"/>
        <v>2.3541615651677499</v>
      </c>
      <c r="H156" s="91">
        <f t="shared" ca="1" si="16"/>
        <v>2.2556550896341943</v>
      </c>
      <c r="I156" s="91">
        <f t="shared" ca="1" si="16"/>
        <v>2.218545581181262</v>
      </c>
      <c r="J156" s="91">
        <f t="shared" ca="1" si="16"/>
        <v>2.2015595834365445</v>
      </c>
    </row>
    <row r="157" spans="1:17">
      <c r="A157" s="7" t="s">
        <v>85</v>
      </c>
      <c r="B157" s="7"/>
      <c r="C157" s="7"/>
      <c r="D157" s="76">
        <f>'Cost Input'!D120</f>
        <v>200</v>
      </c>
      <c r="E157" s="91">
        <f>'Cost Input'!E120</f>
        <v>0.6</v>
      </c>
      <c r="F157" s="76">
        <f t="shared" ca="1" si="16"/>
        <v>298.50581861397353</v>
      </c>
      <c r="G157" s="76">
        <f t="shared" ca="1" si="16"/>
        <v>229.99642401331286</v>
      </c>
      <c r="H157" s="76">
        <f t="shared" ca="1" si="16"/>
        <v>221.72233844560324</v>
      </c>
      <c r="I157" s="76">
        <f t="shared" ca="1" si="16"/>
        <v>218.59202054956168</v>
      </c>
      <c r="J157" s="76">
        <f t="shared" ca="1" si="16"/>
        <v>217.1567017946762</v>
      </c>
    </row>
    <row r="158" spans="1:17">
      <c r="A158" s="5" t="s">
        <v>391</v>
      </c>
      <c r="B158" s="7"/>
      <c r="C158" s="7"/>
      <c r="D158" s="76"/>
      <c r="E158" s="91"/>
      <c r="F158" s="76"/>
      <c r="G158" s="76"/>
      <c r="H158" s="76"/>
      <c r="I158" s="76"/>
      <c r="J158" s="76"/>
    </row>
    <row r="159" spans="1:17">
      <c r="A159" s="7" t="s">
        <v>158</v>
      </c>
      <c r="B159" s="7"/>
      <c r="C159" s="7"/>
      <c r="D159" s="76"/>
      <c r="E159" s="91"/>
      <c r="F159" s="92">
        <f ca="1">F154</f>
        <v>1.9492670528095593</v>
      </c>
      <c r="G159" s="92">
        <f ca="1">G154</f>
        <v>1.2622687000187387</v>
      </c>
      <c r="H159" s="92">
        <f ca="1">H154</f>
        <v>1.187496735632358</v>
      </c>
      <c r="I159" s="92">
        <f ca="1">I154</f>
        <v>1.1596862681158124</v>
      </c>
      <c r="J159" s="92">
        <f ca="1">J154</f>
        <v>1.1470228476667881</v>
      </c>
    </row>
    <row r="160" spans="1:17">
      <c r="A160" s="7" t="s">
        <v>82</v>
      </c>
      <c r="B160" s="7"/>
      <c r="C160" s="7"/>
      <c r="D160" s="76">
        <f>'Cost Input'!D123</f>
        <v>14400</v>
      </c>
      <c r="E160" s="91">
        <f>'Cost Input'!E123</f>
        <v>0.5</v>
      </c>
      <c r="F160" s="76">
        <f ca="1">$D160*F$159^$E160</f>
        <v>20104.72621227631</v>
      </c>
      <c r="G160" s="76">
        <f t="shared" ref="G160:J162" ca="1" si="17">$D160*G$159^$E160</f>
        <v>16178.505420337371</v>
      </c>
      <c r="H160" s="76">
        <f t="shared" ca="1" si="17"/>
        <v>15692.014628489416</v>
      </c>
      <c r="I160" s="76">
        <f t="shared" ca="1" si="17"/>
        <v>15507.177194979582</v>
      </c>
      <c r="J160" s="76">
        <f t="shared" ca="1" si="17"/>
        <v>15422.277967025013</v>
      </c>
      <c r="Q160" s="7"/>
    </row>
    <row r="161" spans="1:17">
      <c r="A161" s="7" t="s">
        <v>84</v>
      </c>
      <c r="B161" s="7"/>
      <c r="C161" s="7"/>
      <c r="D161" s="91">
        <f>'Cost Input'!D124</f>
        <v>1.6</v>
      </c>
      <c r="E161" s="91">
        <f>'Cost Input'!E124</f>
        <v>0.7</v>
      </c>
      <c r="F161" s="91">
        <f ca="1">$D161*F$159^$E161</f>
        <v>2.5528771859915014</v>
      </c>
      <c r="G161" s="91">
        <f t="shared" ca="1" si="17"/>
        <v>1.8833292521342</v>
      </c>
      <c r="H161" s="91">
        <f t="shared" ca="1" si="17"/>
        <v>1.8045240717073554</v>
      </c>
      <c r="I161" s="91">
        <f t="shared" ca="1" si="17"/>
        <v>1.7748364649450097</v>
      </c>
      <c r="J161" s="91">
        <f t="shared" ca="1" si="17"/>
        <v>1.7612476667492356</v>
      </c>
      <c r="Q161" s="7"/>
    </row>
    <row r="162" spans="1:17">
      <c r="A162" s="7" t="s">
        <v>85</v>
      </c>
      <c r="B162" s="7"/>
      <c r="C162" s="7"/>
      <c r="D162" s="76">
        <f>'Cost Input'!D125</f>
        <v>200</v>
      </c>
      <c r="E162" s="91">
        <f>'Cost Input'!E125</f>
        <v>0.6</v>
      </c>
      <c r="F162" s="76">
        <f ca="1">$D162*F$159^$E162</f>
        <v>298.50581861397353</v>
      </c>
      <c r="G162" s="76">
        <f t="shared" ca="1" si="17"/>
        <v>229.99642401331286</v>
      </c>
      <c r="H162" s="76">
        <f t="shared" ca="1" si="17"/>
        <v>221.72233844560324</v>
      </c>
      <c r="I162" s="76">
        <f t="shared" ca="1" si="17"/>
        <v>218.59202054956168</v>
      </c>
      <c r="J162" s="76">
        <f t="shared" ca="1" si="17"/>
        <v>217.1567017946762</v>
      </c>
      <c r="Q162" s="7"/>
    </row>
    <row r="163" spans="1:17">
      <c r="A163" s="5" t="s">
        <v>392</v>
      </c>
      <c r="B163" s="7"/>
      <c r="C163" s="7"/>
      <c r="D163" s="76"/>
      <c r="E163" s="91"/>
      <c r="F163" s="76"/>
      <c r="G163" s="76"/>
      <c r="H163" s="76"/>
      <c r="I163" s="76"/>
      <c r="J163" s="76"/>
      <c r="Q163" s="7"/>
    </row>
    <row r="164" spans="1:17">
      <c r="A164" s="7" t="s">
        <v>158</v>
      </c>
      <c r="B164" s="7"/>
      <c r="C164" s="7"/>
      <c r="D164" s="76"/>
      <c r="E164" s="91"/>
      <c r="F164" s="92">
        <f ca="1">F103</f>
        <v>0.41078300138079682</v>
      </c>
      <c r="G164" s="92">
        <f ca="1">G103</f>
        <v>0.82156600276128877</v>
      </c>
      <c r="H164" s="92">
        <f ca="1">H103</f>
        <v>1.2323490041419278</v>
      </c>
      <c r="I164" s="92">
        <f ca="1">I103</f>
        <v>1.6431320055225715</v>
      </c>
      <c r="J164" s="92">
        <f ca="1">J103</f>
        <v>2.0539150069032148</v>
      </c>
      <c r="Q164" s="7"/>
    </row>
    <row r="165" spans="1:17">
      <c r="A165" s="7" t="s">
        <v>82</v>
      </c>
      <c r="B165" s="7"/>
      <c r="C165" s="7"/>
      <c r="D165" s="76">
        <f>'Cost Input'!D128</f>
        <v>28800</v>
      </c>
      <c r="E165" s="91">
        <f>'Cost Input'!E128</f>
        <v>0.5</v>
      </c>
      <c r="F165" s="76">
        <f ca="1">$D165*F$164^$E165</f>
        <v>18458.598339670545</v>
      </c>
      <c r="G165" s="76">
        <f t="shared" ref="G165:J167" ca="1" si="18">$D165*G$164^$E165</f>
        <v>26104.400114354732</v>
      </c>
      <c r="H165" s="76">
        <f t="shared" ca="1" si="18"/>
        <v>31971.230160809901</v>
      </c>
      <c r="I165" s="76">
        <f t="shared" ca="1" si="18"/>
        <v>36917.196679334171</v>
      </c>
      <c r="J165" s="76">
        <f t="shared" ca="1" si="18"/>
        <v>41274.680656860357</v>
      </c>
      <c r="Q165" s="7"/>
    </row>
    <row r="166" spans="1:17">
      <c r="A166" s="7" t="s">
        <v>84</v>
      </c>
      <c r="B166" s="7"/>
      <c r="C166" s="7"/>
      <c r="D166" s="91">
        <f>'Cost Input'!D129</f>
        <v>1.5</v>
      </c>
      <c r="E166" s="91">
        <f>'Cost Input'!E129</f>
        <v>0.7</v>
      </c>
      <c r="F166" s="91">
        <f ca="1">$D166*F$164^$E166</f>
        <v>0.80467402725791393</v>
      </c>
      <c r="G166" s="91">
        <f t="shared" ca="1" si="18"/>
        <v>1.3071968138513872</v>
      </c>
      <c r="H166" s="91">
        <f t="shared" ca="1" si="18"/>
        <v>1.736220429007383</v>
      </c>
      <c r="I166" s="91">
        <f t="shared" ca="1" si="18"/>
        <v>2.1235474891200452</v>
      </c>
      <c r="J166" s="91">
        <f t="shared" ca="1" si="18"/>
        <v>2.4825556163464335</v>
      </c>
      <c r="Q166" s="7"/>
    </row>
    <row r="167" spans="1:17">
      <c r="A167" s="7" t="s">
        <v>85</v>
      </c>
      <c r="B167" s="7"/>
      <c r="C167" s="7"/>
      <c r="D167" s="76">
        <f>'Cost Input'!D130</f>
        <v>200</v>
      </c>
      <c r="E167" s="91">
        <f>'Cost Input'!E130</f>
        <v>0.6</v>
      </c>
      <c r="F167" s="76">
        <f ca="1">$D167*F$164^$E167</f>
        <v>117.2728484549589</v>
      </c>
      <c r="G167" s="76">
        <f t="shared" ca="1" si="18"/>
        <v>177.75239920500499</v>
      </c>
      <c r="H167" s="76">
        <f t="shared" ca="1" si="18"/>
        <v>226.70976499107911</v>
      </c>
      <c r="I167" s="76">
        <f t="shared" ca="1" si="18"/>
        <v>269.4222562119952</v>
      </c>
      <c r="J167" s="76">
        <f t="shared" ca="1" si="18"/>
        <v>308.0203971685097</v>
      </c>
      <c r="Q167" s="7"/>
    </row>
    <row r="168" spans="1:17">
      <c r="A168" s="5" t="s">
        <v>385</v>
      </c>
      <c r="B168" s="7"/>
      <c r="C168" s="7"/>
      <c r="D168" s="76"/>
      <c r="E168" s="91"/>
      <c r="F168" s="76"/>
      <c r="G168" s="76"/>
      <c r="H168" s="76"/>
      <c r="I168" s="76"/>
      <c r="J168" s="76"/>
      <c r="Q168" s="7"/>
    </row>
    <row r="169" spans="1:17">
      <c r="A169" s="7" t="s">
        <v>367</v>
      </c>
      <c r="B169" s="7"/>
      <c r="C169" s="7"/>
      <c r="D169" s="76"/>
      <c r="E169" s="91"/>
      <c r="F169" s="71"/>
      <c r="G169" s="71"/>
      <c r="H169" s="71"/>
      <c r="I169" s="71"/>
      <c r="J169" s="71"/>
      <c r="Q169" s="7"/>
    </row>
    <row r="170" spans="1:17">
      <c r="A170" s="7" t="s">
        <v>158</v>
      </c>
      <c r="C170" s="7"/>
      <c r="D170" s="76"/>
      <c r="E170" s="91"/>
      <c r="F170" s="92">
        <f>F9/'Cost Input'!$E11</f>
        <v>1.6000000000000003</v>
      </c>
      <c r="G170" s="92">
        <f>G9/'Cost Input'!$E11</f>
        <v>1.6000000000000003</v>
      </c>
      <c r="H170" s="92">
        <f>H9/'Cost Input'!$E11</f>
        <v>1.6000000000000003</v>
      </c>
      <c r="I170" s="92">
        <f>I9/'Cost Input'!$E11</f>
        <v>1.6000000000000003</v>
      </c>
      <c r="J170" s="92">
        <f>J9/'Cost Input'!$E11</f>
        <v>1.6000000000000003</v>
      </c>
      <c r="Q170" s="7"/>
    </row>
    <row r="171" spans="1:17">
      <c r="A171" s="7" t="s">
        <v>287</v>
      </c>
      <c r="B171" s="7"/>
      <c r="C171" s="7"/>
      <c r="D171" s="76">
        <f>'Cost Input'!I68</f>
        <v>40</v>
      </c>
      <c r="E171" s="91">
        <f>'Cost Input'!J68</f>
        <v>0.3</v>
      </c>
      <c r="F171" s="216">
        <f ca="1">'Battery Design'!F68</f>
        <v>10.148282145201977</v>
      </c>
      <c r="G171" s="216">
        <f ca="1">'Battery Design'!G68</f>
        <v>20.429287222232745</v>
      </c>
      <c r="H171" s="216">
        <f ca="1">'Battery Design'!H68</f>
        <v>30.824652837952087</v>
      </c>
      <c r="I171" s="216">
        <f ca="1">'Battery Design'!I68</f>
        <v>41.342903488555315</v>
      </c>
      <c r="J171" s="216">
        <f ca="1">'Battery Design'!J68</f>
        <v>51.987865127188655</v>
      </c>
      <c r="Q171" s="7"/>
    </row>
    <row r="172" spans="1:17">
      <c r="A172" s="7" t="s">
        <v>82</v>
      </c>
      <c r="B172" s="7"/>
      <c r="C172" s="7"/>
      <c r="D172" s="76">
        <f>'Cost Input'!I69</f>
        <v>43200</v>
      </c>
      <c r="E172" s="91">
        <f>'Cost Input'!J69</f>
        <v>0.7</v>
      </c>
      <c r="F172" s="76">
        <f t="shared" ref="F172:J174" si="19">$D172*F$170^$E172</f>
        <v>60029.915865512383</v>
      </c>
      <c r="G172" s="76">
        <f t="shared" si="19"/>
        <v>60029.915865512383</v>
      </c>
      <c r="H172" s="76">
        <f t="shared" si="19"/>
        <v>60029.915865512383</v>
      </c>
      <c r="I172" s="76">
        <f t="shared" si="19"/>
        <v>60029.915865512383</v>
      </c>
      <c r="J172" s="76">
        <f t="shared" si="19"/>
        <v>60029.915865512383</v>
      </c>
      <c r="Q172" s="7"/>
    </row>
    <row r="173" spans="1:17">
      <c r="A173" s="7" t="s">
        <v>84</v>
      </c>
      <c r="B173" s="7"/>
      <c r="C173" s="7"/>
      <c r="D173" s="91">
        <f>'Cost Input'!I70</f>
        <v>5</v>
      </c>
      <c r="E173" s="91">
        <f>'Cost Input'!J70</f>
        <v>0.8</v>
      </c>
      <c r="F173" s="91">
        <f ca="1">$D173*F$170^$E173*(F171/$D171)^$E171</f>
        <v>4.8257603743428934</v>
      </c>
      <c r="G173" s="91">
        <f ca="1">$D173*G$170^$E173*(G171/$D171)^$E171</f>
        <v>5.9528365403509724</v>
      </c>
      <c r="H173" s="91">
        <f ca="1">$D173*H$170^$E173*(H171/$D171)^$E171</f>
        <v>6.7346875418007759</v>
      </c>
      <c r="I173" s="91">
        <f ca="1">$D173*I$170^$E173*(I171/$D171)^$E171</f>
        <v>7.3547562695480746</v>
      </c>
      <c r="J173" s="91">
        <f ca="1">$D173*J$170^$E173*(J171/$D171)^$E171</f>
        <v>7.8780473750516968</v>
      </c>
      <c r="Q173" s="7"/>
    </row>
    <row r="174" spans="1:17">
      <c r="A174" s="7" t="s">
        <v>85</v>
      </c>
      <c r="B174" s="7"/>
      <c r="C174" s="7"/>
      <c r="D174" s="76">
        <f>'Cost Input'!I71</f>
        <v>400</v>
      </c>
      <c r="E174" s="91">
        <f>'Cost Input'!J71</f>
        <v>0.8</v>
      </c>
      <c r="F174" s="76">
        <f t="shared" si="19"/>
        <v>582.58054496834575</v>
      </c>
      <c r="G174" s="76">
        <f t="shared" si="19"/>
        <v>582.58054496834575</v>
      </c>
      <c r="H174" s="76">
        <f t="shared" si="19"/>
        <v>582.58054496834575</v>
      </c>
      <c r="I174" s="76">
        <f t="shared" si="19"/>
        <v>582.58054496834575</v>
      </c>
      <c r="J174" s="76">
        <f t="shared" si="19"/>
        <v>582.58054496834575</v>
      </c>
      <c r="Q174" s="7"/>
    </row>
    <row r="175" spans="1:17">
      <c r="A175" s="7" t="s">
        <v>164</v>
      </c>
      <c r="B175" s="7"/>
      <c r="C175" s="7"/>
      <c r="D175" s="76"/>
      <c r="E175" s="91"/>
      <c r="F175" s="71"/>
      <c r="G175" s="71"/>
      <c r="H175" s="71"/>
      <c r="I175" s="71"/>
      <c r="J175" s="71"/>
      <c r="Q175" s="7"/>
    </row>
    <row r="176" spans="1:17">
      <c r="A176" s="7" t="s">
        <v>158</v>
      </c>
      <c r="B176" s="7"/>
      <c r="C176" s="7"/>
      <c r="D176" s="76"/>
      <c r="E176" s="91"/>
      <c r="F176" s="92">
        <f>F170</f>
        <v>1.6000000000000003</v>
      </c>
      <c r="G176" s="92">
        <f>G170</f>
        <v>1.6000000000000003</v>
      </c>
      <c r="H176" s="92">
        <f>H170</f>
        <v>1.6000000000000003</v>
      </c>
      <c r="I176" s="92">
        <f>I170</f>
        <v>1.6000000000000003</v>
      </c>
      <c r="J176" s="92">
        <f>J170</f>
        <v>1.6000000000000003</v>
      </c>
      <c r="Q176" s="7"/>
    </row>
    <row r="177" spans="1:17">
      <c r="A177" s="7" t="s">
        <v>82</v>
      </c>
      <c r="B177" s="7"/>
      <c r="C177" s="7"/>
      <c r="D177" s="76">
        <f>'Cost Input'!I74</f>
        <v>43200</v>
      </c>
      <c r="E177" s="91">
        <f>'Cost Input'!J74</f>
        <v>0.7</v>
      </c>
      <c r="F177" s="76">
        <f t="shared" ref="F177:J179" si="20">$D177*F$176^$E177</f>
        <v>60029.915865512383</v>
      </c>
      <c r="G177" s="76">
        <f t="shared" si="20"/>
        <v>60029.915865512383</v>
      </c>
      <c r="H177" s="76">
        <f t="shared" si="20"/>
        <v>60029.915865512383</v>
      </c>
      <c r="I177" s="76">
        <f t="shared" si="20"/>
        <v>60029.915865512383</v>
      </c>
      <c r="J177" s="76">
        <f t="shared" si="20"/>
        <v>60029.915865512383</v>
      </c>
      <c r="Q177" s="7"/>
    </row>
    <row r="178" spans="1:17">
      <c r="A178" s="7" t="s">
        <v>84</v>
      </c>
      <c r="B178" s="7"/>
      <c r="C178" s="7"/>
      <c r="D178" s="91">
        <f>'Cost Input'!I75</f>
        <v>5</v>
      </c>
      <c r="E178" s="91">
        <f>'Cost Input'!J75</f>
        <v>0.8</v>
      </c>
      <c r="F178" s="91">
        <f t="shared" si="20"/>
        <v>7.2822568121043219</v>
      </c>
      <c r="G178" s="91">
        <f t="shared" si="20"/>
        <v>7.2822568121043219</v>
      </c>
      <c r="H178" s="91">
        <f t="shared" si="20"/>
        <v>7.2822568121043219</v>
      </c>
      <c r="I178" s="91">
        <f t="shared" si="20"/>
        <v>7.2822568121043219</v>
      </c>
      <c r="J178" s="91">
        <f t="shared" si="20"/>
        <v>7.2822568121043219</v>
      </c>
      <c r="Q178" s="7"/>
    </row>
    <row r="179" spans="1:17">
      <c r="A179" s="7" t="s">
        <v>85</v>
      </c>
      <c r="B179" s="7"/>
      <c r="C179" s="7"/>
      <c r="D179" s="76">
        <f>'Cost Input'!I76</f>
        <v>400</v>
      </c>
      <c r="E179" s="91">
        <f>'Cost Input'!J76</f>
        <v>0.8</v>
      </c>
      <c r="F179" s="76">
        <f t="shared" si="20"/>
        <v>582.58054496834575</v>
      </c>
      <c r="G179" s="76">
        <f t="shared" si="20"/>
        <v>582.58054496834575</v>
      </c>
      <c r="H179" s="76">
        <f t="shared" si="20"/>
        <v>582.58054496834575</v>
      </c>
      <c r="I179" s="76">
        <f t="shared" si="20"/>
        <v>582.58054496834575</v>
      </c>
      <c r="J179" s="76">
        <f t="shared" si="20"/>
        <v>582.58054496834575</v>
      </c>
      <c r="Q179" s="5"/>
    </row>
    <row r="180" spans="1:17">
      <c r="A180" s="7" t="s">
        <v>286</v>
      </c>
      <c r="B180" s="7"/>
      <c r="C180" s="7"/>
      <c r="D180" s="76"/>
      <c r="E180" s="91"/>
      <c r="F180" s="71"/>
      <c r="G180" s="71"/>
      <c r="H180" s="71"/>
      <c r="I180" s="71"/>
      <c r="J180" s="71"/>
      <c r="Q180" s="7"/>
    </row>
    <row r="181" spans="1:17">
      <c r="A181" s="7" t="s">
        <v>158</v>
      </c>
      <c r="B181" s="7"/>
      <c r="C181" s="7"/>
      <c r="D181" s="76"/>
      <c r="E181" s="91"/>
      <c r="F181" s="92">
        <f>F176</f>
        <v>1.6000000000000003</v>
      </c>
      <c r="G181" s="92">
        <f>G176</f>
        <v>1.6000000000000003</v>
      </c>
      <c r="H181" s="92">
        <f>H176</f>
        <v>1.6000000000000003</v>
      </c>
      <c r="I181" s="92">
        <f>I176</f>
        <v>1.6000000000000003</v>
      </c>
      <c r="J181" s="92">
        <f>J176</f>
        <v>1.6000000000000003</v>
      </c>
      <c r="Q181" s="7"/>
    </row>
    <row r="182" spans="1:17">
      <c r="A182" s="7" t="s">
        <v>82</v>
      </c>
      <c r="B182" s="7"/>
      <c r="C182" s="7"/>
      <c r="D182" s="76">
        <f>'Cost Input'!I79</f>
        <v>28800</v>
      </c>
      <c r="E182" s="91">
        <f>'Cost Input'!J79</f>
        <v>0.5</v>
      </c>
      <c r="F182" s="76">
        <f t="shared" ref="F182:J184" si="21">$D182*F$181^$E182</f>
        <v>36429.438645139729</v>
      </c>
      <c r="G182" s="76">
        <f t="shared" si="21"/>
        <v>36429.438645139729</v>
      </c>
      <c r="H182" s="76">
        <f t="shared" si="21"/>
        <v>36429.438645139729</v>
      </c>
      <c r="I182" s="76">
        <f t="shared" si="21"/>
        <v>36429.438645139729</v>
      </c>
      <c r="J182" s="76">
        <f t="shared" si="21"/>
        <v>36429.438645139729</v>
      </c>
      <c r="Q182" s="7"/>
    </row>
    <row r="183" spans="1:17">
      <c r="A183" s="7" t="s">
        <v>84</v>
      </c>
      <c r="B183" s="7"/>
      <c r="C183" s="7"/>
      <c r="D183" s="91">
        <f>'Cost Input'!I80</f>
        <v>3</v>
      </c>
      <c r="E183" s="91">
        <f>'Cost Input'!J80</f>
        <v>0.7</v>
      </c>
      <c r="F183" s="91">
        <f t="shared" si="21"/>
        <v>4.1687441573272483</v>
      </c>
      <c r="G183" s="91">
        <f t="shared" si="21"/>
        <v>4.1687441573272483</v>
      </c>
      <c r="H183" s="91">
        <f t="shared" si="21"/>
        <v>4.1687441573272483</v>
      </c>
      <c r="I183" s="91">
        <f t="shared" si="21"/>
        <v>4.1687441573272483</v>
      </c>
      <c r="J183" s="91">
        <f t="shared" si="21"/>
        <v>4.1687441573272483</v>
      </c>
      <c r="Q183" s="7"/>
    </row>
    <row r="184" spans="1:17">
      <c r="A184" s="7" t="s">
        <v>85</v>
      </c>
      <c r="B184" s="7"/>
      <c r="C184" s="7"/>
      <c r="D184" s="76">
        <f>'Cost Input'!I81</f>
        <v>400</v>
      </c>
      <c r="E184" s="91">
        <f>'Cost Input'!J81</f>
        <v>0.6</v>
      </c>
      <c r="F184" s="76">
        <f t="shared" si="21"/>
        <v>530.312642774398</v>
      </c>
      <c r="G184" s="76">
        <f t="shared" si="21"/>
        <v>530.312642774398</v>
      </c>
      <c r="H184" s="76">
        <f t="shared" si="21"/>
        <v>530.312642774398</v>
      </c>
      <c r="I184" s="76">
        <f t="shared" si="21"/>
        <v>530.312642774398</v>
      </c>
      <c r="J184" s="76">
        <f t="shared" si="21"/>
        <v>530.312642774398</v>
      </c>
      <c r="Q184" s="7"/>
    </row>
    <row r="185" spans="1:17">
      <c r="A185" s="7" t="s">
        <v>165</v>
      </c>
      <c r="B185" s="7"/>
      <c r="C185" s="7"/>
      <c r="D185" s="76"/>
      <c r="E185" s="91"/>
      <c r="F185" s="71"/>
      <c r="G185" s="71"/>
      <c r="H185" s="71"/>
      <c r="I185" s="71"/>
      <c r="J185" s="71"/>
      <c r="Q185" s="5"/>
    </row>
    <row r="186" spans="1:17">
      <c r="A186" s="7" t="s">
        <v>158</v>
      </c>
      <c r="B186" s="7"/>
      <c r="C186" s="7"/>
      <c r="D186" s="76"/>
      <c r="E186" s="91"/>
      <c r="F186" s="92">
        <f>F181</f>
        <v>1.6000000000000003</v>
      </c>
      <c r="G186" s="92">
        <f>G181</f>
        <v>1.6000000000000003</v>
      </c>
      <c r="H186" s="92">
        <f>H181</f>
        <v>1.6000000000000003</v>
      </c>
      <c r="I186" s="92">
        <f>I181</f>
        <v>1.6000000000000003</v>
      </c>
      <c r="J186" s="92">
        <f>J181</f>
        <v>1.6000000000000003</v>
      </c>
      <c r="Q186" s="7"/>
    </row>
    <row r="187" spans="1:17">
      <c r="A187" s="7" t="s">
        <v>82</v>
      </c>
      <c r="B187" s="7"/>
      <c r="C187" s="7"/>
      <c r="D187" s="76">
        <f>'Cost Input'!I84</f>
        <v>43200</v>
      </c>
      <c r="E187" s="91">
        <f>'Cost Input'!J84</f>
        <v>0.5</v>
      </c>
      <c r="F187" s="76">
        <f t="shared" ref="F187:J189" si="22">$D187*F$186^$E187</f>
        <v>54644.157967709594</v>
      </c>
      <c r="G187" s="76">
        <f t="shared" si="22"/>
        <v>54644.157967709594</v>
      </c>
      <c r="H187" s="76">
        <f t="shared" si="22"/>
        <v>54644.157967709594</v>
      </c>
      <c r="I187" s="76">
        <f t="shared" si="22"/>
        <v>54644.157967709594</v>
      </c>
      <c r="J187" s="76">
        <f t="shared" si="22"/>
        <v>54644.157967709594</v>
      </c>
      <c r="Q187" s="7"/>
    </row>
    <row r="188" spans="1:17">
      <c r="A188" s="7" t="s">
        <v>84</v>
      </c>
      <c r="B188" s="7"/>
      <c r="C188" s="7"/>
      <c r="D188" s="91">
        <f>'Cost Input'!I85</f>
        <v>6</v>
      </c>
      <c r="E188" s="91">
        <f>'Cost Input'!J85</f>
        <v>0.7</v>
      </c>
      <c r="F188" s="91">
        <f t="shared" si="22"/>
        <v>8.3374883146544967</v>
      </c>
      <c r="G188" s="91">
        <f t="shared" si="22"/>
        <v>8.3374883146544967</v>
      </c>
      <c r="H188" s="91">
        <f t="shared" si="22"/>
        <v>8.3374883146544967</v>
      </c>
      <c r="I188" s="91">
        <f t="shared" si="22"/>
        <v>8.3374883146544967</v>
      </c>
      <c r="J188" s="91">
        <f t="shared" si="22"/>
        <v>8.3374883146544967</v>
      </c>
      <c r="Q188" s="7"/>
    </row>
    <row r="189" spans="1:17">
      <c r="A189" s="7" t="s">
        <v>85</v>
      </c>
      <c r="B189" s="7"/>
      <c r="C189" s="7"/>
      <c r="D189" s="76">
        <f>'Cost Input'!I86</f>
        <v>600</v>
      </c>
      <c r="E189" s="91">
        <f>'Cost Input'!J86</f>
        <v>0.6</v>
      </c>
      <c r="F189" s="76">
        <f t="shared" si="22"/>
        <v>795.46896416159689</v>
      </c>
      <c r="G189" s="76">
        <f t="shared" si="22"/>
        <v>795.46896416159689</v>
      </c>
      <c r="H189" s="76">
        <f t="shared" si="22"/>
        <v>795.46896416159689</v>
      </c>
      <c r="I189" s="76">
        <f t="shared" si="22"/>
        <v>795.46896416159689</v>
      </c>
      <c r="J189" s="76">
        <f t="shared" si="22"/>
        <v>795.46896416159689</v>
      </c>
      <c r="Q189" s="7"/>
    </row>
    <row r="190" spans="1:17">
      <c r="A190" s="7" t="s">
        <v>395</v>
      </c>
      <c r="B190" s="7"/>
      <c r="C190" s="7"/>
      <c r="D190" s="76"/>
      <c r="E190" s="91"/>
      <c r="F190" s="76"/>
      <c r="G190" s="76"/>
      <c r="H190" s="76"/>
      <c r="I190" s="76"/>
      <c r="J190" s="76"/>
      <c r="Q190" s="5"/>
    </row>
    <row r="191" spans="1:17">
      <c r="A191" s="7" t="s">
        <v>158</v>
      </c>
      <c r="B191" s="7"/>
      <c r="C191" s="7"/>
      <c r="D191" s="76"/>
      <c r="E191" s="91"/>
      <c r="F191" s="92">
        <f ca="1">F14/'Cost Input'!$E17</f>
        <v>1.3947242577425667</v>
      </c>
      <c r="G191" s="92">
        <f ca="1">G14/'Cost Input'!$E17</f>
        <v>1.3604695604429997</v>
      </c>
      <c r="H191" s="92">
        <f ca="1">H14/'Cost Input'!$E17</f>
        <v>1.356332517659145</v>
      </c>
      <c r="I191" s="92">
        <f ca="1">I14/'Cost Input'!$E17</f>
        <v>1.3547673587111242</v>
      </c>
      <c r="J191" s="92">
        <f ca="1">J14/'Cost Input'!$E17</f>
        <v>1.3540496993336815</v>
      </c>
      <c r="Q191" s="7"/>
    </row>
    <row r="192" spans="1:17">
      <c r="A192" s="7" t="s">
        <v>82</v>
      </c>
      <c r="B192" s="7"/>
      <c r="C192" s="7"/>
      <c r="D192" s="76">
        <f>'Cost Input'!I89</f>
        <v>14400</v>
      </c>
      <c r="E192" s="91">
        <f>'Cost Input'!J89</f>
        <v>0.4</v>
      </c>
      <c r="F192" s="76">
        <f ca="1">$D192*F$191^$E192</f>
        <v>16449.694391191257</v>
      </c>
      <c r="G192" s="76">
        <f t="shared" ref="G192:J194" ca="1" si="23">$D192*G$191^$E192</f>
        <v>16286.884770961802</v>
      </c>
      <c r="H192" s="76">
        <f t="shared" ca="1" si="23"/>
        <v>16267.055997380034</v>
      </c>
      <c r="I192" s="76">
        <f t="shared" ca="1" si="23"/>
        <v>16259.544757323612</v>
      </c>
      <c r="J192" s="76">
        <f t="shared" ca="1" si="23"/>
        <v>16256.098949566438</v>
      </c>
      <c r="Q192" s="7"/>
    </row>
    <row r="193" spans="1:17">
      <c r="A193" s="7" t="s">
        <v>84</v>
      </c>
      <c r="B193" s="7"/>
      <c r="C193" s="7"/>
      <c r="D193" s="76">
        <f>'Cost Input'!I90</f>
        <v>20</v>
      </c>
      <c r="E193" s="91">
        <f>'Cost Input'!J90</f>
        <v>0.6</v>
      </c>
      <c r="F193" s="91">
        <f ca="1">$D193*F$191^$E193</f>
        <v>24.418726371290976</v>
      </c>
      <c r="G193" s="91">
        <f t="shared" ca="1" si="23"/>
        <v>24.057101091926359</v>
      </c>
      <c r="H193" s="91">
        <f t="shared" ca="1" si="23"/>
        <v>24.013181312509619</v>
      </c>
      <c r="I193" s="91">
        <f t="shared" ca="1" si="23"/>
        <v>23.996551264638718</v>
      </c>
      <c r="J193" s="91">
        <f t="shared" ca="1" si="23"/>
        <v>23.988923456848234</v>
      </c>
      <c r="Q193" s="7"/>
    </row>
    <row r="194" spans="1:17">
      <c r="A194" s="7" t="s">
        <v>85</v>
      </c>
      <c r="B194" s="7"/>
      <c r="C194" s="7"/>
      <c r="D194" s="76">
        <f>'Cost Input'!I91</f>
        <v>75</v>
      </c>
      <c r="E194" s="91">
        <f>'Cost Input'!J91</f>
        <v>0.4</v>
      </c>
      <c r="F194" s="76">
        <f ca="1">$D194*F$191^$E194</f>
        <v>85.675491620787795</v>
      </c>
      <c r="G194" s="76">
        <f t="shared" ca="1" si="23"/>
        <v>84.827524848759381</v>
      </c>
      <c r="H194" s="76">
        <f t="shared" ca="1" si="23"/>
        <v>84.724249986354337</v>
      </c>
      <c r="I194" s="76">
        <f t="shared" ca="1" si="23"/>
        <v>84.68512894439381</v>
      </c>
      <c r="J194" s="76">
        <f t="shared" ca="1" si="23"/>
        <v>84.66718202899186</v>
      </c>
      <c r="Q194" s="7"/>
    </row>
    <row r="195" spans="1:17">
      <c r="A195" s="5" t="s">
        <v>166</v>
      </c>
      <c r="B195" s="5"/>
      <c r="C195" s="5"/>
      <c r="D195" s="76"/>
      <c r="E195" s="91"/>
      <c r="F195" s="71"/>
      <c r="G195" s="71"/>
      <c r="H195" s="71"/>
      <c r="I195" s="71"/>
      <c r="J195" s="71"/>
      <c r="Q195" s="7"/>
    </row>
    <row r="196" spans="1:17">
      <c r="A196" s="7" t="s">
        <v>158</v>
      </c>
      <c r="B196" s="7"/>
      <c r="C196" s="7"/>
      <c r="D196" s="76"/>
      <c r="E196" s="91"/>
      <c r="F196" s="92">
        <f>F186</f>
        <v>1.6000000000000003</v>
      </c>
      <c r="G196" s="92">
        <f>G186</f>
        <v>1.6000000000000003</v>
      </c>
      <c r="H196" s="92">
        <f>H186</f>
        <v>1.6000000000000003</v>
      </c>
      <c r="I196" s="92">
        <f>I186</f>
        <v>1.6000000000000003</v>
      </c>
      <c r="J196" s="92">
        <f>J186</f>
        <v>1.6000000000000003</v>
      </c>
      <c r="Q196" s="5"/>
    </row>
    <row r="197" spans="1:17">
      <c r="A197" s="7" t="s">
        <v>287</v>
      </c>
      <c r="B197" s="7"/>
      <c r="C197" s="7"/>
      <c r="D197" s="76">
        <f>'Cost Input'!I94</f>
        <v>40</v>
      </c>
      <c r="E197" s="91">
        <f>'Cost Input'!J94</f>
        <v>0.3</v>
      </c>
      <c r="F197" s="91">
        <f ca="1">'Battery Design'!F68</f>
        <v>10.148282145201977</v>
      </c>
      <c r="G197" s="91">
        <f ca="1">'Battery Design'!G68</f>
        <v>20.429287222232745</v>
      </c>
      <c r="H197" s="91">
        <f ca="1">'Battery Design'!H68</f>
        <v>30.824652837952087</v>
      </c>
      <c r="I197" s="91">
        <f ca="1">'Battery Design'!I68</f>
        <v>41.342903488555315</v>
      </c>
      <c r="J197" s="91">
        <f ca="1">'Battery Design'!J68</f>
        <v>51.987865127188655</v>
      </c>
      <c r="Q197" s="7"/>
    </row>
    <row r="198" spans="1:17">
      <c r="A198" s="7" t="s">
        <v>82</v>
      </c>
      <c r="B198" s="7"/>
      <c r="C198" s="7"/>
      <c r="D198" s="76">
        <f>'Cost Input'!I95</f>
        <v>57600</v>
      </c>
      <c r="E198" s="91">
        <f>'Cost Input'!J95</f>
        <v>0.7</v>
      </c>
      <c r="F198" s="76">
        <f>$D198*F$196^$E198</f>
        <v>80039.887820683172</v>
      </c>
      <c r="G198" s="76">
        <f>$D198*G$196^$E198</f>
        <v>80039.887820683172</v>
      </c>
      <c r="H198" s="76">
        <f>$D198*H$196^$E198</f>
        <v>80039.887820683172</v>
      </c>
      <c r="I198" s="76">
        <f>$D198*I$196^$E198</f>
        <v>80039.887820683172</v>
      </c>
      <c r="J198" s="76">
        <f>$D198*J$196^$E198</f>
        <v>80039.887820683172</v>
      </c>
      <c r="Q198" s="7"/>
    </row>
    <row r="199" spans="1:17">
      <c r="A199" s="7" t="s">
        <v>84</v>
      </c>
      <c r="B199" s="7"/>
      <c r="C199" s="7"/>
      <c r="D199" s="76">
        <f>'Cost Input'!I96</f>
        <v>30</v>
      </c>
      <c r="E199" s="91">
        <f>'Cost Input'!J96</f>
        <v>0.8</v>
      </c>
      <c r="F199" s="91">
        <f ca="1">$D199*F$196^$E199*(F197/$D197)^$E197</f>
        <v>28.954562246057364</v>
      </c>
      <c r="G199" s="91">
        <f ca="1">$D199*G$196^$E199*(G197/$D197)^$E197</f>
        <v>35.717019242105835</v>
      </c>
      <c r="H199" s="91">
        <f ca="1">$D199*H$196^$E199*(H197/$D197)^$E197</f>
        <v>40.408125250804659</v>
      </c>
      <c r="I199" s="91">
        <f ca="1">$D199*I$196^$E199*(I197/$D197)^$E197</f>
        <v>44.128537617288444</v>
      </c>
      <c r="J199" s="91">
        <f ca="1">$D199*J$196^$E199*(J197/$D197)^$E197</f>
        <v>47.268284250310181</v>
      </c>
      <c r="Q199" s="7"/>
    </row>
    <row r="200" spans="1:17">
      <c r="A200" s="7" t="s">
        <v>85</v>
      </c>
      <c r="B200" s="7"/>
      <c r="C200" s="7"/>
      <c r="D200" s="76">
        <f>'Cost Input'!I97</f>
        <v>1500</v>
      </c>
      <c r="E200" s="91">
        <f>'Cost Input'!J97</f>
        <v>0.8</v>
      </c>
      <c r="F200" s="91">
        <f ca="1">$D200*F$196^$E200*(F197/$D197)^$E197</f>
        <v>1447.7281123028679</v>
      </c>
      <c r="G200" s="91">
        <f ca="1">$D200*G$196^$E200*(G197/$D197)^$E197</f>
        <v>1785.8509621052915</v>
      </c>
      <c r="H200" s="91">
        <f ca="1">$D200*H$196^$E200*(H197/$D197)^$E197</f>
        <v>2020.4062625402328</v>
      </c>
      <c r="I200" s="91">
        <f ca="1">$D200*I$196^$E200*(I197/$D197)^$E197</f>
        <v>2206.4268808644219</v>
      </c>
      <c r="J200" s="91">
        <f ca="1">$D200*J$196^$E200*(J197/$D197)^$E197</f>
        <v>2363.414212515509</v>
      </c>
      <c r="Q200" s="7"/>
    </row>
    <row r="201" spans="1:17">
      <c r="A201" s="5" t="s">
        <v>396</v>
      </c>
      <c r="B201" s="7"/>
      <c r="C201" s="7"/>
      <c r="D201" s="76"/>
      <c r="E201" s="91"/>
      <c r="F201" s="91"/>
      <c r="G201" s="91"/>
      <c r="H201" s="91"/>
      <c r="I201" s="91"/>
      <c r="J201" s="91"/>
      <c r="Q201" s="5"/>
    </row>
    <row r="202" spans="1:17">
      <c r="A202" s="7" t="s">
        <v>158</v>
      </c>
      <c r="B202" s="7"/>
      <c r="C202" s="7"/>
      <c r="D202" s="76"/>
      <c r="E202" s="91"/>
      <c r="F202" s="92">
        <f>F196</f>
        <v>1.6000000000000003</v>
      </c>
      <c r="G202" s="92">
        <f>G196</f>
        <v>1.6000000000000003</v>
      </c>
      <c r="H202" s="92">
        <f>H196</f>
        <v>1.6000000000000003</v>
      </c>
      <c r="I202" s="92">
        <f>I196</f>
        <v>1.6000000000000003</v>
      </c>
      <c r="J202" s="92">
        <f>J196</f>
        <v>1.6000000000000003</v>
      </c>
      <c r="Q202" s="7"/>
    </row>
    <row r="203" spans="1:17">
      <c r="A203" s="7" t="s">
        <v>82</v>
      </c>
      <c r="B203" s="7"/>
      <c r="C203" s="7"/>
      <c r="D203" s="76">
        <f>'Cost Input'!I100</f>
        <v>14400</v>
      </c>
      <c r="E203" s="91">
        <f>'Cost Input'!J100</f>
        <v>0.5</v>
      </c>
      <c r="F203" s="76">
        <f>$D203*F$202^$E203</f>
        <v>18214.719322569865</v>
      </c>
      <c r="G203" s="76">
        <f t="shared" ref="G203:J205" si="24">$D203*G$202^$E203</f>
        <v>18214.719322569865</v>
      </c>
      <c r="H203" s="76">
        <f t="shared" si="24"/>
        <v>18214.719322569865</v>
      </c>
      <c r="I203" s="76">
        <f t="shared" si="24"/>
        <v>18214.719322569865</v>
      </c>
      <c r="J203" s="76">
        <f t="shared" si="24"/>
        <v>18214.719322569865</v>
      </c>
    </row>
    <row r="204" spans="1:17">
      <c r="A204" s="7" t="s">
        <v>84</v>
      </c>
      <c r="B204" s="7"/>
      <c r="C204" s="7"/>
      <c r="D204" s="91">
        <f>'Cost Input'!I101</f>
        <v>2</v>
      </c>
      <c r="E204" s="91">
        <f>'Cost Input'!J101</f>
        <v>0.7</v>
      </c>
      <c r="F204" s="91">
        <f>$D204*F$202^$E204</f>
        <v>2.779162771551499</v>
      </c>
      <c r="G204" s="91">
        <f t="shared" si="24"/>
        <v>2.779162771551499</v>
      </c>
      <c r="H204" s="91">
        <f t="shared" si="24"/>
        <v>2.779162771551499</v>
      </c>
      <c r="I204" s="91">
        <f t="shared" si="24"/>
        <v>2.779162771551499</v>
      </c>
      <c r="J204" s="91">
        <f t="shared" si="24"/>
        <v>2.779162771551499</v>
      </c>
    </row>
    <row r="205" spans="1:17">
      <c r="A205" s="7" t="s">
        <v>85</v>
      </c>
      <c r="B205" s="7"/>
      <c r="C205" s="7"/>
      <c r="D205" s="76">
        <f>'Cost Input'!I102</f>
        <v>300</v>
      </c>
      <c r="E205" s="91">
        <f>'Cost Input'!J102</f>
        <v>0.6</v>
      </c>
      <c r="F205" s="76">
        <f>$D205*F$202^$E205</f>
        <v>397.73448208079844</v>
      </c>
      <c r="G205" s="76">
        <f t="shared" si="24"/>
        <v>397.73448208079844</v>
      </c>
      <c r="H205" s="76">
        <f t="shared" si="24"/>
        <v>397.73448208079844</v>
      </c>
      <c r="I205" s="76">
        <f t="shared" si="24"/>
        <v>397.73448208079844</v>
      </c>
      <c r="J205" s="76">
        <f t="shared" si="24"/>
        <v>397.73448208079844</v>
      </c>
    </row>
    <row r="206" spans="1:17">
      <c r="A206" s="5" t="s">
        <v>397</v>
      </c>
      <c r="B206" s="7"/>
      <c r="C206" s="7"/>
      <c r="D206" s="76"/>
      <c r="E206" s="91"/>
      <c r="F206" s="91"/>
      <c r="G206" s="91"/>
      <c r="H206" s="91"/>
      <c r="I206" s="91"/>
      <c r="J206" s="91"/>
    </row>
    <row r="207" spans="1:17">
      <c r="A207" s="7" t="s">
        <v>158</v>
      </c>
      <c r="B207" s="7"/>
      <c r="C207" s="7"/>
      <c r="D207" s="76"/>
      <c r="E207" s="91"/>
      <c r="F207" s="92">
        <f>F202</f>
        <v>1.6000000000000003</v>
      </c>
      <c r="G207" s="92">
        <f>G202</f>
        <v>1.6000000000000003</v>
      </c>
      <c r="H207" s="92">
        <f>H202</f>
        <v>1.6000000000000003</v>
      </c>
      <c r="I207" s="92">
        <f>I202</f>
        <v>1.6000000000000003</v>
      </c>
      <c r="J207" s="92">
        <f>J202</f>
        <v>1.6000000000000003</v>
      </c>
    </row>
    <row r="208" spans="1:17">
      <c r="A208" s="7" t="s">
        <v>82</v>
      </c>
      <c r="B208" s="7"/>
      <c r="C208" s="7"/>
      <c r="D208" s="76">
        <f>'Cost Input'!I105</f>
        <v>21600</v>
      </c>
      <c r="E208" s="91">
        <f>'Cost Input'!J105</f>
        <v>0.4</v>
      </c>
      <c r="F208" s="76">
        <f>$D208*F$207^$E208</f>
        <v>26067.641773875108</v>
      </c>
      <c r="G208" s="76">
        <f>$D208*G$207^$E208</f>
        <v>26067.641773875108</v>
      </c>
      <c r="H208" s="76">
        <f>$D208*H$207^$E208</f>
        <v>26067.641773875108</v>
      </c>
      <c r="I208" s="76">
        <f>$D208*I$207^$E208</f>
        <v>26067.641773875108</v>
      </c>
      <c r="J208" s="76">
        <f>$D208*J$207^$E208</f>
        <v>26067.641773875108</v>
      </c>
    </row>
    <row r="209" spans="1:19">
      <c r="A209" s="7" t="s">
        <v>84</v>
      </c>
      <c r="B209" s="7"/>
      <c r="C209" s="7"/>
      <c r="D209" s="91">
        <f>'Cost Input'!I106</f>
        <v>4.75</v>
      </c>
      <c r="E209" s="91">
        <f>'Cost Input'!J106</f>
        <v>0.7</v>
      </c>
      <c r="F209" s="91">
        <f t="shared" ref="F209:J210" si="25">$D209*F$207^$E209</f>
        <v>6.6005115824348106</v>
      </c>
      <c r="G209" s="91">
        <f t="shared" si="25"/>
        <v>6.6005115824348106</v>
      </c>
      <c r="H209" s="91">
        <f t="shared" si="25"/>
        <v>6.6005115824348106</v>
      </c>
      <c r="I209" s="91">
        <f t="shared" si="25"/>
        <v>6.6005115824348106</v>
      </c>
      <c r="J209" s="91">
        <f t="shared" si="25"/>
        <v>6.6005115824348106</v>
      </c>
    </row>
    <row r="210" spans="1:19">
      <c r="A210" s="7" t="s">
        <v>85</v>
      </c>
      <c r="B210" s="7"/>
      <c r="C210" s="7"/>
      <c r="D210" s="76">
        <f>'Cost Input'!I107</f>
        <v>600</v>
      </c>
      <c r="E210" s="91">
        <f>'Cost Input'!J107</f>
        <v>0.6</v>
      </c>
      <c r="F210" s="76">
        <f t="shared" si="25"/>
        <v>795.46896416159689</v>
      </c>
      <c r="G210" s="76">
        <f t="shared" si="25"/>
        <v>795.46896416159689</v>
      </c>
      <c r="H210" s="76">
        <f t="shared" si="25"/>
        <v>795.46896416159689</v>
      </c>
      <c r="I210" s="76">
        <f t="shared" si="25"/>
        <v>795.46896416159689</v>
      </c>
      <c r="J210" s="76">
        <f t="shared" si="25"/>
        <v>795.46896416159689</v>
      </c>
    </row>
    <row r="211" spans="1:19">
      <c r="A211" s="5" t="s">
        <v>167</v>
      </c>
      <c r="B211" s="5"/>
      <c r="C211" s="5"/>
      <c r="D211" s="76"/>
      <c r="E211" s="91"/>
      <c r="F211" s="71"/>
      <c r="G211" s="71"/>
      <c r="H211" s="71"/>
      <c r="I211" s="71"/>
      <c r="J211" s="71"/>
    </row>
    <row r="212" spans="1:19">
      <c r="A212" s="7" t="s">
        <v>158</v>
      </c>
      <c r="B212" s="7"/>
      <c r="C212" s="7"/>
      <c r="D212" s="76"/>
      <c r="E212" s="91"/>
      <c r="F212" s="94">
        <f>F196</f>
        <v>1.6000000000000003</v>
      </c>
      <c r="G212" s="94">
        <f>G196</f>
        <v>1.6000000000000003</v>
      </c>
      <c r="H212" s="94">
        <f>H196</f>
        <v>1.6000000000000003</v>
      </c>
      <c r="I212" s="94">
        <f>I196</f>
        <v>1.6000000000000003</v>
      </c>
      <c r="J212" s="94">
        <f>J196</f>
        <v>1.6000000000000003</v>
      </c>
    </row>
    <row r="213" spans="1:19">
      <c r="A213" s="7" t="s">
        <v>82</v>
      </c>
      <c r="B213" s="7"/>
      <c r="C213" s="7"/>
      <c r="D213" s="76">
        <f>'Cost Input'!I110</f>
        <v>43200</v>
      </c>
      <c r="E213" s="91">
        <f>'Cost Input'!J110</f>
        <v>0.5</v>
      </c>
      <c r="F213" s="76">
        <f t="shared" ref="F213:J215" si="26">$D213*F$212^$E213</f>
        <v>54644.157967709594</v>
      </c>
      <c r="G213" s="76">
        <f t="shared" si="26"/>
        <v>54644.157967709594</v>
      </c>
      <c r="H213" s="76">
        <f t="shared" si="26"/>
        <v>54644.157967709594</v>
      </c>
      <c r="I213" s="76">
        <f t="shared" si="26"/>
        <v>54644.157967709594</v>
      </c>
      <c r="J213" s="76">
        <f t="shared" si="26"/>
        <v>54644.157967709594</v>
      </c>
    </row>
    <row r="214" spans="1:19">
      <c r="A214" s="7" t="s">
        <v>84</v>
      </c>
      <c r="B214" s="7"/>
      <c r="C214" s="7"/>
      <c r="D214" s="91">
        <f>'Cost Input'!I111</f>
        <v>6</v>
      </c>
      <c r="E214" s="91">
        <f>'Cost Input'!J111</f>
        <v>0.7</v>
      </c>
      <c r="F214" s="91">
        <f t="shared" si="26"/>
        <v>8.3374883146544967</v>
      </c>
      <c r="G214" s="91">
        <f t="shared" si="26"/>
        <v>8.3374883146544967</v>
      </c>
      <c r="H214" s="91">
        <f t="shared" si="26"/>
        <v>8.3374883146544967</v>
      </c>
      <c r="I214" s="91">
        <f t="shared" si="26"/>
        <v>8.3374883146544967</v>
      </c>
      <c r="J214" s="91">
        <f t="shared" si="26"/>
        <v>8.3374883146544967</v>
      </c>
    </row>
    <row r="215" spans="1:19">
      <c r="A215" s="7" t="s">
        <v>85</v>
      </c>
      <c r="B215" s="7"/>
      <c r="C215" s="7"/>
      <c r="D215" s="76">
        <f>'Cost Input'!I112</f>
        <v>400</v>
      </c>
      <c r="E215" s="91">
        <f>'Cost Input'!J112</f>
        <v>0.6</v>
      </c>
      <c r="F215" s="76">
        <f t="shared" si="26"/>
        <v>530.312642774398</v>
      </c>
      <c r="G215" s="76">
        <f t="shared" si="26"/>
        <v>530.312642774398</v>
      </c>
      <c r="H215" s="76">
        <f t="shared" si="26"/>
        <v>530.312642774398</v>
      </c>
      <c r="I215" s="76">
        <f t="shared" si="26"/>
        <v>530.312642774398</v>
      </c>
      <c r="J215" s="76">
        <f t="shared" si="26"/>
        <v>530.312642774398</v>
      </c>
    </row>
    <row r="216" spans="1:19">
      <c r="A216" s="5" t="s">
        <v>476</v>
      </c>
      <c r="B216" s="5"/>
      <c r="C216" s="5"/>
      <c r="D216" s="76"/>
      <c r="E216" s="91"/>
      <c r="F216" s="71"/>
      <c r="G216" s="71"/>
      <c r="H216" s="71"/>
      <c r="I216" s="71"/>
      <c r="J216" s="71"/>
    </row>
    <row r="217" spans="1:19">
      <c r="A217" s="7" t="s">
        <v>158</v>
      </c>
      <c r="B217" s="7"/>
      <c r="C217" s="7"/>
      <c r="D217" s="76"/>
      <c r="E217" s="91"/>
      <c r="F217" s="94">
        <f>F212</f>
        <v>1.6000000000000003</v>
      </c>
      <c r="G217" s="94">
        <f>G212</f>
        <v>1.6000000000000003</v>
      </c>
      <c r="H217" s="94">
        <f>H212</f>
        <v>1.6000000000000003</v>
      </c>
      <c r="I217" s="94">
        <f>I212</f>
        <v>1.6000000000000003</v>
      </c>
      <c r="J217" s="94">
        <f>J212</f>
        <v>1.6000000000000003</v>
      </c>
    </row>
    <row r="218" spans="1:19">
      <c r="A218" s="7" t="s">
        <v>464</v>
      </c>
      <c r="B218" s="7"/>
      <c r="C218" s="7"/>
      <c r="D218" s="76">
        <v>4</v>
      </c>
      <c r="E218" s="91">
        <v>0.3</v>
      </c>
      <c r="F218" s="77">
        <f>'Battery Design'!F55</f>
        <v>6</v>
      </c>
      <c r="G218" s="77">
        <f>'Battery Design'!G55</f>
        <v>6</v>
      </c>
      <c r="H218" s="77">
        <f>'Battery Design'!H55</f>
        <v>6</v>
      </c>
      <c r="I218" s="77">
        <f>'Battery Design'!I55</f>
        <v>6</v>
      </c>
      <c r="J218" s="77">
        <f>'Battery Design'!J55</f>
        <v>6</v>
      </c>
    </row>
    <row r="219" spans="1:19">
      <c r="A219" s="7" t="s">
        <v>82</v>
      </c>
      <c r="B219" s="7"/>
      <c r="C219" s="7"/>
      <c r="D219" s="76">
        <f>'Cost Input'!I116</f>
        <v>43200</v>
      </c>
      <c r="E219" s="91">
        <f>'Cost Input'!J116</f>
        <v>0.5</v>
      </c>
      <c r="F219" s="76">
        <f t="shared" ref="F219:J221" si="27">$D219*F$217^$E219</f>
        <v>54644.157967709594</v>
      </c>
      <c r="G219" s="76">
        <f t="shared" si="27"/>
        <v>54644.157967709594</v>
      </c>
      <c r="H219" s="76">
        <f t="shared" si="27"/>
        <v>54644.157967709594</v>
      </c>
      <c r="I219" s="76">
        <f t="shared" si="27"/>
        <v>54644.157967709594</v>
      </c>
      <c r="J219" s="76">
        <f t="shared" si="27"/>
        <v>54644.157967709594</v>
      </c>
    </row>
    <row r="220" spans="1:19">
      <c r="A220" s="7" t="s">
        <v>84</v>
      </c>
      <c r="B220" s="7"/>
      <c r="C220" s="7"/>
      <c r="D220" s="91">
        <f>'Cost Input'!I117</f>
        <v>6</v>
      </c>
      <c r="E220" s="91">
        <f>'Cost Input'!J117</f>
        <v>0.7</v>
      </c>
      <c r="F220" s="91">
        <f>$D220*F$217^$E220*(F218/$D218)^$E218</f>
        <v>9.4159168775623989</v>
      </c>
      <c r="G220" s="91">
        <f>$D220*G$217^$E220*(G218/$D218)^$E218</f>
        <v>9.4159168775623989</v>
      </c>
      <c r="H220" s="91">
        <f>$D220*H$217^$E220*(H218/$D218)^$E218</f>
        <v>9.4159168775623989</v>
      </c>
      <c r="I220" s="91">
        <f>$D220*I$217^$E220*(I218/$D218)^$E218</f>
        <v>9.4159168775623989</v>
      </c>
      <c r="J220" s="91">
        <f>$D220*J$217^$E220*(J218/$D218)^$E218</f>
        <v>9.4159168775623989</v>
      </c>
    </row>
    <row r="221" spans="1:19">
      <c r="A221" s="7" t="s">
        <v>85</v>
      </c>
      <c r="B221" s="7"/>
      <c r="C221" s="7"/>
      <c r="D221" s="76">
        <f>'Cost Input'!I118</f>
        <v>600</v>
      </c>
      <c r="E221" s="91">
        <f>'Cost Input'!J118</f>
        <v>0.6</v>
      </c>
      <c r="F221" s="76">
        <f t="shared" si="27"/>
        <v>795.46896416159689</v>
      </c>
      <c r="G221" s="76">
        <f t="shared" si="27"/>
        <v>795.46896416159689</v>
      </c>
      <c r="H221" s="76">
        <f t="shared" si="27"/>
        <v>795.46896416159689</v>
      </c>
      <c r="I221" s="76">
        <f t="shared" si="27"/>
        <v>795.46896416159689</v>
      </c>
      <c r="J221" s="76">
        <f t="shared" si="27"/>
        <v>795.46896416159689</v>
      </c>
      <c r="S221" s="139"/>
    </row>
    <row r="222" spans="1:19">
      <c r="A222" s="5" t="s">
        <v>168</v>
      </c>
      <c r="B222" s="5"/>
      <c r="C222" s="5"/>
      <c r="D222" s="76"/>
      <c r="E222" s="91"/>
    </row>
    <row r="223" spans="1:19">
      <c r="A223" s="7" t="s">
        <v>158</v>
      </c>
      <c r="B223" s="7"/>
      <c r="C223" s="7"/>
      <c r="D223" s="76"/>
      <c r="E223" s="91"/>
      <c r="F223" s="59">
        <f>(1-'Cost Input'!$J5/100)/'Cost Input'!$J5*100*F9/(100-'Cost Input'!$J5)*'Cost Input'!$J5/'Cost Input'!$E11</f>
        <v>1.6000000000000014</v>
      </c>
      <c r="G223" s="59">
        <f>(1-'Cost Input'!$J5/100)/'Cost Input'!$J5*100*G9/(100-'Cost Input'!$J5)*'Cost Input'!$J5/'Cost Input'!$E11</f>
        <v>1.6000000000000014</v>
      </c>
      <c r="H223" s="59">
        <f>(1-'Cost Input'!$J5/100)/'Cost Input'!$J5*100*H9/(100-'Cost Input'!$J5)*'Cost Input'!$J5/'Cost Input'!$E11</f>
        <v>1.6000000000000014</v>
      </c>
      <c r="I223" s="59">
        <f>(1-'Cost Input'!$J5/100)/'Cost Input'!$J5*100*I9/(100-'Cost Input'!$J5)*'Cost Input'!$J5/'Cost Input'!$E11</f>
        <v>1.6000000000000014</v>
      </c>
      <c r="J223" s="59">
        <f>(1-'Cost Input'!$J5/100)/'Cost Input'!$J5*100*J9/(100-'Cost Input'!$J5)*'Cost Input'!$J5/'Cost Input'!$E11</f>
        <v>1.6000000000000014</v>
      </c>
    </row>
    <row r="224" spans="1:19">
      <c r="A224" s="7" t="s">
        <v>82</v>
      </c>
      <c r="B224" s="7"/>
      <c r="C224" s="7"/>
      <c r="D224" s="76">
        <f>'Cost Input'!I121</f>
        <v>36000</v>
      </c>
      <c r="E224" s="91">
        <f>'Cost Input'!J121</f>
        <v>0.7</v>
      </c>
      <c r="F224" s="76">
        <f t="shared" ref="F224:J226" si="28">$D224*F$223^$E224</f>
        <v>50024.929887927006</v>
      </c>
      <c r="G224" s="76">
        <f t="shared" si="28"/>
        <v>50024.929887927006</v>
      </c>
      <c r="H224" s="76">
        <f t="shared" si="28"/>
        <v>50024.929887927006</v>
      </c>
      <c r="I224" s="76">
        <f t="shared" si="28"/>
        <v>50024.929887927006</v>
      </c>
      <c r="J224" s="76">
        <f t="shared" si="28"/>
        <v>50024.929887927006</v>
      </c>
    </row>
    <row r="225" spans="1:20">
      <c r="A225" s="7" t="s">
        <v>84</v>
      </c>
      <c r="B225" s="7"/>
      <c r="C225" s="7"/>
      <c r="D225" s="91">
        <f>'Cost Input'!I122</f>
        <v>2.5</v>
      </c>
      <c r="E225" s="91">
        <f>'Cost Input'!J122</f>
        <v>0.7</v>
      </c>
      <c r="F225" s="91">
        <f t="shared" si="28"/>
        <v>3.4739534644393757</v>
      </c>
      <c r="G225" s="91">
        <f t="shared" si="28"/>
        <v>3.4739534644393757</v>
      </c>
      <c r="H225" s="91">
        <f t="shared" si="28"/>
        <v>3.4739534644393757</v>
      </c>
      <c r="I225" s="91">
        <f t="shared" si="28"/>
        <v>3.4739534644393757</v>
      </c>
      <c r="J225" s="91">
        <f t="shared" si="28"/>
        <v>3.4739534644393757</v>
      </c>
    </row>
    <row r="226" spans="1:20">
      <c r="A226" s="7" t="s">
        <v>85</v>
      </c>
      <c r="B226" s="7"/>
      <c r="C226" s="7"/>
      <c r="D226" s="76">
        <f>'Cost Input'!I123</f>
        <v>400</v>
      </c>
      <c r="E226" s="91">
        <f>'Cost Input'!J123</f>
        <v>0.6</v>
      </c>
      <c r="F226" s="76">
        <f t="shared" si="28"/>
        <v>530.31264277439823</v>
      </c>
      <c r="G226" s="76">
        <f t="shared" si="28"/>
        <v>530.31264277439823</v>
      </c>
      <c r="H226" s="76">
        <f t="shared" si="28"/>
        <v>530.31264277439823</v>
      </c>
      <c r="I226" s="76">
        <f t="shared" si="28"/>
        <v>530.31264277439823</v>
      </c>
      <c r="J226" s="76">
        <f t="shared" si="28"/>
        <v>530.31264277439823</v>
      </c>
    </row>
    <row r="227" spans="1:20">
      <c r="A227" s="5" t="s">
        <v>169</v>
      </c>
      <c r="B227" s="5"/>
      <c r="C227" s="5"/>
      <c r="D227" s="76"/>
      <c r="E227" s="91"/>
      <c r="F227" s="59"/>
      <c r="G227" s="59"/>
      <c r="H227" s="59"/>
      <c r="I227" s="59"/>
      <c r="J227" s="59"/>
    </row>
    <row r="228" spans="1:20">
      <c r="A228" s="7" t="s">
        <v>158</v>
      </c>
      <c r="B228" s="7"/>
      <c r="C228" s="7"/>
      <c r="D228" s="76"/>
      <c r="E228" s="91"/>
      <c r="F228" s="59">
        <f ca="1">F103</f>
        <v>0.41078300138079682</v>
      </c>
      <c r="G228" s="59">
        <f ca="1">G103</f>
        <v>0.82156600276128877</v>
      </c>
      <c r="H228" s="59">
        <f ca="1">H103</f>
        <v>1.2323490041419278</v>
      </c>
      <c r="I228" s="59">
        <f ca="1">I103</f>
        <v>1.6431320055225715</v>
      </c>
      <c r="J228" s="59">
        <f ca="1">J103</f>
        <v>2.0539150069032148</v>
      </c>
    </row>
    <row r="229" spans="1:20">
      <c r="A229" s="7" t="s">
        <v>82</v>
      </c>
      <c r="B229" s="7"/>
      <c r="C229" s="7"/>
      <c r="D229" s="76">
        <f>'Cost Input'!I126</f>
        <v>28800</v>
      </c>
      <c r="E229" s="91">
        <f>'Cost Input'!J126</f>
        <v>0.5</v>
      </c>
      <c r="F229" s="76">
        <f t="shared" ref="F229:J231" ca="1" si="29">$D229*F$228^$E229</f>
        <v>18458.598339670545</v>
      </c>
      <c r="G229" s="76">
        <f t="shared" ca="1" si="29"/>
        <v>26104.400114354732</v>
      </c>
      <c r="H229" s="76">
        <f t="shared" ca="1" si="29"/>
        <v>31971.230160809901</v>
      </c>
      <c r="I229" s="76">
        <f t="shared" ca="1" si="29"/>
        <v>36917.196679334171</v>
      </c>
      <c r="J229" s="76">
        <f t="shared" ca="1" si="29"/>
        <v>41274.680656860357</v>
      </c>
    </row>
    <row r="230" spans="1:20">
      <c r="A230" s="7" t="s">
        <v>84</v>
      </c>
      <c r="B230" s="7"/>
      <c r="C230" s="7"/>
      <c r="D230" s="91">
        <f>'Cost Input'!I127</f>
        <v>5</v>
      </c>
      <c r="E230" s="91">
        <f>'Cost Input'!J127</f>
        <v>0.7</v>
      </c>
      <c r="F230" s="91">
        <f t="shared" ca="1" si="29"/>
        <v>2.6822467575263795</v>
      </c>
      <c r="G230" s="91">
        <f t="shared" ca="1" si="29"/>
        <v>4.3573227128379575</v>
      </c>
      <c r="H230" s="91">
        <f t="shared" ca="1" si="29"/>
        <v>5.7874014300246106</v>
      </c>
      <c r="I230" s="91">
        <f t="shared" ca="1" si="29"/>
        <v>7.0784916304001495</v>
      </c>
      <c r="J230" s="91">
        <f t="shared" ca="1" si="29"/>
        <v>8.2751853878214447</v>
      </c>
    </row>
    <row r="231" spans="1:20">
      <c r="A231" s="7" t="s">
        <v>85</v>
      </c>
      <c r="B231" s="7"/>
      <c r="C231" s="7"/>
      <c r="D231" s="76">
        <f>'Cost Input'!I128</f>
        <v>600</v>
      </c>
      <c r="E231" s="91">
        <f>'Cost Input'!J128</f>
        <v>0.6</v>
      </c>
      <c r="F231" s="76">
        <f t="shared" ca="1" si="29"/>
        <v>351.81854536487674</v>
      </c>
      <c r="G231" s="76">
        <f t="shared" ca="1" si="29"/>
        <v>533.257197615015</v>
      </c>
      <c r="H231" s="76">
        <f t="shared" ca="1" si="29"/>
        <v>680.12929497323728</v>
      </c>
      <c r="I231" s="76">
        <f t="shared" ca="1" si="29"/>
        <v>808.2667686359855</v>
      </c>
      <c r="J231" s="76">
        <f t="shared" ca="1" si="29"/>
        <v>924.06119150552922</v>
      </c>
    </row>
    <row r="232" spans="1:20">
      <c r="A232" s="5" t="s">
        <v>478</v>
      </c>
    </row>
    <row r="233" spans="1:20">
      <c r="A233" s="7" t="s">
        <v>82</v>
      </c>
      <c r="F233" s="101">
        <f t="shared" ref="F233:J235" ca="1" si="30">F104+F111+F116+F123+F129+F134+F140+F145+F150+F155+F160+F165+F172+F177+F182+F187+F192+F198+F203+F208+F213+F219+F224+F229</f>
        <v>802665.70661988819</v>
      </c>
      <c r="G233" s="101">
        <f t="shared" ca="1" si="30"/>
        <v>792315.26363522361</v>
      </c>
      <c r="H233" s="101">
        <f t="shared" ca="1" si="30"/>
        <v>812318.39995768794</v>
      </c>
      <c r="I233" s="101">
        <f t="shared" ca="1" si="30"/>
        <v>831597.98402912624</v>
      </c>
      <c r="J233" s="101">
        <f t="shared" ca="1" si="30"/>
        <v>849423.66371391399</v>
      </c>
      <c r="R233" s="219"/>
      <c r="S233" s="219"/>
      <c r="T233" s="219"/>
    </row>
    <row r="234" spans="1:20">
      <c r="A234" s="7" t="s">
        <v>84</v>
      </c>
      <c r="F234" s="40">
        <f t="shared" ca="1" si="30"/>
        <v>148.65543777854504</v>
      </c>
      <c r="G234" s="40">
        <f t="shared" ca="1" si="30"/>
        <v>156.86285034466059</v>
      </c>
      <c r="H234" s="40">
        <f t="shared" ca="1" si="30"/>
        <v>168.20138007247431</v>
      </c>
      <c r="I234" s="40">
        <f t="shared" ca="1" si="30"/>
        <v>178.17738955743704</v>
      </c>
      <c r="J234" s="40">
        <f t="shared" ca="1" si="30"/>
        <v>187.14964765675754</v>
      </c>
      <c r="R234" s="219"/>
      <c r="S234" s="219"/>
      <c r="T234" s="219"/>
    </row>
    <row r="235" spans="1:20">
      <c r="A235" s="7" t="s">
        <v>85</v>
      </c>
      <c r="F235" s="101">
        <f t="shared" ca="1" si="30"/>
        <v>12128.134887968561</v>
      </c>
      <c r="G235" s="101">
        <f t="shared" ca="1" si="30"/>
        <v>12208.852341849235</v>
      </c>
      <c r="H235" s="101">
        <f t="shared" ca="1" si="30"/>
        <v>12884.955895218525</v>
      </c>
      <c r="I235" s="101">
        <f t="shared" ca="1" si="30"/>
        <v>13509.591644378579</v>
      </c>
      <c r="J235" s="101">
        <f t="shared" ca="1" si="30"/>
        <v>14081.045772876778</v>
      </c>
      <c r="R235" s="219"/>
      <c r="S235" s="219"/>
      <c r="T235" s="219"/>
    </row>
    <row r="236" spans="1:20">
      <c r="R236" s="219"/>
      <c r="S236" s="219"/>
      <c r="T236" s="219"/>
    </row>
    <row r="237" spans="1:20">
      <c r="A237" s="5" t="s">
        <v>489</v>
      </c>
      <c r="G237" s="101"/>
      <c r="H237" s="101"/>
      <c r="I237" s="40"/>
      <c r="J237" s="101"/>
      <c r="R237" s="219"/>
      <c r="S237" s="219"/>
      <c r="T237" s="219"/>
    </row>
    <row r="238" spans="1:20">
      <c r="A238" s="7" t="s">
        <v>82</v>
      </c>
      <c r="F238" s="134">
        <f ca="1">F233-2/3*F219</f>
        <v>766236.26797474851</v>
      </c>
      <c r="G238" s="134">
        <f ca="1">G233-2/3*G219</f>
        <v>755885.82499008393</v>
      </c>
      <c r="H238" s="134">
        <f ca="1">H233-2/3*H219</f>
        <v>775888.96131254826</v>
      </c>
      <c r="I238" s="134">
        <f ca="1">I233-2/3*I219</f>
        <v>795168.54538398655</v>
      </c>
      <c r="J238" s="134">
        <f ca="1">J233-2/3*J219</f>
        <v>812994.22506877431</v>
      </c>
      <c r="R238" s="219"/>
      <c r="S238" s="219"/>
      <c r="T238" s="219"/>
    </row>
    <row r="239" spans="1:20">
      <c r="A239" s="7" t="s">
        <v>84</v>
      </c>
      <c r="F239" s="139">
        <f t="shared" ref="F239:J240" ca="1" si="31">F234-0.5*F220</f>
        <v>143.94747933976385</v>
      </c>
      <c r="G239" s="139">
        <f t="shared" ca="1" si="31"/>
        <v>152.1548919058794</v>
      </c>
      <c r="H239" s="139">
        <f t="shared" ca="1" si="31"/>
        <v>163.49342163369312</v>
      </c>
      <c r="I239" s="139">
        <f t="shared" ca="1" si="31"/>
        <v>173.46943111865585</v>
      </c>
      <c r="J239" s="139">
        <f t="shared" ca="1" si="31"/>
        <v>182.44168921797635</v>
      </c>
      <c r="R239" s="219"/>
      <c r="S239" s="219"/>
      <c r="T239" s="219"/>
    </row>
    <row r="240" spans="1:20">
      <c r="A240" s="7" t="s">
        <v>85</v>
      </c>
      <c r="F240" s="134">
        <f t="shared" ca="1" si="31"/>
        <v>11730.400405887762</v>
      </c>
      <c r="G240" s="134">
        <f t="shared" ca="1" si="31"/>
        <v>11811.117859768437</v>
      </c>
      <c r="H240" s="134">
        <f t="shared" ca="1" si="31"/>
        <v>12487.221413137726</v>
      </c>
      <c r="I240" s="134">
        <f t="shared" ca="1" si="31"/>
        <v>13111.85716229778</v>
      </c>
      <c r="J240" s="134">
        <f t="shared" ca="1" si="31"/>
        <v>13683.31129079598</v>
      </c>
      <c r="R240" s="18"/>
      <c r="S240" s="18"/>
      <c r="T240" s="18"/>
    </row>
    <row r="242" spans="1:6">
      <c r="A242" s="273" t="s">
        <v>488</v>
      </c>
      <c r="B242" s="273"/>
      <c r="C242" s="273"/>
      <c r="D242" s="273"/>
      <c r="E242" s="273"/>
      <c r="F242" s="273"/>
    </row>
    <row r="243" spans="1:6">
      <c r="A243" s="103"/>
      <c r="D243" s="8" t="s">
        <v>370</v>
      </c>
      <c r="E243" s="8" t="s">
        <v>348</v>
      </c>
      <c r="F243" s="8" t="s">
        <v>487</v>
      </c>
    </row>
    <row r="244" spans="1:6">
      <c r="A244" s="7" t="s">
        <v>371</v>
      </c>
      <c r="D244" s="3">
        <f>'Battery Design'!F56</f>
        <v>96</v>
      </c>
      <c r="E244" s="3"/>
      <c r="F244" s="95">
        <f ca="1">D244*F73</f>
        <v>261.79969223788794</v>
      </c>
    </row>
    <row r="245" spans="1:6">
      <c r="A245" s="7" t="s">
        <v>372</v>
      </c>
      <c r="D245" s="3">
        <f>D244</f>
        <v>96</v>
      </c>
      <c r="E245" s="3"/>
      <c r="F245" s="95">
        <f ca="1">D245*F78</f>
        <v>98.732543616240932</v>
      </c>
    </row>
    <row r="246" spans="1:6">
      <c r="A246" s="7" t="s">
        <v>373</v>
      </c>
      <c r="D246" s="3">
        <f t="shared" ref="D246:D251" si="32">D245</f>
        <v>96</v>
      </c>
      <c r="E246" s="3"/>
      <c r="F246" s="95">
        <f ca="1">D246*(F74+F75+F76+F79+F80)</f>
        <v>9.8583274169163992</v>
      </c>
    </row>
    <row r="247" spans="1:6">
      <c r="A247" s="7" t="s">
        <v>374</v>
      </c>
      <c r="D247" s="3">
        <f t="shared" si="32"/>
        <v>96</v>
      </c>
      <c r="E247" s="3"/>
      <c r="F247" s="95">
        <f ca="1">D247*F81</f>
        <v>80.694562554181402</v>
      </c>
    </row>
    <row r="248" spans="1:6">
      <c r="A248" s="7" t="s">
        <v>375</v>
      </c>
      <c r="D248" s="3">
        <f t="shared" si="32"/>
        <v>96</v>
      </c>
      <c r="E248" s="3"/>
      <c r="F248" s="95">
        <f ca="1">D248*F82</f>
        <v>317.99077698415294</v>
      </c>
    </row>
    <row r="249" spans="1:6">
      <c r="A249" s="7" t="s">
        <v>145</v>
      </c>
      <c r="D249" s="3">
        <f t="shared" si="32"/>
        <v>96</v>
      </c>
      <c r="E249" s="3"/>
      <c r="F249" s="95">
        <f ca="1">D249*F83</f>
        <v>354.48417448525618</v>
      </c>
    </row>
    <row r="250" spans="1:6">
      <c r="A250" s="7" t="s">
        <v>146</v>
      </c>
      <c r="D250" s="3">
        <f t="shared" si="32"/>
        <v>96</v>
      </c>
      <c r="E250" s="3"/>
      <c r="F250" s="95">
        <f ca="1">D250*F84</f>
        <v>67.908961431652642</v>
      </c>
    </row>
    <row r="251" spans="1:6">
      <c r="A251" s="47" t="s">
        <v>376</v>
      </c>
      <c r="D251" s="3">
        <f t="shared" si="32"/>
        <v>96</v>
      </c>
      <c r="E251" s="3"/>
      <c r="F251" s="95">
        <f ca="1">D251*(F85+F86+F87)</f>
        <v>93.11522439550069</v>
      </c>
    </row>
    <row r="252" spans="1:6">
      <c r="A252" s="103" t="s">
        <v>377</v>
      </c>
      <c r="D252" s="3"/>
      <c r="E252" s="4">
        <f>'Battery Design'!F55</f>
        <v>6</v>
      </c>
      <c r="F252" s="95">
        <f ca="1">E252*(F93+F94+F95)</f>
        <v>191.55098308833402</v>
      </c>
    </row>
    <row r="253" spans="1:6">
      <c r="A253" s="7" t="s">
        <v>378</v>
      </c>
      <c r="F253" s="218">
        <f ca="1">F97</f>
        <v>80.74658065089622</v>
      </c>
    </row>
    <row r="254" spans="1:6">
      <c r="E254" s="5" t="s">
        <v>15</v>
      </c>
      <c r="F254" s="95">
        <f ca="1">SUM(F244:F253)</f>
        <v>1556.8818268610196</v>
      </c>
    </row>
  </sheetData>
  <mergeCells count="3">
    <mergeCell ref="A1:J1"/>
    <mergeCell ref="A2:J2"/>
    <mergeCell ref="A242:F242"/>
  </mergeCells>
  <phoneticPr fontId="5" type="noConversion"/>
  <pageMargins left="0.5" right="0.5" top="0.5" bottom="0.5" header="0.5" footer="0.5"/>
  <pageSetup orientation="portrait" verticalDpi="300" r:id="rId1"/>
  <headerFooter alignWithMargins="0">
    <oddFooter>&amp;C &amp;P&amp;R&amp;D</oddFooter>
  </headerFooter>
  <rowBreaks count="5" manualBreakCount="5">
    <brk id="51" max="9" man="1"/>
    <brk id="98" max="16383" man="1"/>
    <brk id="136" max="9" man="1"/>
    <brk id="184" max="9" man="1"/>
    <brk id="24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T197"/>
  <sheetViews>
    <sheetView zoomScaleNormal="100" workbookViewId="0">
      <selection activeCell="M17" sqref="M17"/>
    </sheetView>
  </sheetViews>
  <sheetFormatPr defaultRowHeight="12.75"/>
  <cols>
    <col min="1" max="10" width="10.28515625" customWidth="1"/>
    <col min="11" max="11" width="20.85546875" customWidth="1"/>
    <col min="12" max="12" width="11" customWidth="1"/>
    <col min="15" max="15" width="10.85546875" customWidth="1"/>
    <col min="16" max="16" width="16.42578125" customWidth="1"/>
    <col min="17" max="17" width="11.7109375" customWidth="1"/>
  </cols>
  <sheetData>
    <row r="1" spans="1:17" ht="15.75">
      <c r="A1" s="269" t="s">
        <v>303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7" ht="18.75">
      <c r="A2" s="269" t="s">
        <v>313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7">
      <c r="A3" s="60"/>
      <c r="B3" s="60"/>
      <c r="C3" s="60"/>
      <c r="D3" s="60"/>
      <c r="E3" s="60"/>
      <c r="F3" s="61"/>
      <c r="G3" s="61"/>
      <c r="H3" s="61"/>
      <c r="I3" s="61"/>
      <c r="J3" s="61"/>
      <c r="K3" s="274" t="s">
        <v>299</v>
      </c>
      <c r="L3" s="274"/>
      <c r="M3" s="274"/>
      <c r="N3" s="274"/>
      <c r="O3" s="274"/>
      <c r="P3" s="274"/>
    </row>
    <row r="4" spans="1:17" ht="15.75">
      <c r="A4" s="62" t="s">
        <v>227</v>
      </c>
      <c r="F4" s="62" t="s">
        <v>269</v>
      </c>
      <c r="G4" s="64"/>
      <c r="H4" s="64"/>
      <c r="I4" s="64"/>
      <c r="J4" s="64"/>
      <c r="K4" s="8" t="s">
        <v>246</v>
      </c>
      <c r="L4" s="8"/>
      <c r="M4" s="8" t="s">
        <v>297</v>
      </c>
      <c r="N4" s="8" t="s">
        <v>461</v>
      </c>
      <c r="O4" s="8" t="s">
        <v>146</v>
      </c>
    </row>
    <row r="5" spans="1:17">
      <c r="A5" s="47" t="s">
        <v>48</v>
      </c>
      <c r="B5" s="47"/>
      <c r="C5" s="47"/>
      <c r="D5" s="47"/>
      <c r="E5" s="240">
        <v>100000</v>
      </c>
      <c r="F5" s="47" t="s">
        <v>49</v>
      </c>
      <c r="G5" s="47"/>
      <c r="H5" s="47"/>
      <c r="I5" s="63"/>
      <c r="J5" s="105">
        <v>95</v>
      </c>
      <c r="K5" s="8" t="s">
        <v>295</v>
      </c>
      <c r="L5" s="68" t="s">
        <v>296</v>
      </c>
      <c r="M5" s="68" t="s">
        <v>281</v>
      </c>
      <c r="N5" s="68" t="s">
        <v>462</v>
      </c>
      <c r="O5" s="64" t="s">
        <v>298</v>
      </c>
      <c r="P5" s="183" t="s">
        <v>15</v>
      </c>
    </row>
    <row r="6" spans="1:17">
      <c r="A6" s="47" t="s">
        <v>273</v>
      </c>
      <c r="B6" s="47"/>
      <c r="C6" s="47"/>
      <c r="D6" s="63"/>
      <c r="E6" s="241">
        <v>300</v>
      </c>
      <c r="F6" s="5" t="s">
        <v>302</v>
      </c>
      <c r="L6" s="47"/>
      <c r="M6" s="52"/>
      <c r="N6" s="52"/>
      <c r="O6" s="63"/>
      <c r="P6" s="188"/>
    </row>
    <row r="7" spans="1:17">
      <c r="A7" s="47" t="s">
        <v>274</v>
      </c>
      <c r="B7" s="47"/>
      <c r="C7" s="47"/>
      <c r="D7" s="63"/>
      <c r="E7" s="241">
        <v>24</v>
      </c>
      <c r="F7" s="7" t="s">
        <v>301</v>
      </c>
      <c r="G7" s="7"/>
      <c r="H7" s="7"/>
      <c r="J7" s="189">
        <f t="shared" ref="J7:J12" si="0">P7</f>
        <v>92.2</v>
      </c>
      <c r="K7" s="3">
        <v>99</v>
      </c>
      <c r="L7" s="65">
        <v>95</v>
      </c>
      <c r="M7" s="184">
        <v>99</v>
      </c>
      <c r="N7" s="184">
        <v>99</v>
      </c>
      <c r="O7" s="64"/>
      <c r="P7" s="190">
        <f>ROUND(K7*L7*M7*N7/1000000,1)</f>
        <v>92.2</v>
      </c>
    </row>
    <row r="8" spans="1:17">
      <c r="A8" t="s">
        <v>276</v>
      </c>
      <c r="B8" s="52"/>
      <c r="C8" s="52"/>
      <c r="D8" s="63"/>
      <c r="E8" s="242">
        <v>900</v>
      </c>
      <c r="F8" s="7" t="s">
        <v>142</v>
      </c>
      <c r="G8" s="7"/>
      <c r="H8" s="7"/>
      <c r="J8" s="189">
        <f t="shared" si="0"/>
        <v>92.2</v>
      </c>
      <c r="K8" s="3">
        <v>99</v>
      </c>
      <c r="L8" s="65">
        <v>95</v>
      </c>
      <c r="M8" s="184">
        <v>99</v>
      </c>
      <c r="N8" s="184">
        <v>99</v>
      </c>
      <c r="O8" s="64"/>
      <c r="P8" s="190">
        <f>ROUND(K8*L8*M8*N8/1000000,1)</f>
        <v>92.2</v>
      </c>
    </row>
    <row r="9" spans="1:17">
      <c r="A9" s="52" t="s">
        <v>289</v>
      </c>
      <c r="B9" s="52"/>
      <c r="C9" s="52"/>
      <c r="D9" s="251"/>
      <c r="E9" s="241">
        <v>869419.75676329969</v>
      </c>
      <c r="F9" s="7" t="s">
        <v>143</v>
      </c>
      <c r="G9" s="7"/>
      <c r="H9" s="7"/>
      <c r="J9" s="189">
        <f t="shared" si="0"/>
        <v>90.2</v>
      </c>
      <c r="K9" s="3"/>
      <c r="L9" s="3">
        <v>99</v>
      </c>
      <c r="M9" s="184">
        <v>92</v>
      </c>
      <c r="N9" s="184">
        <v>99</v>
      </c>
      <c r="O9" s="64"/>
      <c r="P9" s="190">
        <f>ROUND(L9*M9*N9/10000,1)</f>
        <v>90.2</v>
      </c>
    </row>
    <row r="10" spans="1:17">
      <c r="A10" s="47" t="s">
        <v>117</v>
      </c>
      <c r="B10" s="52"/>
      <c r="C10" s="52"/>
      <c r="D10" s="63"/>
      <c r="E10" s="249">
        <v>6000000</v>
      </c>
      <c r="F10" s="7" t="s">
        <v>144</v>
      </c>
      <c r="G10" s="7"/>
      <c r="H10" s="7"/>
      <c r="J10" s="189">
        <f t="shared" si="0"/>
        <v>90.2</v>
      </c>
      <c r="K10" s="3"/>
      <c r="L10" s="65">
        <v>99</v>
      </c>
      <c r="M10" s="184">
        <v>92</v>
      </c>
      <c r="N10" s="184">
        <v>99</v>
      </c>
      <c r="O10" s="64"/>
      <c r="P10" s="190">
        <f>ROUND(L10*M10*N10/10000,1)</f>
        <v>90.2</v>
      </c>
    </row>
    <row r="11" spans="1:17">
      <c r="A11" s="52" t="s">
        <v>118</v>
      </c>
      <c r="B11" s="52"/>
      <c r="C11" s="52"/>
      <c r="D11" s="63"/>
      <c r="E11" s="249">
        <v>6315789.4736842103</v>
      </c>
      <c r="F11" s="7" t="s">
        <v>145</v>
      </c>
      <c r="G11" s="7"/>
      <c r="H11" s="7"/>
      <c r="J11" s="189">
        <f t="shared" si="0"/>
        <v>98</v>
      </c>
      <c r="K11" s="3"/>
      <c r="L11" s="65"/>
      <c r="M11" s="184"/>
      <c r="N11" s="184">
        <v>98</v>
      </c>
      <c r="O11" s="64"/>
      <c r="P11" s="190">
        <f>N11</f>
        <v>98</v>
      </c>
    </row>
    <row r="12" spans="1:17" ht="14.25">
      <c r="A12" s="52" t="s">
        <v>290</v>
      </c>
      <c r="B12" s="52"/>
      <c r="C12" s="52"/>
      <c r="D12" s="63"/>
      <c r="E12" s="249">
        <v>8169834.9653472286</v>
      </c>
      <c r="F12" s="7" t="s">
        <v>146</v>
      </c>
      <c r="G12" s="7"/>
      <c r="H12" s="7"/>
      <c r="J12" s="189">
        <f t="shared" si="0"/>
        <v>94</v>
      </c>
      <c r="K12" s="248"/>
      <c r="L12" s="184"/>
      <c r="M12" s="184"/>
      <c r="N12" s="184"/>
      <c r="O12" s="65">
        <v>94</v>
      </c>
      <c r="P12" s="190">
        <f>O12</f>
        <v>94</v>
      </c>
    </row>
    <row r="13" spans="1:17">
      <c r="A13" s="52" t="s">
        <v>291</v>
      </c>
      <c r="B13" s="52"/>
      <c r="C13" s="52"/>
      <c r="D13" s="63"/>
      <c r="E13" s="249">
        <v>1712524.2607603606</v>
      </c>
      <c r="F13" s="7" t="s">
        <v>272</v>
      </c>
      <c r="G13" s="149"/>
      <c r="H13" s="149"/>
      <c r="I13" s="149"/>
      <c r="J13" s="261">
        <v>99.5</v>
      </c>
      <c r="K13" s="260"/>
      <c r="L13" s="52"/>
      <c r="M13" s="52"/>
      <c r="N13" s="52"/>
      <c r="O13" s="63"/>
      <c r="P13" s="100"/>
    </row>
    <row r="14" spans="1:17">
      <c r="A14" s="52" t="s">
        <v>292</v>
      </c>
      <c r="B14" s="52"/>
      <c r="C14" s="52"/>
      <c r="D14" s="63"/>
      <c r="E14" s="249">
        <v>1208956.5799244591</v>
      </c>
      <c r="F14" s="7"/>
      <c r="G14" s="149"/>
      <c r="H14" s="149"/>
      <c r="I14" s="149"/>
      <c r="J14" s="104"/>
      <c r="K14" s="100"/>
      <c r="L14" s="47"/>
      <c r="M14" s="47"/>
      <c r="N14" s="47"/>
      <c r="O14" s="63"/>
      <c r="P14" s="67"/>
    </row>
    <row r="15" spans="1:17" ht="15.75">
      <c r="A15" s="52" t="s">
        <v>472</v>
      </c>
      <c r="B15" s="52"/>
      <c r="C15" s="52"/>
      <c r="D15" s="63"/>
      <c r="E15" s="249">
        <v>2309021.4751825081</v>
      </c>
      <c r="F15" s="19" t="s">
        <v>198</v>
      </c>
      <c r="K15" s="100"/>
      <c r="L15" s="47"/>
      <c r="M15" s="47"/>
      <c r="N15" s="47"/>
      <c r="O15" s="63"/>
      <c r="P15" s="65"/>
    </row>
    <row r="16" spans="1:17">
      <c r="A16" s="52" t="s">
        <v>473</v>
      </c>
      <c r="B16" s="52"/>
      <c r="C16" s="52"/>
      <c r="D16" s="63"/>
      <c r="E16" s="249">
        <v>1527103.0483256322</v>
      </c>
      <c r="F16" s="259"/>
      <c r="H16" s="274" t="s">
        <v>51</v>
      </c>
      <c r="I16" s="274"/>
      <c r="K16" s="100"/>
      <c r="L16" s="52"/>
      <c r="M16" s="52"/>
      <c r="N16" s="52"/>
      <c r="O16" s="63"/>
      <c r="P16" s="63"/>
      <c r="Q16" s="67"/>
    </row>
    <row r="17" spans="1:17" ht="15.75">
      <c r="A17" s="52" t="s">
        <v>439</v>
      </c>
      <c r="E17" s="249">
        <v>2000</v>
      </c>
      <c r="H17" s="8" t="s">
        <v>54</v>
      </c>
      <c r="I17" s="8" t="s">
        <v>55</v>
      </c>
      <c r="K17" s="100"/>
      <c r="L17" s="47"/>
      <c r="M17" s="47"/>
      <c r="N17" s="47"/>
      <c r="O17" s="63"/>
      <c r="P17" s="63"/>
      <c r="Q17" s="67"/>
    </row>
    <row r="18" spans="1:17" ht="15.75">
      <c r="A18" s="19" t="s">
        <v>50</v>
      </c>
      <c r="E18" s="141"/>
      <c r="H18" s="8" t="s">
        <v>57</v>
      </c>
      <c r="I18" s="8" t="s">
        <v>58</v>
      </c>
      <c r="J18" s="8" t="s">
        <v>53</v>
      </c>
      <c r="K18" s="100"/>
      <c r="L18" s="52"/>
      <c r="M18" s="52"/>
      <c r="N18" s="52"/>
      <c r="O18" s="63"/>
      <c r="P18" s="63"/>
      <c r="Q18" s="67"/>
    </row>
    <row r="19" spans="1:17">
      <c r="A19" s="7" t="s">
        <v>52</v>
      </c>
      <c r="B19" s="7"/>
      <c r="C19" s="7"/>
      <c r="D19" s="8"/>
      <c r="E19" s="68" t="s">
        <v>53</v>
      </c>
      <c r="F19" s="47" t="s">
        <v>59</v>
      </c>
      <c r="H19" s="106">
        <v>4</v>
      </c>
      <c r="I19" s="106">
        <v>0.1</v>
      </c>
      <c r="J19" s="106">
        <v>0.8</v>
      </c>
      <c r="K19" s="100"/>
      <c r="L19" s="52"/>
      <c r="M19" s="52"/>
      <c r="N19" s="52"/>
      <c r="O19" s="63"/>
      <c r="P19" s="63"/>
      <c r="Q19" s="67"/>
    </row>
    <row r="20" spans="1:17">
      <c r="A20" s="7" t="s">
        <v>56</v>
      </c>
      <c r="B20" s="7"/>
      <c r="C20" s="7"/>
      <c r="D20" s="132">
        <f>'System Selection'!D66</f>
        <v>36</v>
      </c>
      <c r="E20" s="132">
        <f>'System Selection'!E66</f>
        <v>0.95</v>
      </c>
      <c r="F20" s="47" t="s">
        <v>61</v>
      </c>
      <c r="H20" s="106">
        <f>IF(D30&gt;D29,5,4)</f>
        <v>5</v>
      </c>
      <c r="I20" s="106">
        <v>0.1</v>
      </c>
      <c r="J20" s="106">
        <v>0.8</v>
      </c>
      <c r="K20" s="100"/>
      <c r="L20" s="52"/>
      <c r="M20" s="52"/>
      <c r="N20" s="52"/>
      <c r="O20" s="63"/>
      <c r="P20" s="63"/>
      <c r="Q20" s="67"/>
    </row>
    <row r="21" spans="1:17">
      <c r="A21" s="7" t="s">
        <v>349</v>
      </c>
      <c r="B21" s="7"/>
      <c r="C21" s="7"/>
      <c r="D21" s="132">
        <f>'System Selection'!D67</f>
        <v>6.8</v>
      </c>
      <c r="E21" s="132">
        <f>'System Selection'!E67</f>
        <v>1</v>
      </c>
      <c r="F21" s="47" t="s">
        <v>63</v>
      </c>
      <c r="H21" s="106">
        <v>3</v>
      </c>
      <c r="I21" s="106">
        <v>0.2</v>
      </c>
      <c r="J21" s="106">
        <v>0.8</v>
      </c>
      <c r="L21" s="52"/>
      <c r="M21" s="52"/>
      <c r="N21" s="52"/>
      <c r="O21" s="63"/>
      <c r="P21" s="63"/>
      <c r="Q21" s="67"/>
    </row>
    <row r="22" spans="1:17" ht="15.75">
      <c r="A22" s="7" t="s">
        <v>62</v>
      </c>
      <c r="B22" s="7"/>
      <c r="C22" s="7"/>
      <c r="D22" s="132">
        <f>'System Selection'!D68</f>
        <v>10</v>
      </c>
      <c r="E22" s="132">
        <f>'System Selection'!E68</f>
        <v>1</v>
      </c>
      <c r="F22" s="19" t="s">
        <v>65</v>
      </c>
      <c r="G22" s="19"/>
      <c r="H22" s="19"/>
      <c r="I22" s="70"/>
      <c r="L22" s="52"/>
      <c r="M22" s="52"/>
      <c r="N22" s="52"/>
      <c r="O22" s="63"/>
      <c r="P22" s="63"/>
      <c r="Q22" s="67"/>
    </row>
    <row r="23" spans="1:17">
      <c r="A23" s="7" t="s">
        <v>64</v>
      </c>
      <c r="B23" s="7"/>
      <c r="C23" s="7"/>
      <c r="D23" s="132">
        <f>'System Selection'!D69</f>
        <v>3.2</v>
      </c>
      <c r="E23" s="132">
        <f>'System Selection'!E69</f>
        <v>1</v>
      </c>
      <c r="F23" s="7" t="s">
        <v>67</v>
      </c>
      <c r="L23" s="52"/>
      <c r="M23" s="52"/>
      <c r="N23" s="52"/>
      <c r="O23" s="63"/>
      <c r="P23" s="63"/>
      <c r="Q23" s="67"/>
    </row>
    <row r="24" spans="1:17">
      <c r="A24" s="7" t="s">
        <v>66</v>
      </c>
      <c r="B24" s="7"/>
      <c r="C24" s="7"/>
      <c r="D24" s="111"/>
      <c r="E24" s="111"/>
      <c r="F24" s="7" t="s">
        <v>68</v>
      </c>
      <c r="J24" s="106">
        <v>1.8</v>
      </c>
      <c r="L24" s="100"/>
      <c r="Q24" s="67"/>
    </row>
    <row r="25" spans="1:17">
      <c r="A25" s="7" t="s">
        <v>56</v>
      </c>
      <c r="B25" s="7"/>
      <c r="C25" s="7"/>
      <c r="D25" s="132">
        <f>'System Selection'!D71</f>
        <v>19</v>
      </c>
      <c r="E25" s="132">
        <f>'System Selection'!E71</f>
        <v>0.95</v>
      </c>
      <c r="F25" s="7" t="s">
        <v>69</v>
      </c>
      <c r="J25" s="107">
        <v>5.0000000000000001E-3</v>
      </c>
      <c r="K25" s="227"/>
      <c r="L25" s="100"/>
    </row>
    <row r="26" spans="1:17">
      <c r="A26" s="7" t="s">
        <v>60</v>
      </c>
      <c r="B26" s="7"/>
      <c r="C26" s="7"/>
      <c r="D26" s="132">
        <f>'System Selection'!D72</f>
        <v>6.8</v>
      </c>
      <c r="E26" s="132">
        <f>'System Selection'!E72</f>
        <v>1</v>
      </c>
      <c r="F26" s="7" t="s">
        <v>453</v>
      </c>
      <c r="L26" s="100"/>
    </row>
    <row r="27" spans="1:17">
      <c r="A27" s="7" t="s">
        <v>62</v>
      </c>
      <c r="B27" s="7"/>
      <c r="C27" s="7"/>
      <c r="D27" s="132">
        <f>'System Selection'!D73</f>
        <v>10</v>
      </c>
      <c r="E27" s="132">
        <f>'System Selection'!E73</f>
        <v>1</v>
      </c>
      <c r="F27" s="7" t="s">
        <v>70</v>
      </c>
      <c r="J27" s="106">
        <v>4</v>
      </c>
      <c r="L27" s="100"/>
    </row>
    <row r="28" spans="1:17">
      <c r="A28" s="7" t="s">
        <v>368</v>
      </c>
      <c r="B28" s="7"/>
      <c r="C28" s="7"/>
      <c r="D28" s="132">
        <f>'System Selection'!D74</f>
        <v>0</v>
      </c>
      <c r="E28" s="132">
        <f>'System Selection'!E74</f>
        <v>1</v>
      </c>
      <c r="F28" s="7" t="s">
        <v>71</v>
      </c>
      <c r="J28" s="108">
        <v>0.75</v>
      </c>
      <c r="L28" s="100"/>
    </row>
    <row r="29" spans="1:17" ht="14.25">
      <c r="A29" s="7" t="s">
        <v>195</v>
      </c>
      <c r="B29" s="7"/>
      <c r="C29" s="7"/>
      <c r="D29" s="132">
        <f>'System Selection'!D75</f>
        <v>0.8</v>
      </c>
      <c r="E29" s="132">
        <f>'System Selection'!E75</f>
        <v>1</v>
      </c>
      <c r="F29" s="7" t="s">
        <v>47</v>
      </c>
      <c r="L29" s="100"/>
    </row>
    <row r="30" spans="1:17" ht="14.25">
      <c r="A30" s="7" t="s">
        <v>196</v>
      </c>
      <c r="B30" s="7"/>
      <c r="C30" s="7"/>
      <c r="D30" s="132">
        <f>'System Selection'!D76</f>
        <v>3</v>
      </c>
      <c r="E30" s="132">
        <f>'System Selection'!E76</f>
        <v>1</v>
      </c>
      <c r="F30" s="7" t="s">
        <v>70</v>
      </c>
      <c r="J30" s="106">
        <v>3</v>
      </c>
      <c r="L30" s="100"/>
    </row>
    <row r="31" spans="1:17" ht="14.25">
      <c r="A31" s="7" t="s">
        <v>72</v>
      </c>
      <c r="B31" s="7"/>
      <c r="C31" s="7"/>
      <c r="D31" s="132">
        <f>'System Selection'!D77</f>
        <v>2</v>
      </c>
      <c r="E31" s="132">
        <f>'System Selection'!E77</f>
        <v>1</v>
      </c>
      <c r="F31" s="7" t="s">
        <v>71</v>
      </c>
      <c r="J31" s="106">
        <v>1</v>
      </c>
      <c r="L31" s="100"/>
    </row>
    <row r="32" spans="1:17">
      <c r="A32" s="47" t="s">
        <v>73</v>
      </c>
      <c r="B32" s="47"/>
      <c r="C32" s="47"/>
      <c r="D32" s="132">
        <f>'System Selection'!D78</f>
        <v>5</v>
      </c>
      <c r="E32" s="132">
        <f>'System Selection'!E78</f>
        <v>1</v>
      </c>
      <c r="F32" s="7" t="s">
        <v>378</v>
      </c>
      <c r="L32" s="100"/>
    </row>
    <row r="33" spans="1:12">
      <c r="A33" s="7" t="s">
        <v>74</v>
      </c>
      <c r="B33" s="7"/>
      <c r="C33" s="7"/>
      <c r="D33" s="132">
        <f>'System Selection'!D79</f>
        <v>16</v>
      </c>
      <c r="E33" s="132">
        <f>'System Selection'!E79</f>
        <v>1</v>
      </c>
      <c r="F33" s="7" t="s">
        <v>463</v>
      </c>
      <c r="J33" s="106">
        <v>7</v>
      </c>
      <c r="K33" s="227"/>
      <c r="L33" s="100"/>
    </row>
    <row r="34" spans="1:12">
      <c r="A34" s="7"/>
      <c r="B34" s="7"/>
      <c r="C34" s="7"/>
      <c r="D34" s="132"/>
      <c r="E34" s="132"/>
      <c r="F34" s="7" t="s">
        <v>75</v>
      </c>
      <c r="J34" s="106">
        <v>30</v>
      </c>
      <c r="K34" s="227"/>
      <c r="L34" s="100"/>
    </row>
    <row r="35" spans="1:12" ht="13.5" thickBot="1">
      <c r="B35" s="95"/>
      <c r="F35" s="7" t="s">
        <v>76</v>
      </c>
      <c r="J35" s="106">
        <v>20</v>
      </c>
      <c r="K35" s="227"/>
      <c r="L35" s="100"/>
    </row>
    <row r="36" spans="1:12">
      <c r="A36" s="127" t="s">
        <v>229</v>
      </c>
      <c r="B36" s="122"/>
      <c r="C36" s="122"/>
      <c r="D36" s="123"/>
      <c r="E36" s="133"/>
      <c r="F36" s="7"/>
      <c r="L36" s="100"/>
    </row>
    <row r="37" spans="1:12" ht="13.5" thickBot="1">
      <c r="A37" s="128" t="s">
        <v>230</v>
      </c>
      <c r="B37" s="124"/>
      <c r="C37" s="124"/>
      <c r="D37" s="125"/>
      <c r="E37" s="126"/>
      <c r="F37" s="7"/>
      <c r="J37" s="111"/>
      <c r="L37" s="100"/>
    </row>
    <row r="38" spans="1:12" ht="15.75">
      <c r="A38" s="81"/>
      <c r="B38" s="47"/>
      <c r="C38" s="47"/>
      <c r="D38" s="18"/>
      <c r="E38" s="171"/>
      <c r="F38" s="1"/>
      <c r="J38" s="111"/>
      <c r="L38" s="100"/>
    </row>
    <row r="39" spans="1:12" ht="15.75">
      <c r="A39" s="7"/>
      <c r="B39" s="7"/>
      <c r="C39" s="7"/>
      <c r="F39" s="1"/>
      <c r="J39" s="111"/>
      <c r="L39" s="100"/>
    </row>
    <row r="40" spans="1:12" ht="15.75">
      <c r="A40" s="1" t="s">
        <v>207</v>
      </c>
      <c r="B40" s="1"/>
      <c r="C40" s="1"/>
      <c r="D40" s="1"/>
      <c r="E40" s="1"/>
      <c r="F40" s="1"/>
      <c r="G40" s="217"/>
      <c r="J40" s="111"/>
      <c r="L40" s="100"/>
    </row>
    <row r="41" spans="1:12" ht="15.75">
      <c r="A41" s="5" t="s">
        <v>100</v>
      </c>
      <c r="B41" s="1"/>
      <c r="C41" s="1"/>
      <c r="D41" s="1"/>
      <c r="E41" s="1"/>
      <c r="F41" s="1"/>
      <c r="J41" s="111"/>
      <c r="L41" s="100"/>
    </row>
    <row r="42" spans="1:12" ht="14.25">
      <c r="A42" t="s">
        <v>210</v>
      </c>
      <c r="F42" s="108">
        <v>1500</v>
      </c>
      <c r="J42" s="111"/>
      <c r="L42" s="100"/>
    </row>
    <row r="43" spans="1:12">
      <c r="A43" t="s">
        <v>101</v>
      </c>
      <c r="F43" s="3"/>
      <c r="J43" s="111"/>
      <c r="L43" s="103"/>
    </row>
    <row r="44" spans="1:12">
      <c r="A44" t="s">
        <v>102</v>
      </c>
      <c r="F44" s="108">
        <v>5</v>
      </c>
      <c r="J44" s="111"/>
      <c r="L44" s="103"/>
    </row>
    <row r="45" spans="1:12">
      <c r="A45" t="s">
        <v>103</v>
      </c>
      <c r="F45" s="108">
        <v>10</v>
      </c>
      <c r="J45" s="111"/>
      <c r="L45" s="103"/>
    </row>
    <row r="46" spans="1:12">
      <c r="A46" t="s">
        <v>104</v>
      </c>
      <c r="F46" s="108">
        <v>15</v>
      </c>
      <c r="J46" s="111"/>
      <c r="L46" s="103"/>
    </row>
    <row r="47" spans="1:12">
      <c r="A47" s="5" t="s">
        <v>105</v>
      </c>
      <c r="F47" s="3"/>
      <c r="G47" s="217"/>
      <c r="J47" s="111"/>
      <c r="L47" s="103"/>
    </row>
    <row r="48" spans="1:12">
      <c r="A48" s="80" t="s">
        <v>106</v>
      </c>
      <c r="F48" s="3"/>
      <c r="J48" s="111"/>
      <c r="L48" s="103"/>
    </row>
    <row r="49" spans="1:19">
      <c r="A49" t="s">
        <v>107</v>
      </c>
      <c r="F49" s="108">
        <v>18</v>
      </c>
      <c r="J49" s="111"/>
      <c r="L49" s="103"/>
    </row>
    <row r="50" spans="1:19">
      <c r="A50" t="s">
        <v>108</v>
      </c>
      <c r="F50" s="108">
        <v>60</v>
      </c>
      <c r="J50" s="111"/>
      <c r="L50" s="103"/>
      <c r="O50" s="101"/>
    </row>
    <row r="51" spans="1:19">
      <c r="A51" s="80" t="s">
        <v>109</v>
      </c>
      <c r="F51" s="3"/>
      <c r="J51" s="111"/>
      <c r="L51" s="103"/>
      <c r="N51" s="83"/>
      <c r="O51" s="101"/>
    </row>
    <row r="52" spans="1:19">
      <c r="A52" s="7" t="s">
        <v>110</v>
      </c>
      <c r="F52" s="3"/>
      <c r="J52" s="111"/>
      <c r="L52" s="103"/>
      <c r="N52" s="100"/>
      <c r="O52" s="103"/>
    </row>
    <row r="53" spans="1:19">
      <c r="A53" s="7" t="s">
        <v>103</v>
      </c>
      <c r="F53" s="108">
        <v>25</v>
      </c>
      <c r="J53" s="111"/>
      <c r="L53" s="103"/>
      <c r="N53" s="138"/>
      <c r="O53" s="103"/>
    </row>
    <row r="54" spans="1:19">
      <c r="A54" s="7" t="s">
        <v>111</v>
      </c>
      <c r="F54" s="108">
        <v>35</v>
      </c>
      <c r="J54" s="111"/>
    </row>
    <row r="55" spans="1:19">
      <c r="A55" s="7" t="s">
        <v>112</v>
      </c>
      <c r="F55" s="108">
        <v>50</v>
      </c>
      <c r="J55" s="111"/>
    </row>
    <row r="56" spans="1:19">
      <c r="A56" s="7" t="s">
        <v>113</v>
      </c>
      <c r="F56" s="3"/>
      <c r="J56" s="111"/>
    </row>
    <row r="57" spans="1:19">
      <c r="A57" s="7" t="s">
        <v>114</v>
      </c>
      <c r="F57" s="108">
        <v>12.5</v>
      </c>
      <c r="J57" s="111"/>
    </row>
    <row r="58" spans="1:19">
      <c r="A58" s="7" t="s">
        <v>211</v>
      </c>
      <c r="F58" s="108">
        <v>5</v>
      </c>
      <c r="J58" s="111"/>
      <c r="L58" s="101"/>
      <c r="O58" s="101"/>
      <c r="P58" s="146"/>
      <c r="Q58" s="40"/>
      <c r="R58" s="146"/>
      <c r="S58" s="101"/>
    </row>
    <row r="59" spans="1:19">
      <c r="A59" s="80" t="s">
        <v>115</v>
      </c>
      <c r="F59" s="108">
        <v>5</v>
      </c>
      <c r="J59" s="111"/>
      <c r="L59" s="101"/>
      <c r="O59" s="101"/>
      <c r="P59" s="146"/>
      <c r="Q59" s="40"/>
      <c r="R59" s="146"/>
      <c r="S59" s="101"/>
    </row>
    <row r="60" spans="1:19">
      <c r="A60" s="80" t="s">
        <v>398</v>
      </c>
      <c r="F60" s="108">
        <v>5.6</v>
      </c>
      <c r="J60" s="111"/>
      <c r="L60" s="101"/>
      <c r="O60" s="101"/>
      <c r="P60" s="146"/>
      <c r="Q60" s="40"/>
      <c r="R60" s="146"/>
      <c r="S60" s="101"/>
    </row>
    <row r="61" spans="1:19">
      <c r="A61" s="80"/>
      <c r="F61" s="143"/>
      <c r="J61" s="111"/>
      <c r="L61" s="101"/>
      <c r="O61" s="101"/>
      <c r="P61" s="146"/>
      <c r="Q61" s="40"/>
      <c r="R61" s="146"/>
      <c r="S61" s="101"/>
    </row>
    <row r="62" spans="1:19" ht="15.75">
      <c r="A62" s="239" t="s">
        <v>77</v>
      </c>
      <c r="B62" s="239"/>
      <c r="C62" s="239"/>
      <c r="D62" s="239"/>
      <c r="E62" s="239"/>
      <c r="F62" s="239"/>
      <c r="G62" s="239"/>
      <c r="H62" s="239"/>
      <c r="I62" s="239"/>
      <c r="J62" s="239"/>
      <c r="L62" s="103"/>
      <c r="O62" s="101"/>
      <c r="P62" s="146"/>
      <c r="Q62" s="40"/>
      <c r="R62" s="146"/>
      <c r="S62" s="101"/>
    </row>
    <row r="63" spans="1:19">
      <c r="A63" s="10"/>
      <c r="B63" s="10"/>
      <c r="C63" s="10"/>
      <c r="D63" s="72" t="s">
        <v>51</v>
      </c>
      <c r="E63" s="73"/>
      <c r="F63" s="10"/>
      <c r="G63" s="10"/>
      <c r="H63" s="10"/>
      <c r="I63" s="72" t="s">
        <v>51</v>
      </c>
      <c r="J63" s="73"/>
      <c r="L63" s="101"/>
      <c r="O63" s="101"/>
      <c r="P63" s="146"/>
      <c r="Q63" s="40"/>
      <c r="R63" s="146"/>
      <c r="S63" s="101"/>
    </row>
    <row r="64" spans="1:19">
      <c r="A64" s="74" t="s">
        <v>78</v>
      </c>
      <c r="B64" s="61"/>
      <c r="C64" s="61"/>
      <c r="D64" s="75" t="s">
        <v>79</v>
      </c>
      <c r="E64" s="61" t="s">
        <v>53</v>
      </c>
      <c r="F64" s="74" t="s">
        <v>78</v>
      </c>
      <c r="G64" s="61"/>
      <c r="H64" s="61"/>
      <c r="I64" s="75" t="s">
        <v>79</v>
      </c>
      <c r="J64" s="61" t="s">
        <v>53</v>
      </c>
      <c r="L64" s="101"/>
      <c r="O64" s="101"/>
      <c r="P64" s="146"/>
      <c r="Q64" s="40"/>
      <c r="R64" s="146"/>
      <c r="S64" s="101"/>
    </row>
    <row r="65" spans="1:20">
      <c r="A65" s="5" t="s">
        <v>80</v>
      </c>
      <c r="B65" s="5"/>
      <c r="C65" s="5"/>
      <c r="E65" s="76"/>
      <c r="F65" s="5" t="s">
        <v>385</v>
      </c>
      <c r="L65" s="101"/>
      <c r="O65" s="101"/>
      <c r="P65" s="146"/>
      <c r="Q65" s="40"/>
      <c r="R65" s="146"/>
      <c r="S65" s="101"/>
      <c r="T65" s="146"/>
    </row>
    <row r="66" spans="1:20">
      <c r="A66" s="7" t="s">
        <v>81</v>
      </c>
      <c r="B66" s="7"/>
      <c r="C66" s="7"/>
      <c r="D66" s="14"/>
      <c r="E66" s="76"/>
      <c r="F66" s="7" t="s">
        <v>369</v>
      </c>
      <c r="G66" s="7"/>
      <c r="H66" s="7"/>
      <c r="I66" s="10"/>
      <c r="J66" s="76"/>
      <c r="L66" s="101"/>
      <c r="O66" s="101"/>
      <c r="P66" s="146"/>
      <c r="Q66" s="40"/>
      <c r="R66" s="146"/>
      <c r="S66" s="101"/>
    </row>
    <row r="67" spans="1:20">
      <c r="A67" s="7" t="s">
        <v>82</v>
      </c>
      <c r="B67" s="7"/>
      <c r="C67" s="7"/>
      <c r="D67" s="109">
        <v>14400</v>
      </c>
      <c r="E67" s="106">
        <v>0.4</v>
      </c>
      <c r="F67" s="7" t="s">
        <v>90</v>
      </c>
      <c r="G67" s="7"/>
      <c r="H67" s="7"/>
      <c r="I67" s="10"/>
      <c r="J67" s="76"/>
      <c r="L67" s="101"/>
      <c r="O67" s="101"/>
      <c r="P67" s="146"/>
      <c r="Q67" s="40"/>
      <c r="R67" s="146"/>
      <c r="S67" s="101"/>
    </row>
    <row r="68" spans="1:20">
      <c r="A68" s="7" t="s">
        <v>84</v>
      </c>
      <c r="B68" s="7"/>
      <c r="C68" s="7"/>
      <c r="D68" s="89">
        <v>3.6</v>
      </c>
      <c r="E68" s="106">
        <v>0.6</v>
      </c>
      <c r="F68" s="7" t="s">
        <v>288</v>
      </c>
      <c r="G68" s="7"/>
      <c r="H68" s="7"/>
      <c r="I68" s="180">
        <v>40</v>
      </c>
      <c r="J68" s="181">
        <v>0.3</v>
      </c>
      <c r="L68" s="101"/>
      <c r="O68" s="101"/>
      <c r="P68" s="146"/>
      <c r="Q68" s="40"/>
      <c r="R68" s="146"/>
      <c r="S68" s="101"/>
    </row>
    <row r="69" spans="1:20">
      <c r="A69" s="7" t="s">
        <v>85</v>
      </c>
      <c r="B69" s="7"/>
      <c r="C69" s="7"/>
      <c r="D69" s="109">
        <v>600</v>
      </c>
      <c r="E69" s="106">
        <v>0.5</v>
      </c>
      <c r="F69" s="7" t="s">
        <v>82</v>
      </c>
      <c r="G69" s="7"/>
      <c r="H69" s="7"/>
      <c r="I69" s="110">
        <v>43200</v>
      </c>
      <c r="J69" s="106">
        <v>0.7</v>
      </c>
      <c r="L69" s="101"/>
      <c r="O69" s="101"/>
      <c r="P69" s="146"/>
      <c r="Q69" s="40"/>
      <c r="R69" s="146"/>
      <c r="S69" s="101"/>
    </row>
    <row r="70" spans="1:20">
      <c r="A70" s="5" t="s">
        <v>86</v>
      </c>
      <c r="B70" s="5"/>
      <c r="C70" s="5"/>
      <c r="D70" s="78"/>
      <c r="E70" s="76"/>
      <c r="F70" s="7" t="s">
        <v>84</v>
      </c>
      <c r="G70" s="7"/>
      <c r="H70" s="7"/>
      <c r="I70" s="142">
        <v>5</v>
      </c>
      <c r="J70" s="106">
        <v>0.8</v>
      </c>
      <c r="L70" s="101"/>
      <c r="O70" s="101"/>
      <c r="P70" s="146"/>
      <c r="Q70" s="40"/>
      <c r="R70" s="146"/>
      <c r="S70" s="101"/>
    </row>
    <row r="71" spans="1:20">
      <c r="A71" s="7" t="s">
        <v>282</v>
      </c>
      <c r="B71" s="7"/>
      <c r="C71" s="7"/>
      <c r="D71" s="78"/>
      <c r="E71" s="76"/>
      <c r="F71" s="7" t="s">
        <v>85</v>
      </c>
      <c r="G71" s="7"/>
      <c r="H71" s="7"/>
      <c r="I71" s="110">
        <v>400</v>
      </c>
      <c r="J71" s="106">
        <v>0.8</v>
      </c>
      <c r="L71" s="101"/>
      <c r="O71" s="101"/>
      <c r="P71" s="146"/>
      <c r="Q71" s="40"/>
      <c r="R71" s="146"/>
      <c r="S71" s="101"/>
    </row>
    <row r="72" spans="1:20">
      <c r="A72" s="7" t="s">
        <v>88</v>
      </c>
      <c r="B72" s="7"/>
      <c r="C72" s="7"/>
      <c r="D72" s="78"/>
      <c r="E72" s="76"/>
      <c r="F72" s="7" t="s">
        <v>93</v>
      </c>
      <c r="G72" s="7"/>
      <c r="H72" s="7"/>
      <c r="I72" s="10"/>
      <c r="J72" s="76"/>
      <c r="L72" s="101"/>
      <c r="O72" s="101"/>
      <c r="P72" s="146"/>
      <c r="Q72" s="40"/>
      <c r="R72" s="146"/>
      <c r="S72" s="101"/>
    </row>
    <row r="73" spans="1:20">
      <c r="A73" s="7" t="s">
        <v>89</v>
      </c>
      <c r="B73" s="7"/>
      <c r="C73" s="7"/>
      <c r="D73" s="78"/>
      <c r="E73" s="76"/>
      <c r="F73" s="7" t="s">
        <v>90</v>
      </c>
      <c r="G73" s="7"/>
      <c r="H73" s="7"/>
      <c r="I73" s="10"/>
      <c r="J73" s="76"/>
      <c r="L73" s="101"/>
      <c r="O73" s="101"/>
      <c r="P73" s="146"/>
      <c r="Q73" s="40"/>
      <c r="R73" s="146"/>
      <c r="T73" s="101"/>
    </row>
    <row r="74" spans="1:20">
      <c r="A74" s="7" t="s">
        <v>82</v>
      </c>
      <c r="B74" s="7"/>
      <c r="C74" s="7"/>
      <c r="D74" s="110">
        <v>21600</v>
      </c>
      <c r="E74" s="106">
        <v>0.5</v>
      </c>
      <c r="F74" s="7" t="s">
        <v>82</v>
      </c>
      <c r="G74" s="7"/>
      <c r="H74" s="7"/>
      <c r="I74" s="110">
        <v>43200</v>
      </c>
      <c r="J74" s="106">
        <v>0.7</v>
      </c>
      <c r="L74" s="101"/>
      <c r="O74" s="101"/>
      <c r="P74" s="146"/>
      <c r="Q74" s="40"/>
      <c r="R74" s="146"/>
      <c r="S74" s="101"/>
    </row>
    <row r="75" spans="1:20">
      <c r="A75" s="7" t="s">
        <v>84</v>
      </c>
      <c r="B75" s="7"/>
      <c r="C75" s="7"/>
      <c r="D75" s="142">
        <v>4</v>
      </c>
      <c r="E75" s="106">
        <v>0.7</v>
      </c>
      <c r="F75" s="7" t="s">
        <v>84</v>
      </c>
      <c r="G75" s="7"/>
      <c r="H75" s="7"/>
      <c r="I75" s="142">
        <v>5</v>
      </c>
      <c r="J75" s="106">
        <v>0.8</v>
      </c>
      <c r="L75" s="101"/>
      <c r="O75" s="101"/>
      <c r="P75" s="146"/>
      <c r="Q75" s="40"/>
      <c r="R75" s="146"/>
      <c r="S75" s="101"/>
    </row>
    <row r="76" spans="1:20">
      <c r="A76" s="7" t="s">
        <v>85</v>
      </c>
      <c r="B76" s="7"/>
      <c r="C76" s="7"/>
      <c r="D76" s="110">
        <v>400</v>
      </c>
      <c r="E76" s="106">
        <v>0.6</v>
      </c>
      <c r="F76" s="7" t="s">
        <v>85</v>
      </c>
      <c r="G76" s="7"/>
      <c r="H76" s="7"/>
      <c r="I76" s="110">
        <v>400</v>
      </c>
      <c r="J76" s="106">
        <v>0.8</v>
      </c>
      <c r="L76" s="101"/>
      <c r="O76" s="101"/>
      <c r="P76" s="146"/>
      <c r="Q76" s="40"/>
      <c r="R76" s="146"/>
      <c r="S76" s="101"/>
    </row>
    <row r="77" spans="1:20">
      <c r="A77" s="7" t="s">
        <v>91</v>
      </c>
      <c r="B77" s="7"/>
      <c r="C77" s="7"/>
      <c r="D77" s="78"/>
      <c r="E77" s="76"/>
      <c r="F77" s="7" t="s">
        <v>283</v>
      </c>
      <c r="G77" s="7"/>
      <c r="H77" s="7"/>
      <c r="I77" s="10"/>
      <c r="J77" s="76"/>
      <c r="L77" s="101"/>
      <c r="O77" s="101"/>
      <c r="P77" s="146"/>
      <c r="Q77" s="40"/>
      <c r="R77" s="146"/>
      <c r="S77" s="101"/>
    </row>
    <row r="78" spans="1:20">
      <c r="A78" s="7" t="s">
        <v>92</v>
      </c>
      <c r="B78" s="7"/>
      <c r="C78" s="7"/>
      <c r="D78" s="78"/>
      <c r="E78" s="76"/>
      <c r="F78" s="7" t="s">
        <v>90</v>
      </c>
      <c r="G78" s="7"/>
      <c r="H78" s="7"/>
      <c r="I78" s="10"/>
      <c r="J78" s="76"/>
      <c r="L78" s="101"/>
      <c r="O78" s="101"/>
      <c r="Q78" s="40"/>
      <c r="S78" s="101"/>
    </row>
    <row r="79" spans="1:20">
      <c r="A79" s="7" t="s">
        <v>82</v>
      </c>
      <c r="B79" s="7"/>
      <c r="C79" s="7"/>
      <c r="D79" s="110">
        <v>21600</v>
      </c>
      <c r="E79" s="106">
        <v>0.5</v>
      </c>
      <c r="F79" s="7" t="s">
        <v>82</v>
      </c>
      <c r="G79" s="7"/>
      <c r="H79" s="7"/>
      <c r="I79" s="110">
        <v>28800</v>
      </c>
      <c r="J79" s="106">
        <v>0.5</v>
      </c>
      <c r="L79" s="101"/>
      <c r="O79" s="101"/>
      <c r="P79" s="146"/>
      <c r="Q79" s="40"/>
      <c r="R79" s="146"/>
      <c r="S79" s="101"/>
    </row>
    <row r="80" spans="1:20">
      <c r="A80" s="7" t="s">
        <v>84</v>
      </c>
      <c r="B80" s="7"/>
      <c r="C80" s="7"/>
      <c r="D80" s="142">
        <v>4</v>
      </c>
      <c r="E80" s="106">
        <v>0.7</v>
      </c>
      <c r="F80" s="7" t="s">
        <v>84</v>
      </c>
      <c r="G80" s="7"/>
      <c r="H80" s="7"/>
      <c r="I80" s="142">
        <v>3</v>
      </c>
      <c r="J80" s="106">
        <v>0.7</v>
      </c>
      <c r="L80" s="101"/>
      <c r="O80" s="101"/>
      <c r="P80" s="146"/>
      <c r="Q80" s="40"/>
      <c r="R80" s="146"/>
      <c r="S80" s="101"/>
    </row>
    <row r="81" spans="1:19">
      <c r="A81" s="7" t="s">
        <v>85</v>
      </c>
      <c r="B81" s="7"/>
      <c r="C81" s="7"/>
      <c r="D81" s="110">
        <v>400</v>
      </c>
      <c r="E81" s="106">
        <v>0.6</v>
      </c>
      <c r="F81" s="7" t="s">
        <v>85</v>
      </c>
      <c r="G81" s="7"/>
      <c r="H81" s="7"/>
      <c r="I81" s="110">
        <v>400</v>
      </c>
      <c r="J81" s="106">
        <v>0.6</v>
      </c>
      <c r="L81" s="101"/>
      <c r="O81" s="101"/>
      <c r="P81" s="146"/>
      <c r="Q81" s="40"/>
      <c r="R81" s="146"/>
      <c r="S81" s="101"/>
    </row>
    <row r="82" spans="1:19">
      <c r="A82" s="7" t="s">
        <v>94</v>
      </c>
      <c r="B82" s="7"/>
      <c r="C82" s="7"/>
      <c r="D82" s="78"/>
      <c r="E82" s="76"/>
      <c r="F82" s="7" t="s">
        <v>95</v>
      </c>
      <c r="G82" s="7"/>
      <c r="H82" s="7"/>
      <c r="I82" s="10"/>
      <c r="J82" s="76"/>
      <c r="L82" s="101"/>
      <c r="O82" s="101"/>
      <c r="P82" s="146"/>
      <c r="Q82" s="40"/>
      <c r="R82" s="146"/>
      <c r="S82" s="101"/>
    </row>
    <row r="83" spans="1:19">
      <c r="A83" s="7" t="s">
        <v>88</v>
      </c>
      <c r="B83" s="7"/>
      <c r="C83" s="7"/>
      <c r="D83" s="253"/>
      <c r="E83" s="76"/>
      <c r="F83" s="7" t="s">
        <v>90</v>
      </c>
      <c r="G83" s="7"/>
      <c r="H83" s="7"/>
      <c r="I83" s="10"/>
      <c r="J83" s="76"/>
      <c r="L83" s="101"/>
      <c r="O83" s="101"/>
      <c r="P83" s="146"/>
      <c r="Q83" s="40"/>
      <c r="R83" s="146"/>
      <c r="S83" s="101"/>
    </row>
    <row r="84" spans="1:19">
      <c r="A84" s="7" t="s">
        <v>83</v>
      </c>
      <c r="B84" s="7"/>
      <c r="C84" s="7"/>
      <c r="D84" s="78"/>
      <c r="E84" s="76"/>
      <c r="F84" s="7" t="s">
        <v>82</v>
      </c>
      <c r="G84" s="7"/>
      <c r="H84" s="7"/>
      <c r="I84" s="110">
        <v>43200</v>
      </c>
      <c r="J84" s="106">
        <v>0.5</v>
      </c>
      <c r="L84" s="101"/>
      <c r="O84" s="101"/>
      <c r="P84" s="146"/>
      <c r="Q84" s="40"/>
      <c r="R84" s="146"/>
      <c r="S84" s="101"/>
    </row>
    <row r="85" spans="1:19">
      <c r="A85" s="7" t="s">
        <v>471</v>
      </c>
      <c r="B85" s="7"/>
      <c r="C85" s="7"/>
      <c r="D85" s="109">
        <f>E15</f>
        <v>2309021.4751825081</v>
      </c>
      <c r="E85" s="106">
        <v>0.2</v>
      </c>
      <c r="F85" s="7" t="s">
        <v>84</v>
      </c>
      <c r="G85" s="7"/>
      <c r="H85" s="7"/>
      <c r="I85" s="142">
        <v>6</v>
      </c>
      <c r="J85" s="106">
        <v>0.7</v>
      </c>
      <c r="L85" s="101"/>
      <c r="O85" s="101"/>
      <c r="P85" s="146"/>
      <c r="Q85" s="40"/>
      <c r="R85" s="146"/>
      <c r="S85" s="101"/>
    </row>
    <row r="86" spans="1:19">
      <c r="A86" s="7" t="s">
        <v>82</v>
      </c>
      <c r="B86" s="7"/>
      <c r="C86" s="7"/>
      <c r="D86" s="252">
        <v>28800</v>
      </c>
      <c r="E86" s="106">
        <v>0.5</v>
      </c>
      <c r="F86" s="7" t="s">
        <v>85</v>
      </c>
      <c r="G86" s="7"/>
      <c r="H86" s="7"/>
      <c r="I86" s="110">
        <v>600</v>
      </c>
      <c r="J86" s="106">
        <v>0.6</v>
      </c>
      <c r="L86" s="101"/>
      <c r="O86" s="101"/>
      <c r="Q86" s="40"/>
      <c r="S86" s="101"/>
    </row>
    <row r="87" spans="1:19">
      <c r="A87" s="7" t="s">
        <v>84</v>
      </c>
      <c r="B87" s="7"/>
      <c r="C87" s="7"/>
      <c r="D87" s="142">
        <v>6</v>
      </c>
      <c r="E87" s="106">
        <v>0.8</v>
      </c>
      <c r="F87" s="7" t="s">
        <v>399</v>
      </c>
      <c r="L87" s="101"/>
      <c r="O87" s="101"/>
      <c r="Q87" s="40"/>
      <c r="S87" s="101"/>
    </row>
    <row r="88" spans="1:19">
      <c r="A88" s="7" t="s">
        <v>85</v>
      </c>
      <c r="B88" s="7"/>
      <c r="C88" s="7"/>
      <c r="D88" s="110">
        <v>500</v>
      </c>
      <c r="E88" s="106">
        <v>0.8</v>
      </c>
      <c r="F88" s="7" t="s">
        <v>386</v>
      </c>
    </row>
    <row r="89" spans="1:19">
      <c r="A89" s="7" t="s">
        <v>91</v>
      </c>
      <c r="B89" s="7"/>
      <c r="C89" s="227"/>
      <c r="E89" s="253"/>
      <c r="F89" s="7" t="s">
        <v>82</v>
      </c>
      <c r="G89" s="7"/>
      <c r="H89" s="7"/>
      <c r="I89" s="110">
        <v>14400</v>
      </c>
      <c r="J89" s="106">
        <v>0.4</v>
      </c>
    </row>
    <row r="90" spans="1:19">
      <c r="A90" s="7" t="s">
        <v>83</v>
      </c>
      <c r="B90" s="7"/>
      <c r="C90" s="7"/>
      <c r="D90" s="78"/>
      <c r="E90" s="76"/>
      <c r="F90" s="7" t="s">
        <v>84</v>
      </c>
      <c r="G90" s="7"/>
      <c r="H90" s="7"/>
      <c r="I90" s="142">
        <v>20</v>
      </c>
      <c r="J90" s="106">
        <v>0.6</v>
      </c>
    </row>
    <row r="91" spans="1:19">
      <c r="A91" s="7" t="s">
        <v>471</v>
      </c>
      <c r="B91" s="7"/>
      <c r="C91" s="7"/>
      <c r="D91" s="109">
        <f>E16</f>
        <v>1527103.0483256322</v>
      </c>
      <c r="E91" s="106">
        <v>0.2</v>
      </c>
      <c r="F91" s="7" t="s">
        <v>85</v>
      </c>
      <c r="G91" s="7"/>
      <c r="H91" s="7"/>
      <c r="I91" s="110">
        <v>75</v>
      </c>
      <c r="J91" s="106">
        <v>0.4</v>
      </c>
    </row>
    <row r="92" spans="1:19">
      <c r="A92" s="7" t="s">
        <v>82</v>
      </c>
      <c r="B92" s="7"/>
      <c r="C92" s="7"/>
      <c r="D92" s="252">
        <v>28800</v>
      </c>
      <c r="E92" s="106">
        <v>0.5</v>
      </c>
      <c r="F92" s="5" t="s">
        <v>96</v>
      </c>
      <c r="G92" s="5"/>
      <c r="H92" s="5"/>
      <c r="I92" s="10"/>
      <c r="J92" s="76"/>
    </row>
    <row r="93" spans="1:19">
      <c r="A93" s="7" t="s">
        <v>84</v>
      </c>
      <c r="B93" s="7"/>
      <c r="C93" s="7"/>
      <c r="D93" s="142">
        <v>6</v>
      </c>
      <c r="E93" s="106">
        <v>0.8</v>
      </c>
      <c r="F93" s="7" t="s">
        <v>90</v>
      </c>
      <c r="G93" s="7"/>
      <c r="H93" s="7"/>
      <c r="I93" s="10"/>
      <c r="J93" s="76"/>
    </row>
    <row r="94" spans="1:19">
      <c r="A94" s="7" t="s">
        <v>85</v>
      </c>
      <c r="B94" s="7"/>
      <c r="C94" s="7"/>
      <c r="D94" s="110">
        <v>500</v>
      </c>
      <c r="E94" s="106">
        <v>0.8</v>
      </c>
      <c r="F94" s="7" t="s">
        <v>288</v>
      </c>
      <c r="G94" s="7"/>
      <c r="H94" s="7"/>
      <c r="I94" s="180">
        <v>40</v>
      </c>
      <c r="J94" s="181">
        <v>0.3</v>
      </c>
    </row>
    <row r="95" spans="1:19">
      <c r="A95" s="7" t="s">
        <v>362</v>
      </c>
      <c r="B95" s="7"/>
      <c r="C95" s="7"/>
      <c r="D95" s="78"/>
      <c r="E95" s="253"/>
      <c r="F95" s="7" t="s">
        <v>82</v>
      </c>
      <c r="G95" s="7"/>
      <c r="H95" s="7"/>
      <c r="I95" s="110">
        <v>57600</v>
      </c>
      <c r="J95" s="106">
        <v>0.7</v>
      </c>
    </row>
    <row r="96" spans="1:19">
      <c r="A96" s="7" t="s">
        <v>294</v>
      </c>
      <c r="B96" s="7"/>
      <c r="C96" s="7"/>
      <c r="D96" s="182"/>
      <c r="E96" s="111"/>
      <c r="F96" s="7" t="s">
        <v>84</v>
      </c>
      <c r="G96" s="7"/>
      <c r="H96" s="7"/>
      <c r="I96" s="142">
        <v>30</v>
      </c>
      <c r="J96" s="106">
        <v>0.8</v>
      </c>
    </row>
    <row r="97" spans="1:10">
      <c r="A97" s="7" t="s">
        <v>82</v>
      </c>
      <c r="B97" s="7"/>
      <c r="C97" s="7"/>
      <c r="D97" s="110">
        <v>14400</v>
      </c>
      <c r="E97" s="220">
        <v>0.4</v>
      </c>
      <c r="F97" s="7" t="s">
        <v>85</v>
      </c>
      <c r="G97" s="7"/>
      <c r="H97" s="7"/>
      <c r="I97" s="110">
        <v>1500</v>
      </c>
      <c r="J97" s="106">
        <v>0.8</v>
      </c>
    </row>
    <row r="98" spans="1:10">
      <c r="A98" s="7" t="s">
        <v>84</v>
      </c>
      <c r="B98" s="7"/>
      <c r="C98" s="7"/>
      <c r="D98" s="142">
        <v>3</v>
      </c>
      <c r="E98" s="220">
        <v>0.6</v>
      </c>
      <c r="F98" s="5" t="s">
        <v>387</v>
      </c>
      <c r="G98" s="5"/>
      <c r="H98" s="5"/>
      <c r="I98" s="10"/>
      <c r="J98" s="77"/>
    </row>
    <row r="99" spans="1:10">
      <c r="A99" s="7" t="s">
        <v>85</v>
      </c>
      <c r="B99" s="7"/>
      <c r="C99" s="7"/>
      <c r="D99" s="110">
        <v>150</v>
      </c>
      <c r="E99" s="220">
        <v>0.6</v>
      </c>
      <c r="F99" s="7" t="s">
        <v>90</v>
      </c>
      <c r="G99" s="7"/>
      <c r="H99" s="7"/>
      <c r="I99" s="10"/>
      <c r="J99" s="77"/>
    </row>
    <row r="100" spans="1:10">
      <c r="A100" s="7" t="s">
        <v>280</v>
      </c>
      <c r="B100" s="7"/>
      <c r="C100" s="7"/>
      <c r="D100" s="78"/>
      <c r="E100" s="76"/>
      <c r="F100" s="7" t="s">
        <v>82</v>
      </c>
      <c r="G100" s="7"/>
      <c r="H100" s="7"/>
      <c r="I100" s="110">
        <v>14400</v>
      </c>
      <c r="J100" s="106">
        <v>0.5</v>
      </c>
    </row>
    <row r="101" spans="1:10">
      <c r="A101" s="7" t="s">
        <v>88</v>
      </c>
      <c r="B101" s="7"/>
      <c r="C101" s="7"/>
      <c r="D101" s="78"/>
      <c r="E101" s="76"/>
      <c r="F101" s="7" t="s">
        <v>84</v>
      </c>
      <c r="G101" s="7"/>
      <c r="H101" s="7"/>
      <c r="I101" s="142">
        <v>2</v>
      </c>
      <c r="J101" s="106">
        <v>0.7</v>
      </c>
    </row>
    <row r="102" spans="1:10">
      <c r="A102" s="7" t="s">
        <v>83</v>
      </c>
      <c r="B102" s="7"/>
      <c r="C102" s="7"/>
      <c r="D102" s="78"/>
      <c r="E102" s="76"/>
      <c r="F102" s="7" t="s">
        <v>85</v>
      </c>
      <c r="G102" s="7"/>
      <c r="H102" s="7"/>
      <c r="I102" s="110">
        <v>300</v>
      </c>
      <c r="J102" s="106">
        <v>0.6</v>
      </c>
    </row>
    <row r="103" spans="1:10">
      <c r="A103" s="7" t="s">
        <v>82</v>
      </c>
      <c r="B103" s="7"/>
      <c r="C103" s="7"/>
      <c r="D103" s="110">
        <v>21600</v>
      </c>
      <c r="E103" s="106">
        <v>0.5</v>
      </c>
      <c r="F103" s="5" t="s">
        <v>388</v>
      </c>
      <c r="G103" s="5"/>
      <c r="H103" s="5"/>
      <c r="I103" s="10"/>
      <c r="J103" s="77"/>
    </row>
    <row r="104" spans="1:10">
      <c r="A104" s="7" t="s">
        <v>84</v>
      </c>
      <c r="B104" s="7"/>
      <c r="C104" s="7"/>
      <c r="D104" s="142">
        <v>1</v>
      </c>
      <c r="E104" s="106">
        <v>0.7</v>
      </c>
      <c r="F104" s="7" t="s">
        <v>90</v>
      </c>
      <c r="G104" s="7"/>
      <c r="H104" s="7"/>
      <c r="I104" s="10"/>
      <c r="J104" s="77"/>
    </row>
    <row r="105" spans="1:10">
      <c r="A105" s="7" t="s">
        <v>85</v>
      </c>
      <c r="B105" s="7"/>
      <c r="C105" s="7"/>
      <c r="D105" s="110">
        <v>150</v>
      </c>
      <c r="E105" s="106">
        <v>0.6</v>
      </c>
      <c r="F105" s="7" t="s">
        <v>82</v>
      </c>
      <c r="G105" s="7"/>
      <c r="H105" s="7"/>
      <c r="I105" s="110">
        <v>21600</v>
      </c>
      <c r="J105" s="106">
        <v>0.4</v>
      </c>
    </row>
    <row r="106" spans="1:10">
      <c r="A106" s="7" t="s">
        <v>91</v>
      </c>
      <c r="B106" s="7"/>
      <c r="C106" s="7"/>
      <c r="D106" s="76"/>
      <c r="E106" s="21"/>
      <c r="F106" s="7" t="s">
        <v>84</v>
      </c>
      <c r="G106" s="7"/>
      <c r="H106" s="7"/>
      <c r="I106" s="221">
        <v>4.75</v>
      </c>
      <c r="J106" s="106">
        <v>0.7</v>
      </c>
    </row>
    <row r="107" spans="1:10">
      <c r="A107" s="7" t="s">
        <v>83</v>
      </c>
      <c r="B107" s="7"/>
      <c r="C107" s="7"/>
      <c r="D107" s="76"/>
      <c r="E107" s="21"/>
      <c r="F107" s="7" t="s">
        <v>85</v>
      </c>
      <c r="G107" s="7"/>
      <c r="H107" s="7"/>
      <c r="I107" s="110">
        <v>600</v>
      </c>
      <c r="J107" s="106">
        <v>0.6</v>
      </c>
    </row>
    <row r="108" spans="1:10">
      <c r="A108" s="7" t="s">
        <v>82</v>
      </c>
      <c r="B108" s="7"/>
      <c r="C108" s="7"/>
      <c r="D108" s="110">
        <v>21600</v>
      </c>
      <c r="E108" s="106">
        <v>0.5</v>
      </c>
      <c r="F108" s="5" t="s">
        <v>97</v>
      </c>
      <c r="G108" s="5"/>
      <c r="H108" s="5"/>
      <c r="I108" s="10"/>
      <c r="J108" s="77"/>
    </row>
    <row r="109" spans="1:10">
      <c r="A109" s="7" t="s">
        <v>84</v>
      </c>
      <c r="B109" s="7"/>
      <c r="C109" s="7"/>
      <c r="D109" s="142">
        <v>1</v>
      </c>
      <c r="E109" s="106">
        <v>0.7</v>
      </c>
      <c r="F109" s="7" t="s">
        <v>90</v>
      </c>
      <c r="G109" s="7"/>
      <c r="H109" s="7"/>
      <c r="I109" s="10"/>
      <c r="J109" s="77"/>
    </row>
    <row r="110" spans="1:10">
      <c r="A110" s="7" t="s">
        <v>85</v>
      </c>
      <c r="B110" s="7"/>
      <c r="C110" s="7"/>
      <c r="D110" s="110">
        <v>150</v>
      </c>
      <c r="E110" s="106">
        <v>0.6</v>
      </c>
      <c r="F110" s="7" t="s">
        <v>82</v>
      </c>
      <c r="G110" s="7"/>
      <c r="H110" s="7"/>
      <c r="I110" s="110">
        <v>43200</v>
      </c>
      <c r="J110" s="106">
        <v>0.5</v>
      </c>
    </row>
    <row r="111" spans="1:10">
      <c r="A111" s="5" t="s">
        <v>389</v>
      </c>
      <c r="B111" s="5"/>
      <c r="C111" s="5"/>
      <c r="D111" s="10"/>
      <c r="E111" s="77"/>
      <c r="F111" s="7" t="s">
        <v>84</v>
      </c>
      <c r="G111" s="7"/>
      <c r="H111" s="7"/>
      <c r="I111" s="142">
        <v>6</v>
      </c>
      <c r="J111" s="106">
        <v>0.7</v>
      </c>
    </row>
    <row r="112" spans="1:10">
      <c r="A112" s="7" t="s">
        <v>83</v>
      </c>
      <c r="B112" s="7"/>
      <c r="C112" s="7"/>
      <c r="D112" s="10"/>
      <c r="E112" s="77"/>
      <c r="F112" s="7" t="s">
        <v>85</v>
      </c>
      <c r="G112" s="7"/>
      <c r="H112" s="7"/>
      <c r="I112" s="110">
        <v>400</v>
      </c>
      <c r="J112" s="106">
        <v>0.6</v>
      </c>
    </row>
    <row r="113" spans="1:12">
      <c r="A113" s="7" t="s">
        <v>82</v>
      </c>
      <c r="B113" s="7"/>
      <c r="C113" s="7"/>
      <c r="D113" s="110">
        <v>28800</v>
      </c>
      <c r="E113" s="106">
        <v>0.7</v>
      </c>
      <c r="F113" s="5" t="s">
        <v>284</v>
      </c>
      <c r="G113" s="5"/>
      <c r="H113" s="5"/>
      <c r="I113" s="10"/>
      <c r="J113" s="77"/>
    </row>
    <row r="114" spans="1:12">
      <c r="A114" s="7" t="s">
        <v>84</v>
      </c>
      <c r="B114" s="7"/>
      <c r="C114" s="7"/>
      <c r="D114" s="142">
        <v>1.5</v>
      </c>
      <c r="E114" s="106">
        <v>0.7</v>
      </c>
      <c r="F114" s="7" t="s">
        <v>90</v>
      </c>
      <c r="G114" s="7"/>
      <c r="H114" s="7"/>
      <c r="I114" s="10"/>
      <c r="J114" s="77"/>
    </row>
    <row r="115" spans="1:12">
      <c r="A115" s="7" t="s">
        <v>85</v>
      </c>
      <c r="B115" s="7"/>
      <c r="C115" s="7"/>
      <c r="D115" s="110">
        <v>600</v>
      </c>
      <c r="E115" s="106">
        <v>0.6</v>
      </c>
      <c r="F115" s="7" t="s">
        <v>459</v>
      </c>
      <c r="G115" s="7"/>
      <c r="H115" s="7"/>
      <c r="I115" s="180">
        <v>4</v>
      </c>
      <c r="J115" s="106">
        <v>0.3</v>
      </c>
    </row>
    <row r="116" spans="1:12">
      <c r="A116" s="5" t="s">
        <v>390</v>
      </c>
      <c r="B116" s="7"/>
      <c r="C116" s="7"/>
      <c r="D116" s="10"/>
      <c r="E116" s="76"/>
      <c r="F116" s="7" t="s">
        <v>82</v>
      </c>
      <c r="G116" s="7"/>
      <c r="H116" s="7"/>
      <c r="I116" s="110">
        <v>43200</v>
      </c>
      <c r="J116" s="106">
        <v>0.5</v>
      </c>
    </row>
    <row r="117" spans="1:12">
      <c r="A117" s="7" t="s">
        <v>83</v>
      </c>
      <c r="B117" s="7"/>
      <c r="C117" s="7"/>
      <c r="D117" s="10"/>
      <c r="E117" s="76"/>
      <c r="F117" s="7" t="s">
        <v>84</v>
      </c>
      <c r="G117" s="7"/>
      <c r="H117" s="7"/>
      <c r="I117" s="142">
        <v>6</v>
      </c>
      <c r="J117" s="106">
        <v>0.7</v>
      </c>
    </row>
    <row r="118" spans="1:12">
      <c r="A118" s="7" t="s">
        <v>82</v>
      </c>
      <c r="B118" s="7"/>
      <c r="C118" s="7"/>
      <c r="D118" s="110">
        <v>28800</v>
      </c>
      <c r="E118" s="106">
        <v>0.5</v>
      </c>
      <c r="F118" s="7" t="s">
        <v>85</v>
      </c>
      <c r="G118" s="7"/>
      <c r="H118" s="7"/>
      <c r="I118" s="110">
        <v>600</v>
      </c>
      <c r="J118" s="106">
        <v>0.6</v>
      </c>
    </row>
    <row r="119" spans="1:12">
      <c r="A119" s="7" t="s">
        <v>84</v>
      </c>
      <c r="B119" s="7"/>
      <c r="C119" s="7"/>
      <c r="D119" s="142">
        <v>2</v>
      </c>
      <c r="E119" s="106">
        <v>0.7</v>
      </c>
      <c r="F119" s="5" t="s">
        <v>98</v>
      </c>
      <c r="G119" s="5"/>
      <c r="H119" s="5"/>
      <c r="I119" s="76"/>
      <c r="J119" s="21"/>
    </row>
    <row r="120" spans="1:12" ht="12.75" customHeight="1">
      <c r="A120" s="7" t="s">
        <v>85</v>
      </c>
      <c r="B120" s="7"/>
      <c r="C120" s="7"/>
      <c r="D120" s="110">
        <v>200</v>
      </c>
      <c r="E120" s="106">
        <v>0.6</v>
      </c>
      <c r="F120" s="7" t="s">
        <v>90</v>
      </c>
      <c r="G120" s="7"/>
      <c r="H120" s="7"/>
      <c r="I120" s="76"/>
      <c r="J120" s="21"/>
    </row>
    <row r="121" spans="1:12" ht="12.75" customHeight="1">
      <c r="A121" s="5" t="s">
        <v>391</v>
      </c>
      <c r="F121" s="7" t="s">
        <v>82</v>
      </c>
      <c r="G121" s="7"/>
      <c r="H121" s="7"/>
      <c r="I121" s="110">
        <v>36000</v>
      </c>
      <c r="J121" s="106">
        <v>0.7</v>
      </c>
    </row>
    <row r="122" spans="1:12" ht="12.75" customHeight="1">
      <c r="A122" s="7" t="s">
        <v>83</v>
      </c>
      <c r="B122" s="7"/>
      <c r="C122" s="7"/>
      <c r="F122" s="7" t="s">
        <v>84</v>
      </c>
      <c r="G122" s="7"/>
      <c r="H122" s="7"/>
      <c r="I122" s="142">
        <v>2.5</v>
      </c>
      <c r="J122" s="106">
        <v>0.7</v>
      </c>
    </row>
    <row r="123" spans="1:12">
      <c r="A123" s="7" t="s">
        <v>82</v>
      </c>
      <c r="B123" s="7"/>
      <c r="C123" s="7"/>
      <c r="D123" s="110">
        <v>14400</v>
      </c>
      <c r="E123" s="106">
        <v>0.5</v>
      </c>
      <c r="F123" s="7" t="s">
        <v>85</v>
      </c>
      <c r="G123" s="7"/>
      <c r="H123" s="7"/>
      <c r="I123" s="110">
        <v>400</v>
      </c>
      <c r="J123" s="106">
        <v>0.6</v>
      </c>
    </row>
    <row r="124" spans="1:12">
      <c r="A124" s="7" t="s">
        <v>84</v>
      </c>
      <c r="B124" s="7"/>
      <c r="C124" s="7"/>
      <c r="D124" s="142">
        <v>1.6</v>
      </c>
      <c r="E124" s="106">
        <v>0.7</v>
      </c>
      <c r="F124" s="5" t="s">
        <v>99</v>
      </c>
      <c r="G124" s="5"/>
      <c r="H124" s="5"/>
      <c r="I124" s="76"/>
      <c r="J124" s="21"/>
    </row>
    <row r="125" spans="1:12">
      <c r="A125" s="7" t="s">
        <v>85</v>
      </c>
      <c r="B125" s="7"/>
      <c r="C125" s="7"/>
      <c r="D125" s="110">
        <v>200</v>
      </c>
      <c r="E125" s="106">
        <v>0.6</v>
      </c>
      <c r="F125" s="7" t="s">
        <v>81</v>
      </c>
      <c r="G125" s="7"/>
      <c r="H125" s="7"/>
      <c r="I125" s="76"/>
      <c r="J125" s="21"/>
    </row>
    <row r="126" spans="1:12">
      <c r="A126" s="5" t="s">
        <v>392</v>
      </c>
      <c r="F126" s="7" t="s">
        <v>82</v>
      </c>
      <c r="G126" s="7"/>
      <c r="H126" s="7"/>
      <c r="I126" s="110">
        <v>28800</v>
      </c>
      <c r="J126" s="106">
        <v>0.5</v>
      </c>
    </row>
    <row r="127" spans="1:12">
      <c r="A127" s="7" t="s">
        <v>81</v>
      </c>
      <c r="B127" s="7"/>
      <c r="C127" s="7"/>
      <c r="D127" s="14"/>
      <c r="E127" s="76"/>
      <c r="F127" s="7" t="s">
        <v>84</v>
      </c>
      <c r="G127" s="7"/>
      <c r="H127" s="7"/>
      <c r="I127" s="142">
        <v>5</v>
      </c>
      <c r="J127" s="106">
        <v>0.7</v>
      </c>
      <c r="L127" s="101"/>
    </row>
    <row r="128" spans="1:12">
      <c r="A128" s="7" t="s">
        <v>82</v>
      </c>
      <c r="B128" s="7"/>
      <c r="C128" s="7"/>
      <c r="D128" s="110">
        <v>28800</v>
      </c>
      <c r="E128" s="106">
        <v>0.5</v>
      </c>
      <c r="F128" s="7" t="s">
        <v>85</v>
      </c>
      <c r="G128" s="7"/>
      <c r="H128" s="7"/>
      <c r="I128" s="110">
        <v>600</v>
      </c>
      <c r="J128" s="106">
        <v>0.6</v>
      </c>
      <c r="L128" s="139"/>
    </row>
    <row r="129" spans="1:12">
      <c r="A129" s="7" t="s">
        <v>84</v>
      </c>
      <c r="B129" s="7"/>
      <c r="C129" s="7"/>
      <c r="D129" s="89">
        <v>1.5</v>
      </c>
      <c r="E129" s="106">
        <v>0.7</v>
      </c>
      <c r="G129" s="7"/>
      <c r="L129" s="101"/>
    </row>
    <row r="130" spans="1:12">
      <c r="A130" s="7" t="s">
        <v>85</v>
      </c>
      <c r="B130" s="7"/>
      <c r="C130" s="7"/>
      <c r="D130" s="109">
        <v>200</v>
      </c>
      <c r="E130" s="106">
        <v>0.6</v>
      </c>
      <c r="L130" s="83"/>
    </row>
    <row r="131" spans="1:12">
      <c r="L131" s="83"/>
    </row>
    <row r="132" spans="1:12">
      <c r="L132" s="93"/>
    </row>
    <row r="133" spans="1:12">
      <c r="A133" s="5" t="s">
        <v>484</v>
      </c>
      <c r="D133" s="262">
        <f>D67+D74+D79+D86+D92+D97+D103+D108+D113+D118+D123+D128+I69+I74+I79+I84+I89+I95+I100+I105+I110+I116+I121+I126</f>
        <v>691200</v>
      </c>
      <c r="L133" s="101"/>
    </row>
    <row r="134" spans="1:12">
      <c r="A134" s="5" t="s">
        <v>486</v>
      </c>
      <c r="D134" s="263">
        <f>D68+D75+D80+D87+D93+D98+D104+D109+D114+D119+D124+D129+I70+I75+I80+I85+I90+I96+I101+I106+I111+I117+I122+I127</f>
        <v>130.44999999999999</v>
      </c>
      <c r="L134" s="139"/>
    </row>
    <row r="135" spans="1:12">
      <c r="A135" s="5" t="s">
        <v>485</v>
      </c>
      <c r="D135" s="262">
        <f>D69+D76+D81+D88+D94+D99+D105+D110+D115+D120+D125+D130+I71+I76+I81+I86+I91+I97+I102+I107+I112+I118+I123+I128</f>
        <v>10325</v>
      </c>
      <c r="L135" s="101"/>
    </row>
    <row r="137" spans="1:12">
      <c r="L137" s="93"/>
    </row>
    <row r="138" spans="1:12">
      <c r="L138" s="101"/>
    </row>
    <row r="139" spans="1:12">
      <c r="L139" s="101"/>
    </row>
    <row r="140" spans="1:12">
      <c r="L140" s="101"/>
    </row>
    <row r="141" spans="1:12">
      <c r="L141" s="83"/>
    </row>
    <row r="142" spans="1:12">
      <c r="L142" s="83"/>
    </row>
    <row r="143" spans="1:12">
      <c r="L143" s="93"/>
    </row>
    <row r="144" spans="1:12">
      <c r="L144" s="101"/>
    </row>
    <row r="145" spans="12:12">
      <c r="L145" s="139"/>
    </row>
    <row r="146" spans="12:12">
      <c r="L146" s="101"/>
    </row>
    <row r="147" spans="12:12">
      <c r="L147" s="83"/>
    </row>
    <row r="148" spans="12:12">
      <c r="L148" s="93"/>
    </row>
    <row r="149" spans="12:12">
      <c r="L149" s="101"/>
    </row>
    <row r="150" spans="12:12">
      <c r="L150" s="139"/>
    </row>
    <row r="151" spans="12:12">
      <c r="L151" s="101"/>
    </row>
    <row r="152" spans="12:12">
      <c r="L152" s="83"/>
    </row>
    <row r="153" spans="12:12">
      <c r="L153" s="93"/>
    </row>
    <row r="154" spans="12:12">
      <c r="L154" s="101"/>
    </row>
    <row r="155" spans="12:12">
      <c r="L155" s="139"/>
    </row>
    <row r="156" spans="12:12">
      <c r="L156" s="101"/>
    </row>
    <row r="157" spans="12:12">
      <c r="L157" s="83"/>
    </row>
    <row r="158" spans="12:12">
      <c r="L158" s="93"/>
    </row>
    <row r="159" spans="12:12">
      <c r="L159" s="101"/>
    </row>
    <row r="160" spans="12:12">
      <c r="L160" s="139"/>
    </row>
    <row r="161" spans="12:12">
      <c r="L161" s="101"/>
    </row>
    <row r="162" spans="12:12">
      <c r="L162" s="83"/>
    </row>
    <row r="163" spans="12:12">
      <c r="L163" s="93"/>
    </row>
    <row r="164" spans="12:12">
      <c r="L164" s="101"/>
    </row>
    <row r="165" spans="12:12">
      <c r="L165" s="139"/>
    </row>
    <row r="166" spans="12:12">
      <c r="L166" s="101"/>
    </row>
    <row r="167" spans="12:12">
      <c r="L167" s="83"/>
    </row>
    <row r="168" spans="12:12">
      <c r="L168" s="93"/>
    </row>
    <row r="169" spans="12:12">
      <c r="L169" s="101"/>
    </row>
    <row r="170" spans="12:12">
      <c r="L170" s="139"/>
    </row>
    <row r="171" spans="12:12">
      <c r="L171" s="101"/>
    </row>
    <row r="172" spans="12:12">
      <c r="L172" s="83"/>
    </row>
    <row r="173" spans="12:12">
      <c r="L173" s="93"/>
    </row>
    <row r="174" spans="12:12">
      <c r="L174" s="101"/>
    </row>
    <row r="175" spans="12:12">
      <c r="L175" s="139"/>
    </row>
    <row r="176" spans="12:12">
      <c r="L176" s="139"/>
    </row>
    <row r="177" spans="12:12">
      <c r="L177" s="83"/>
    </row>
    <row r="178" spans="12:12">
      <c r="L178" s="93"/>
    </row>
    <row r="179" spans="12:12">
      <c r="L179" s="101"/>
    </row>
    <row r="180" spans="12:12">
      <c r="L180" s="139"/>
    </row>
    <row r="181" spans="12:12">
      <c r="L181" s="101"/>
    </row>
    <row r="182" spans="12:12">
      <c r="L182" s="83"/>
    </row>
    <row r="184" spans="12:12">
      <c r="L184" s="93"/>
    </row>
    <row r="185" spans="12:12">
      <c r="L185" s="101"/>
    </row>
    <row r="186" spans="12:12">
      <c r="L186" s="139"/>
    </row>
    <row r="187" spans="12:12">
      <c r="L187" s="101"/>
    </row>
    <row r="189" spans="12:12">
      <c r="L189" s="140"/>
    </row>
    <row r="190" spans="12:12">
      <c r="L190" s="101"/>
    </row>
    <row r="191" spans="12:12">
      <c r="L191" s="139"/>
    </row>
    <row r="192" spans="12:12">
      <c r="L192" s="101"/>
    </row>
    <row r="193" spans="12:12">
      <c r="L193" s="140"/>
    </row>
    <row r="194" spans="12:12">
      <c r="L194" s="140"/>
    </row>
    <row r="195" spans="12:12">
      <c r="L195" s="101"/>
    </row>
    <row r="196" spans="12:12">
      <c r="L196" s="139"/>
    </row>
    <row r="197" spans="12:12">
      <c r="L197" s="101"/>
    </row>
  </sheetData>
  <mergeCells count="4">
    <mergeCell ref="K3:P3"/>
    <mergeCell ref="A1:J1"/>
    <mergeCell ref="H16:I16"/>
    <mergeCell ref="A2:J2"/>
  </mergeCells>
  <phoneticPr fontId="5" type="noConversion"/>
  <pageMargins left="0.5" right="0.5" top="0.5" bottom="0.5" header="0.5" footer="0.5"/>
  <pageSetup scale="83" fitToHeight="2" orientation="portrait" verticalDpi="300" r:id="rId1"/>
  <headerFooter alignWithMargins="0">
    <oddFooter>&amp;C &amp;P&amp;R&amp;D</oddFooter>
  </headerFooter>
  <rowBreaks count="1" manualBreakCount="1">
    <brk id="6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J59"/>
  <sheetViews>
    <sheetView zoomScaleNormal="100" workbookViewId="0">
      <selection activeCell="M63" sqref="M63"/>
    </sheetView>
  </sheetViews>
  <sheetFormatPr defaultRowHeight="12.75"/>
  <cols>
    <col min="1" max="1" width="9" customWidth="1"/>
    <col min="2" max="2" width="8.42578125" customWidth="1"/>
    <col min="3" max="3" width="8.5703125" customWidth="1"/>
    <col min="4" max="4" width="9.7109375" customWidth="1"/>
    <col min="5" max="5" width="7.7109375" customWidth="1"/>
    <col min="6" max="10" width="10.7109375" customWidth="1"/>
  </cols>
  <sheetData>
    <row r="1" spans="1:10" ht="15.75">
      <c r="A1" s="269" t="s">
        <v>481</v>
      </c>
      <c r="B1" s="269"/>
      <c r="C1" s="269"/>
      <c r="D1" s="269"/>
      <c r="E1" s="269"/>
      <c r="F1" s="269"/>
      <c r="G1" s="269"/>
      <c r="H1" s="269"/>
      <c r="I1" s="269"/>
      <c r="J1" s="269"/>
    </row>
    <row r="3" spans="1:10">
      <c r="A3" s="60"/>
      <c r="B3" s="60"/>
      <c r="C3" s="60"/>
      <c r="D3" s="60"/>
      <c r="E3" s="60"/>
      <c r="F3" s="61" t="s">
        <v>2</v>
      </c>
      <c r="G3" s="61" t="s">
        <v>3</v>
      </c>
      <c r="H3" s="61" t="s">
        <v>4</v>
      </c>
      <c r="I3" s="61" t="s">
        <v>5</v>
      </c>
      <c r="J3" s="61" t="s">
        <v>6</v>
      </c>
    </row>
    <row r="4" spans="1:10" ht="15.75">
      <c r="A4" s="19" t="s">
        <v>44</v>
      </c>
      <c r="F4" s="3"/>
      <c r="G4" s="3"/>
      <c r="H4" s="3"/>
      <c r="I4" s="3"/>
      <c r="J4" s="57"/>
    </row>
    <row r="5" spans="1:10">
      <c r="A5" t="s">
        <v>46</v>
      </c>
      <c r="F5" s="136">
        <f ca="1">'Summary of Results'!F5</f>
        <v>3.5714285714299803</v>
      </c>
      <c r="G5" s="136">
        <f ca="1">'Summary of Results'!G5</f>
        <v>7.1428571428571601</v>
      </c>
      <c r="H5" s="136">
        <f ca="1">'Summary of Results'!H5</f>
        <v>10.714285714285696</v>
      </c>
      <c r="I5" s="136">
        <f ca="1">'Summary of Results'!I5</f>
        <v>14.28571428571427</v>
      </c>
      <c r="J5" s="136">
        <f ca="1">'Summary of Results'!J5</f>
        <v>17.85714285714284</v>
      </c>
    </row>
    <row r="6" spans="1:10">
      <c r="A6" t="s">
        <v>326</v>
      </c>
      <c r="F6" s="136">
        <f ca="1">'Summary of Results'!F6</f>
        <v>59.999999999999993</v>
      </c>
      <c r="G6" s="136">
        <f ca="1">'Summary of Results'!G6</f>
        <v>59.999999999999993</v>
      </c>
      <c r="H6" s="136">
        <f ca="1">'Summary of Results'!H6</f>
        <v>60.000000000000007</v>
      </c>
      <c r="I6" s="136">
        <f ca="1">'Summary of Results'!I6</f>
        <v>59.999999999999972</v>
      </c>
      <c r="J6" s="136">
        <f ca="1">'Summary of Results'!J6</f>
        <v>59.999999999999993</v>
      </c>
    </row>
    <row r="7" spans="1:10">
      <c r="A7" t="s">
        <v>325</v>
      </c>
      <c r="F7" s="136">
        <f>'Summary of Results'!F7</f>
        <v>60</v>
      </c>
      <c r="G7" s="136">
        <f>'Summary of Results'!G7</f>
        <v>60</v>
      </c>
      <c r="H7" s="136">
        <f>'Summary of Results'!H7</f>
        <v>60</v>
      </c>
      <c r="I7" s="136">
        <f>'Summary of Results'!I7</f>
        <v>60</v>
      </c>
      <c r="J7" s="136">
        <f>'Summary of Results'!J7</f>
        <v>60</v>
      </c>
    </row>
    <row r="8" spans="1:10">
      <c r="A8" t="s">
        <v>236</v>
      </c>
      <c r="F8" s="136">
        <f ca="1">'Summary of Results'!F8</f>
        <v>10.148282145202371</v>
      </c>
      <c r="G8" s="136">
        <f ca="1">'Summary of Results'!G8</f>
        <v>20.429287222232745</v>
      </c>
      <c r="H8" s="136">
        <f ca="1">'Summary of Results'!H8</f>
        <v>30.824652837952087</v>
      </c>
      <c r="I8" s="136">
        <f ca="1">'Summary of Results'!I8</f>
        <v>41.342903488555315</v>
      </c>
      <c r="J8" s="136">
        <f ca="1">'Summary of Results'!J8</f>
        <v>51.987865127188655</v>
      </c>
    </row>
    <row r="9" spans="1:10">
      <c r="A9" t="s">
        <v>237</v>
      </c>
      <c r="F9" s="136">
        <f>'Summary of Results'!F9</f>
        <v>96</v>
      </c>
      <c r="G9" s="136">
        <f>'Summary of Results'!G9</f>
        <v>96</v>
      </c>
      <c r="H9" s="136">
        <f>'Summary of Results'!H9</f>
        <v>96</v>
      </c>
      <c r="I9" s="136">
        <f>'Summary of Results'!I9</f>
        <v>96</v>
      </c>
      <c r="J9" s="136">
        <f>'Summary of Results'!J9</f>
        <v>96</v>
      </c>
    </row>
    <row r="10" spans="1:10">
      <c r="A10" t="s">
        <v>18</v>
      </c>
      <c r="D10" s="3"/>
      <c r="F10" s="136">
        <f ca="1">'Summary of Results'!F10</f>
        <v>42.321152061710016</v>
      </c>
      <c r="G10" s="136">
        <f ca="1">'Summary of Results'!G10</f>
        <v>53.41322381269562</v>
      </c>
      <c r="H10" s="136">
        <f ca="1">'Summary of Results'!H10</f>
        <v>69.29045826319566</v>
      </c>
      <c r="I10" s="136">
        <f ca="1">'Summary of Results'!I10</f>
        <v>85.679590579112897</v>
      </c>
      <c r="J10" s="136">
        <f ca="1">'Summary of Results'!J10</f>
        <v>104.98622067065907</v>
      </c>
    </row>
    <row r="11" spans="1:10">
      <c r="A11" t="s">
        <v>19</v>
      </c>
      <c r="D11" s="3"/>
      <c r="F11" s="136">
        <f ca="1">'Summary of Results'!F11</f>
        <v>27.698016725179173</v>
      </c>
      <c r="G11" s="136">
        <f ca="1">'Summary of Results'!G11</f>
        <v>34.876356322625838</v>
      </c>
      <c r="H11" s="136">
        <f ca="1">'Summary of Results'!H11</f>
        <v>44.056505076666276</v>
      </c>
      <c r="I11" s="136">
        <f ca="1">'Summary of Results'!I11</f>
        <v>53.23614354540625</v>
      </c>
      <c r="J11" s="136">
        <f ca="1">'Summary of Results'!J11</f>
        <v>63.416502137670605</v>
      </c>
    </row>
    <row r="12" spans="1:10">
      <c r="A12" t="s">
        <v>241</v>
      </c>
      <c r="D12" s="3"/>
      <c r="F12" s="136">
        <f ca="1">'Summary of Results'!F12</f>
        <v>10.000000000003945</v>
      </c>
      <c r="G12" s="136">
        <f ca="1">'Summary of Results'!G12</f>
        <v>20.000000000000046</v>
      </c>
      <c r="H12" s="136">
        <f ca="1">'Summary of Results'!H12</f>
        <v>29.99999999999995</v>
      </c>
      <c r="I12" s="136">
        <f ca="1">'Summary of Results'!I12</f>
        <v>39.999999999999957</v>
      </c>
      <c r="J12" s="136">
        <f ca="1">'Summary of Results'!J12</f>
        <v>49.999999999999957</v>
      </c>
    </row>
    <row r="13" spans="1:10" ht="15.75">
      <c r="A13" s="19" t="s">
        <v>100</v>
      </c>
      <c r="B13" s="5"/>
      <c r="C13" s="5"/>
      <c r="D13" s="76"/>
      <c r="E13" s="21"/>
      <c r="F13" s="76"/>
      <c r="G13" s="76"/>
      <c r="H13" s="76"/>
      <c r="I13" s="76"/>
      <c r="J13" s="76"/>
    </row>
    <row r="14" spans="1:10">
      <c r="A14" s="7" t="s">
        <v>200</v>
      </c>
      <c r="B14" s="7"/>
      <c r="C14" s="7"/>
      <c r="D14" s="76"/>
      <c r="E14" s="21"/>
      <c r="F14" s="76">
        <f ca="1">'Manufacturing Cost Calculations'!F239</f>
        <v>143.94747933976385</v>
      </c>
      <c r="G14" s="76">
        <f ca="1">'Manufacturing Cost Calculations'!G239</f>
        <v>152.1548919058794</v>
      </c>
      <c r="H14" s="76">
        <f ca="1">'Manufacturing Cost Calculations'!H239</f>
        <v>163.49342163369312</v>
      </c>
      <c r="I14" s="76">
        <f ca="1">'Manufacturing Cost Calculations'!I239</f>
        <v>173.46943111865585</v>
      </c>
      <c r="J14" s="76">
        <f ca="1">'Manufacturing Cost Calculations'!J239</f>
        <v>182.44168921797635</v>
      </c>
    </row>
    <row r="15" spans="1:10">
      <c r="A15" s="7" t="s">
        <v>208</v>
      </c>
      <c r="B15" s="7"/>
      <c r="C15" s="7"/>
      <c r="D15" s="76"/>
      <c r="E15" s="21"/>
      <c r="F15" s="76"/>
      <c r="G15" s="76"/>
      <c r="H15" s="76"/>
      <c r="I15" s="76"/>
      <c r="J15" s="76"/>
    </row>
    <row r="16" spans="1:10" ht="14.25">
      <c r="A16" s="7" t="s">
        <v>170</v>
      </c>
      <c r="B16" s="7"/>
      <c r="C16" s="7"/>
      <c r="D16" s="76"/>
      <c r="E16" s="21"/>
      <c r="F16" s="76">
        <f ca="1">'Manufacturing Cost Calculations'!F240</f>
        <v>11730.400405887762</v>
      </c>
      <c r="G16" s="76">
        <f ca="1">'Manufacturing Cost Calculations'!G240</f>
        <v>11811.117859768437</v>
      </c>
      <c r="H16" s="76">
        <f ca="1">'Manufacturing Cost Calculations'!H240</f>
        <v>12487.221413137726</v>
      </c>
      <c r="I16" s="76">
        <f ca="1">'Manufacturing Cost Calculations'!I240</f>
        <v>13111.85716229778</v>
      </c>
      <c r="J16" s="76">
        <f ca="1">'Manufacturing Cost Calculations'!J240</f>
        <v>13683.31129079598</v>
      </c>
    </row>
    <row r="17" spans="1:10" ht="14.25">
      <c r="A17" s="7" t="s">
        <v>199</v>
      </c>
      <c r="B17" s="7"/>
      <c r="C17" s="7"/>
      <c r="D17" s="76"/>
      <c r="E17" s="21"/>
      <c r="F17" s="76">
        <f>'Cost Input'!$F42</f>
        <v>1500</v>
      </c>
      <c r="G17" s="76">
        <f>'Cost Input'!$F42</f>
        <v>1500</v>
      </c>
      <c r="H17" s="76">
        <f>'Cost Input'!$F42</f>
        <v>1500</v>
      </c>
      <c r="I17" s="76">
        <f>'Cost Input'!$F42</f>
        <v>1500</v>
      </c>
      <c r="J17" s="76">
        <f>'Cost Input'!$F42</f>
        <v>1500</v>
      </c>
    </row>
    <row r="18" spans="1:10">
      <c r="A18" s="7" t="s">
        <v>209</v>
      </c>
      <c r="B18" s="7"/>
      <c r="C18" s="7"/>
      <c r="D18" s="76"/>
      <c r="E18" s="21"/>
      <c r="F18" s="76">
        <f ca="1">F16*F17/1000000</f>
        <v>17.595600608831646</v>
      </c>
      <c r="G18" s="76">
        <f ca="1">G16*G17/1000000</f>
        <v>17.716676789652656</v>
      </c>
      <c r="H18" s="76">
        <f ca="1">H16*H17/1000000</f>
        <v>18.730832119706591</v>
      </c>
      <c r="I18" s="76">
        <f ca="1">I16*I17/1000000</f>
        <v>19.667785743446672</v>
      </c>
      <c r="J18" s="76">
        <f ca="1">J16*J17/1000000</f>
        <v>20.52496693619397</v>
      </c>
    </row>
    <row r="19" spans="1:10">
      <c r="A19" s="7" t="s">
        <v>171</v>
      </c>
      <c r="B19" s="7"/>
      <c r="C19" s="7"/>
      <c r="D19" s="76"/>
      <c r="E19" s="21"/>
      <c r="F19" s="76"/>
      <c r="G19" s="76"/>
      <c r="H19" s="76"/>
      <c r="I19" s="76"/>
      <c r="J19" s="76"/>
    </row>
    <row r="20" spans="1:10">
      <c r="A20" s="7" t="s">
        <v>172</v>
      </c>
      <c r="B20" s="7"/>
      <c r="C20" s="7"/>
      <c r="D20" s="76"/>
      <c r="E20" s="21"/>
      <c r="F20" s="76"/>
      <c r="G20" s="76"/>
      <c r="H20" s="76"/>
      <c r="I20" s="76"/>
      <c r="J20" s="76"/>
    </row>
    <row r="21" spans="1:10">
      <c r="A21" s="7" t="s">
        <v>173</v>
      </c>
      <c r="B21" s="7"/>
      <c r="C21" s="7"/>
      <c r="D21" s="76"/>
      <c r="E21" s="21"/>
      <c r="F21" s="76">
        <f ca="1">('Cost Input'!$F44/100*F30+'Cost Input'!$F45/100*(F39+F40))*'Manufacturing Cost Calculations'!F6/1000000</f>
        <v>9.6398950743909584</v>
      </c>
      <c r="G21" s="76">
        <f ca="1">('Cost Input'!$F44/100*G30+'Cost Input'!$F45/100*(G39+G40))*'Manufacturing Cost Calculations'!G6/1000000</f>
        <v>10.198507791922676</v>
      </c>
      <c r="H21" s="76">
        <f ca="1">('Cost Input'!$F44/100*H30+'Cost Input'!$F45/100*(H39+H40))*'Manufacturing Cost Calculations'!H6/1000000</f>
        <v>12.050547878592161</v>
      </c>
      <c r="I21" s="76">
        <f ca="1">('Cost Input'!$F44/100*I30+'Cost Input'!$F45/100*(I39+I40))*'Manufacturing Cost Calculations'!I6/1000000</f>
        <v>13.995689265513885</v>
      </c>
      <c r="J21" s="76">
        <f ca="1">('Cost Input'!$F44/100*J30+'Cost Input'!$F45/100*(J39+J40))*'Manufacturing Cost Calculations'!J6/1000000</f>
        <v>15.971901759026244</v>
      </c>
    </row>
    <row r="22" spans="1:10">
      <c r="A22" s="7" t="s">
        <v>201</v>
      </c>
      <c r="B22" s="7"/>
      <c r="C22" s="7"/>
      <c r="D22" s="76"/>
      <c r="E22" s="21"/>
      <c r="F22" s="76">
        <f ca="1">F41*'Manufacturing Cost Calculations'!F6/1000000*'Cost Input'!$F$46/100</f>
        <v>25.530856958057001</v>
      </c>
      <c r="G22" s="76">
        <f ca="1">G41*'Manufacturing Cost Calculations'!G6/1000000*'Cost Input'!$F$46/100</f>
        <v>27.251409024337359</v>
      </c>
      <c r="H22" s="76">
        <f ca="1">H41*'Manufacturing Cost Calculations'!H6/1000000*'Cost Input'!$F$46/100</f>
        <v>32.721115735432775</v>
      </c>
      <c r="I22" s="76">
        <f ca="1">I41*'Manufacturing Cost Calculations'!I6/1000000*'Cost Input'!$F$46/100</f>
        <v>38.473252093009336</v>
      </c>
      <c r="J22" s="76">
        <f ca="1">J41*'Manufacturing Cost Calculations'!J6/1000000*'Cost Input'!$F$46/100</f>
        <v>44.324882637308129</v>
      </c>
    </row>
    <row r="23" spans="1:10">
      <c r="A23" s="7" t="s">
        <v>212</v>
      </c>
      <c r="B23" s="7"/>
      <c r="C23" s="7"/>
      <c r="D23" s="76"/>
      <c r="E23" s="21"/>
      <c r="F23" s="76">
        <f ca="1">F14+F18+F21+F22</f>
        <v>196.71383198104346</v>
      </c>
      <c r="G23" s="76">
        <f ca="1">G14+G18+G21+G22</f>
        <v>207.3214855117921</v>
      </c>
      <c r="H23" s="76">
        <f ca="1">H14+H18+H21+H22</f>
        <v>226.99591736742462</v>
      </c>
      <c r="I23" s="76">
        <f ca="1">I14+I18+I21+I22</f>
        <v>245.60615822062573</v>
      </c>
      <c r="J23" s="76">
        <f ca="1">J14+J18+J21+J22</f>
        <v>263.2634405505047</v>
      </c>
    </row>
    <row r="24" spans="1:10" ht="15.75">
      <c r="A24" s="19" t="s">
        <v>475</v>
      </c>
      <c r="B24" s="5"/>
      <c r="C24" s="5"/>
      <c r="D24" s="76"/>
      <c r="E24" s="21"/>
      <c r="F24" s="76"/>
      <c r="G24" s="76"/>
      <c r="H24" s="76"/>
      <c r="I24" s="76"/>
      <c r="J24" s="76"/>
    </row>
    <row r="25" spans="1:10">
      <c r="A25" s="80" t="s">
        <v>106</v>
      </c>
      <c r="B25" s="80"/>
      <c r="C25" s="80"/>
      <c r="D25" s="76"/>
      <c r="E25" s="21"/>
      <c r="F25" s="76"/>
      <c r="G25" s="76"/>
      <c r="H25" s="76"/>
      <c r="I25" s="76"/>
      <c r="J25" s="76"/>
    </row>
    <row r="26" spans="1:10">
      <c r="A26" s="7" t="s">
        <v>174</v>
      </c>
      <c r="B26" s="7"/>
      <c r="C26" s="7"/>
      <c r="D26" s="76"/>
      <c r="E26" s="21"/>
      <c r="F26" s="76"/>
      <c r="G26" s="76"/>
      <c r="H26" s="76"/>
      <c r="I26" s="76"/>
      <c r="J26" s="76"/>
    </row>
    <row r="27" spans="1:10">
      <c r="A27" s="7" t="s">
        <v>175</v>
      </c>
      <c r="B27" s="7"/>
      <c r="C27" s="7"/>
      <c r="D27" s="76"/>
      <c r="E27" s="21"/>
      <c r="F27" s="76">
        <f ca="1">'Summary of Results'!F27</f>
        <v>1191.4690387194655</v>
      </c>
      <c r="G27" s="76">
        <f ca="1">'Summary of Results'!G27</f>
        <v>1295.9159831065604</v>
      </c>
      <c r="H27" s="76">
        <f ca="1">'Summary of Results'!H27</f>
        <v>1641.9176035225512</v>
      </c>
      <c r="I27" s="76">
        <f ca="1">'Summary of Results'!I27</f>
        <v>2007.3975185698948</v>
      </c>
      <c r="J27" s="76">
        <f ca="1">'Summary of Results'!J27</f>
        <v>2380.1924519464283</v>
      </c>
    </row>
    <row r="28" spans="1:10">
      <c r="A28" s="7" t="s">
        <v>176</v>
      </c>
      <c r="B28" s="7"/>
      <c r="C28" s="7"/>
      <c r="D28" s="76"/>
      <c r="E28" s="21"/>
      <c r="F28" s="76">
        <f ca="1">'Summary of Results'!F28</f>
        <v>93.115224395495403</v>
      </c>
      <c r="G28" s="76">
        <f ca="1">'Summary of Results'!G28</f>
        <v>100.88678182357606</v>
      </c>
      <c r="H28" s="76">
        <f ca="1">'Summary of Results'!H28</f>
        <v>108.07023067347403</v>
      </c>
      <c r="I28" s="76">
        <f ca="1">'Summary of Results'!I28</f>
        <v>114.78386163801264</v>
      </c>
      <c r="J28" s="76">
        <f ca="1">'Summary of Results'!J28</f>
        <v>121.20013855817115</v>
      </c>
    </row>
    <row r="29" spans="1:10">
      <c r="A29" s="7" t="s">
        <v>474</v>
      </c>
      <c r="B29" s="7"/>
      <c r="C29" s="7"/>
      <c r="D29" s="76"/>
      <c r="E29" s="21"/>
      <c r="F29" s="76">
        <f ca="1">'Manufacturing Cost Calculations'!F96*'Battery Design'!F55</f>
        <v>191.55098308833402</v>
      </c>
      <c r="G29" s="76">
        <f ca="1">'Manufacturing Cost Calculations'!G96*'Battery Design'!G55</f>
        <v>197.01687993030976</v>
      </c>
      <c r="H29" s="76">
        <f ca="1">'Manufacturing Cost Calculations'!H96*'Battery Design'!H55</f>
        <v>202.71802147657871</v>
      </c>
      <c r="I29" s="76">
        <f ca="1">'Manufacturing Cost Calculations'!I96*'Battery Design'!I55</f>
        <v>208.44771242389322</v>
      </c>
      <c r="J29" s="76">
        <f ca="1">'Manufacturing Cost Calculations'!J96*'Battery Design'!J55</f>
        <v>214.21140933123544</v>
      </c>
    </row>
    <row r="30" spans="1:10">
      <c r="A30" s="7" t="s">
        <v>121</v>
      </c>
      <c r="B30" s="7"/>
      <c r="C30" s="7"/>
      <c r="D30" s="76"/>
      <c r="E30" s="21"/>
      <c r="F30" s="76">
        <f ca="1">SUM(F27:F29)</f>
        <v>1476.1352462032951</v>
      </c>
      <c r="G30" s="76">
        <f ca="1">SUM(G27:G29)</f>
        <v>1593.8196448604463</v>
      </c>
      <c r="H30" s="76">
        <f ca="1">SUM(H27:H29)</f>
        <v>1952.705855672604</v>
      </c>
      <c r="I30" s="76">
        <f ca="1">SUM(I27:I29)</f>
        <v>2330.6290926318006</v>
      </c>
      <c r="J30" s="76">
        <f ca="1">SUM(J27:J29)</f>
        <v>2715.6039998358347</v>
      </c>
    </row>
    <row r="31" spans="1:10">
      <c r="A31" s="7" t="s">
        <v>178</v>
      </c>
      <c r="B31" s="7"/>
      <c r="C31" s="7"/>
      <c r="D31" s="96"/>
      <c r="E31" s="21"/>
      <c r="F31" s="76"/>
      <c r="G31" s="76"/>
      <c r="H31" s="76"/>
      <c r="I31" s="76"/>
      <c r="J31" s="76"/>
    </row>
    <row r="32" spans="1:10">
      <c r="A32" s="7" t="s">
        <v>179</v>
      </c>
      <c r="B32" s="7"/>
      <c r="C32" s="7"/>
      <c r="D32" s="76"/>
      <c r="E32" s="21"/>
      <c r="F32" s="76">
        <f ca="1">'Summary of Results'!F32</f>
        <v>43.999530591949387</v>
      </c>
      <c r="G32" s="76">
        <f ca="1">'Summary of Results'!G32</f>
        <v>38.833089491380626</v>
      </c>
      <c r="H32" s="76">
        <f ca="1">'Summary of Results'!H32</f>
        <v>39.90327403434403</v>
      </c>
      <c r="I32" s="76">
        <f ca="1">'Summary of Results'!I32</f>
        <v>41.250743538654369</v>
      </c>
      <c r="J32" s="76">
        <f ca="1">'Summary of Results'!J32</f>
        <v>42.596120363123987</v>
      </c>
    </row>
    <row r="33" spans="1:10">
      <c r="A33" s="7" t="s">
        <v>180</v>
      </c>
      <c r="B33" s="7"/>
      <c r="C33" s="7"/>
      <c r="D33" s="76"/>
      <c r="E33" s="21"/>
      <c r="F33" s="76">
        <f ca="1">'Summary of Results'!F33</f>
        <v>40.964962092311076</v>
      </c>
      <c r="G33" s="76">
        <f ca="1">'Summary of Results'!G33</f>
        <v>40.935656360670464</v>
      </c>
      <c r="H33" s="76">
        <f ca="1">'Summary of Results'!H33</f>
        <v>40.932087181425743</v>
      </c>
      <c r="I33" s="76">
        <f ca="1">'Summary of Results'!I33</f>
        <v>40.930735158215583</v>
      </c>
      <c r="J33" s="76">
        <f ca="1">'Summary of Results'!J33</f>
        <v>40.930114912819292</v>
      </c>
    </row>
    <row r="34" spans="1:10">
      <c r="A34" s="7" t="s">
        <v>440</v>
      </c>
      <c r="B34" s="7"/>
      <c r="C34" s="7"/>
      <c r="D34" s="76"/>
      <c r="E34" s="21"/>
      <c r="F34" s="76">
        <f>'Summary of Results'!F34</f>
        <v>22.378004805083066</v>
      </c>
      <c r="G34" s="76">
        <f>'Summary of Results'!G34</f>
        <v>22.378004805083066</v>
      </c>
      <c r="H34" s="76">
        <f>'Summary of Results'!H34</f>
        <v>22.378004805083066</v>
      </c>
      <c r="I34" s="76">
        <f>'Summary of Results'!I34</f>
        <v>22.378004805083066</v>
      </c>
      <c r="J34" s="76">
        <f>'Summary of Results'!J34</f>
        <v>22.378004805083066</v>
      </c>
    </row>
    <row r="35" spans="1:10">
      <c r="A35" s="7" t="s">
        <v>477</v>
      </c>
      <c r="B35" s="7"/>
      <c r="C35" s="7"/>
      <c r="D35" s="76"/>
      <c r="E35" s="21"/>
      <c r="F35" s="76">
        <f>'Cost Input'!$F$49/'Manufacturing Cost Calculations'!F$6*('Manufacturing Cost Calculations'!F213+2/3*'Manufacturing Cost Calculations'!F219)</f>
        <v>16.393247390312879</v>
      </c>
      <c r="G35" s="76">
        <f>'Cost Input'!$F$49/'Manufacturing Cost Calculations'!G$6*('Manufacturing Cost Calculations'!G213+2/3*'Manufacturing Cost Calculations'!G219)</f>
        <v>16.393247390312879</v>
      </c>
      <c r="H35" s="76">
        <f>'Cost Input'!$F$49/'Manufacturing Cost Calculations'!H$6*('Manufacturing Cost Calculations'!H213+2/3*'Manufacturing Cost Calculations'!H219)</f>
        <v>16.393247390312879</v>
      </c>
      <c r="I35" s="76">
        <f>'Cost Input'!$F$49/'Manufacturing Cost Calculations'!I$6*('Manufacturing Cost Calculations'!I213+2/3*'Manufacturing Cost Calculations'!I219)</f>
        <v>16.393247390312879</v>
      </c>
      <c r="J35" s="76">
        <f>'Cost Input'!$F$49/'Manufacturing Cost Calculations'!J$6*('Manufacturing Cost Calculations'!J213+2/3*'Manufacturing Cost Calculations'!J219)</f>
        <v>16.393247390312879</v>
      </c>
    </row>
    <row r="36" spans="1:10">
      <c r="A36" s="7" t="s">
        <v>182</v>
      </c>
      <c r="B36" s="7"/>
      <c r="C36" s="7"/>
      <c r="D36" s="76"/>
      <c r="E36" s="21"/>
      <c r="F36" s="76">
        <f>'Summary of Results'!F36</f>
        <v>9.0044873798268625</v>
      </c>
      <c r="G36" s="76">
        <f>'Summary of Results'!G36</f>
        <v>9.0044873798268625</v>
      </c>
      <c r="H36" s="76">
        <f>'Summary of Results'!H36</f>
        <v>9.0044873798268625</v>
      </c>
      <c r="I36" s="76">
        <f>'Summary of Results'!I36</f>
        <v>9.0044873798268625</v>
      </c>
      <c r="J36" s="76">
        <f>'Summary of Results'!J36</f>
        <v>9.0044873798268625</v>
      </c>
    </row>
    <row r="37" spans="1:10">
      <c r="A37" s="7" t="s">
        <v>183</v>
      </c>
      <c r="B37" s="7"/>
      <c r="C37" s="7"/>
      <c r="D37" s="76"/>
      <c r="E37" s="21"/>
      <c r="F37" s="76">
        <f ca="1">'Summary of Results'!F37</f>
        <v>5.1383977527201887</v>
      </c>
      <c r="G37" s="76">
        <f ca="1">'Summary of Results'!G37</f>
        <v>7.0948205284199366</v>
      </c>
      <c r="H37" s="76">
        <f ca="1">'Summary of Results'!H37</f>
        <v>8.572740294382891</v>
      </c>
      <c r="I37" s="76">
        <f ca="1">'Summary of Results'!I37</f>
        <v>9.8066739728072339</v>
      </c>
      <c r="J37" s="76">
        <f ca="1">'Summary of Results'!J37</f>
        <v>10.88619262104098</v>
      </c>
    </row>
    <row r="38" spans="1:10">
      <c r="A38" s="7" t="s">
        <v>441</v>
      </c>
      <c r="B38" s="7"/>
      <c r="C38" s="7"/>
      <c r="D38" s="76"/>
      <c r="E38" s="21"/>
      <c r="F38" s="76">
        <f ca="1">'Summary of Results'!F38</f>
        <v>3.3225477011407323</v>
      </c>
      <c r="G38" s="76">
        <f ca="1">'Summary of Results'!G38</f>
        <v>4.698792020583852</v>
      </c>
      <c r="H38" s="76">
        <f ca="1">'Summary of Results'!H38</f>
        <v>5.7548214289457826</v>
      </c>
      <c r="I38" s="76">
        <f ca="1">'Summary of Results'!I38</f>
        <v>6.6450954022801509</v>
      </c>
      <c r="J38" s="76">
        <f ca="1">'Summary of Results'!J38</f>
        <v>7.4294425182348647</v>
      </c>
    </row>
    <row r="39" spans="1:10">
      <c r="A39" s="97" t="s">
        <v>184</v>
      </c>
      <c r="B39" s="97"/>
      <c r="C39" s="97"/>
      <c r="E39" s="21"/>
      <c r="F39" s="76">
        <f ca="1">SUM(F32:F38)</f>
        <v>141.20117771334418</v>
      </c>
      <c r="G39" s="76">
        <f ca="1">SUM(G32:G38)</f>
        <v>139.33809797627771</v>
      </c>
      <c r="H39" s="76">
        <f ca="1">SUM(H32:H38)</f>
        <v>142.93866251432127</v>
      </c>
      <c r="I39" s="76">
        <f ca="1">SUM(I32:I38)</f>
        <v>146.40898764718017</v>
      </c>
      <c r="J39" s="76">
        <f ca="1">SUM(J32:J38)</f>
        <v>149.61760999044191</v>
      </c>
    </row>
    <row r="40" spans="1:10">
      <c r="A40" s="7" t="s">
        <v>185</v>
      </c>
      <c r="B40" s="7"/>
      <c r="C40" s="7"/>
      <c r="D40" s="98"/>
      <c r="E40" s="76"/>
      <c r="F40" s="99">
        <f ca="1">'Cost Input'!$F50/100*F39</f>
        <v>84.720706628006511</v>
      </c>
      <c r="G40" s="99">
        <f ca="1">'Cost Input'!$F50/100*G39</f>
        <v>83.602858785766628</v>
      </c>
      <c r="H40" s="99">
        <f ca="1">'Cost Input'!$F50/100*H39</f>
        <v>85.763197508592754</v>
      </c>
      <c r="I40" s="99">
        <f ca="1">'Cost Input'!$F50/100*I39</f>
        <v>87.845392588308101</v>
      </c>
      <c r="J40" s="99">
        <f ca="1">'Cost Input'!$F50/100*J39</f>
        <v>89.770565994265141</v>
      </c>
    </row>
    <row r="41" spans="1:10">
      <c r="A41" s="7" t="s">
        <v>186</v>
      </c>
      <c r="B41" s="7"/>
      <c r="C41" s="7"/>
      <c r="D41" s="98"/>
      <c r="E41" s="76"/>
      <c r="F41" s="99">
        <f ca="1">F30+F39+F40</f>
        <v>1702.0571305446458</v>
      </c>
      <c r="G41" s="99">
        <f ca="1">G30+G39+G40</f>
        <v>1816.7606016224906</v>
      </c>
      <c r="H41" s="99">
        <f ca="1">H30+H39+H40</f>
        <v>2181.4077156955182</v>
      </c>
      <c r="I41" s="99">
        <f ca="1">I30+I39+I40</f>
        <v>2564.8834728672891</v>
      </c>
      <c r="J41" s="99">
        <f ca="1">J30+J39+J40</f>
        <v>2954.9921758205419</v>
      </c>
    </row>
    <row r="42" spans="1:10">
      <c r="A42" s="80" t="s">
        <v>109</v>
      </c>
      <c r="B42" s="80"/>
      <c r="C42" s="80"/>
      <c r="D42" s="76"/>
      <c r="E42" s="76"/>
      <c r="F42" s="71"/>
      <c r="G42" s="71"/>
      <c r="H42" s="71"/>
      <c r="I42" s="71"/>
      <c r="J42" s="71"/>
    </row>
    <row r="43" spans="1:10">
      <c r="A43" s="7" t="s">
        <v>187</v>
      </c>
      <c r="B43" s="7"/>
      <c r="C43" s="7"/>
      <c r="D43" s="76"/>
      <c r="E43" s="76"/>
      <c r="F43" s="99">
        <f ca="1">'Cost Input'!$F53/100*(F39+F40)+'Cost Input'!$F54/100*F45</f>
        <v>122.53672340294038</v>
      </c>
      <c r="G43" s="99">
        <f ca="1">'Cost Input'!$F53/100*(G39+G40)+'Cost Input'!$F54/100*G45</f>
        <v>125.40342283752253</v>
      </c>
      <c r="H43" s="99">
        <f ca="1">'Cost Input'!$F53/100*(H39+H40)+'Cost Input'!$F54/100*H45</f>
        <v>131.98173259141788</v>
      </c>
      <c r="I43" s="99">
        <f ca="1">'Cost Input'!$F53/100*(I39+I40)+'Cost Input'!$F54/100*I45</f>
        <v>137.89833367838719</v>
      </c>
      <c r="J43" s="99">
        <f ca="1">'Cost Input'!$F53/100*(J39+J40)+'Cost Input'!$F54/100*J45</f>
        <v>143.25715224287535</v>
      </c>
    </row>
    <row r="44" spans="1:10">
      <c r="A44" s="7" t="s">
        <v>188</v>
      </c>
      <c r="B44" s="7"/>
      <c r="C44" s="7"/>
      <c r="D44" s="76"/>
      <c r="E44" s="76"/>
      <c r="F44" s="99">
        <f ca="1">F45*'Cost Input'!$F55/100</f>
        <v>94.366074739432449</v>
      </c>
      <c r="G44" s="99">
        <f ca="1">G45*'Cost Input'!$F55/100</f>
        <v>99.525976638587792</v>
      </c>
      <c r="H44" s="99">
        <f ca="1">H45*'Cost Input'!$F55/100</f>
        <v>106.86609655098486</v>
      </c>
      <c r="I44" s="99">
        <f ca="1">I45*'Cost Input'!$F55/100</f>
        <v>113.33534088502158</v>
      </c>
      <c r="J44" s="99">
        <f ca="1">J45*'Cost Input'!$F55/100</f>
        <v>119.15729749528371</v>
      </c>
    </row>
    <row r="45" spans="1:10">
      <c r="A45" s="7" t="s">
        <v>189</v>
      </c>
      <c r="B45" s="7"/>
      <c r="C45" s="7"/>
      <c r="D45" s="76"/>
      <c r="E45" s="76"/>
      <c r="F45" s="99">
        <f ca="1">('Cost Input'!$F57/100*'Manufacturing Cost Calculations'!F239+'Cost Input'!$F58/100*'Manufacturing Cost Calculations'!F240*'Cost Input'!$F42/1000000)*1000000/'Manufacturing Cost Calculations'!F6</f>
        <v>188.73214947912064</v>
      </c>
      <c r="G45" s="99">
        <f ca="1">('Cost Input'!$F57/100*'Manufacturing Cost Calculations'!G239+'Cost Input'!$F58/100*'Manufacturing Cost Calculations'!G240*'Cost Input'!$F42/1000000)*1000000/'Manufacturing Cost Calculations'!G6</f>
        <v>199.05195327717558</v>
      </c>
      <c r="H45" s="99">
        <f ca="1">('Cost Input'!$F57/100*'Manufacturing Cost Calculations'!H239+'Cost Input'!$F58/100*'Manufacturing Cost Calculations'!H240*'Cost Input'!$F42/1000000)*1000000/'Manufacturing Cost Calculations'!H6</f>
        <v>213.7321931019697</v>
      </c>
      <c r="I45" s="99">
        <f ca="1">('Cost Input'!$F57/100*'Manufacturing Cost Calculations'!I239+'Cost Input'!$F58/100*'Manufacturing Cost Calculations'!I240*'Cost Input'!$F42/1000000)*1000000/'Manufacturing Cost Calculations'!I6</f>
        <v>226.67068177004316</v>
      </c>
      <c r="J45" s="99">
        <f ca="1">('Cost Input'!$F57/100*'Manufacturing Cost Calculations'!J239+'Cost Input'!$F58/100*'Manufacturing Cost Calculations'!J240*'Cost Input'!$F42/1000000)*1000000/'Manufacturing Cost Calculations'!J6</f>
        <v>238.31459499056743</v>
      </c>
    </row>
    <row r="46" spans="1:10">
      <c r="A46" s="7" t="s">
        <v>190</v>
      </c>
      <c r="B46" s="7"/>
      <c r="C46" s="7"/>
      <c r="D46" s="76"/>
      <c r="E46" s="76"/>
      <c r="F46" s="100">
        <f ca="1">F43+F44+F45</f>
        <v>405.63494762149344</v>
      </c>
      <c r="G46" s="100">
        <f ca="1">G43+G44+G45</f>
        <v>423.98135275328593</v>
      </c>
      <c r="H46" s="100">
        <f ca="1">H43+H44+H45</f>
        <v>452.58002224437246</v>
      </c>
      <c r="I46" s="100">
        <f ca="1">I43+I44+I45</f>
        <v>477.90435633345191</v>
      </c>
      <c r="J46" s="100">
        <f ca="1">J43+J44+J45</f>
        <v>500.72904472872654</v>
      </c>
    </row>
    <row r="47" spans="1:10">
      <c r="A47" s="7" t="s">
        <v>191</v>
      </c>
      <c r="B47" s="7"/>
      <c r="C47" s="7"/>
      <c r="D47" s="66"/>
      <c r="E47" s="76"/>
      <c r="F47" s="99">
        <f ca="1">'Cost Input'!$F59/100*F23*1000000/'Manufacturing Cost Calculations'!F6</f>
        <v>98.356915990521742</v>
      </c>
      <c r="G47" s="99">
        <f ca="1">'Cost Input'!$F59/100*G23*1000000/'Manufacturing Cost Calculations'!G6</f>
        <v>103.66074275589605</v>
      </c>
      <c r="H47" s="99">
        <f ca="1">'Cost Input'!$F59/100*H23*1000000/'Manufacturing Cost Calculations'!H6</f>
        <v>113.49795868371231</v>
      </c>
      <c r="I47" s="99">
        <f ca="1">'Cost Input'!$F59/100*I23*1000000/'Manufacturing Cost Calculations'!I6</f>
        <v>122.80307911031286</v>
      </c>
      <c r="J47" s="99">
        <f ca="1">'Cost Input'!$F59/100*J23*1000000/'Manufacturing Cost Calculations'!J6</f>
        <v>131.63172027525235</v>
      </c>
    </row>
    <row r="48" spans="1:10">
      <c r="A48" s="7" t="s">
        <v>443</v>
      </c>
      <c r="B48" s="7"/>
      <c r="C48" s="7"/>
      <c r="D48" s="76"/>
      <c r="E48" s="76"/>
      <c r="F48" s="100">
        <f ca="1">F41+F46+F47</f>
        <v>2206.0489941566611</v>
      </c>
      <c r="G48" s="100">
        <f ca="1">G41+G46+G47</f>
        <v>2344.4026971316725</v>
      </c>
      <c r="H48" s="100">
        <f ca="1">H41+H46+H47</f>
        <v>2747.4856966236025</v>
      </c>
      <c r="I48" s="100">
        <f ca="1">I41+I46+I47</f>
        <v>3165.5909083110537</v>
      </c>
      <c r="J48" s="100">
        <f ca="1">J41+J46+J47</f>
        <v>3587.3529408245208</v>
      </c>
    </row>
    <row r="49" spans="1:10" ht="15.75">
      <c r="A49" s="19" t="s">
        <v>203</v>
      </c>
      <c r="B49" s="5"/>
      <c r="C49" s="5"/>
      <c r="D49" s="76"/>
      <c r="E49" s="76"/>
      <c r="F49" s="71"/>
      <c r="G49" s="71"/>
      <c r="H49" s="71"/>
      <c r="I49" s="71"/>
      <c r="J49" s="71"/>
    </row>
    <row r="50" spans="1:10">
      <c r="A50" s="7" t="s">
        <v>279</v>
      </c>
      <c r="B50" s="7"/>
      <c r="C50" s="7"/>
      <c r="F50" s="101">
        <f ca="1">F27</f>
        <v>1191.4690387194655</v>
      </c>
      <c r="G50" s="101">
        <f ca="1">G27</f>
        <v>1295.9159831065604</v>
      </c>
      <c r="H50" s="101">
        <f ca="1">H27</f>
        <v>1641.9176035225512</v>
      </c>
      <c r="I50" s="101">
        <f ca="1">I27</f>
        <v>2007.3975185698948</v>
      </c>
      <c r="J50" s="101">
        <f ca="1">J27</f>
        <v>2380.1924519464283</v>
      </c>
    </row>
    <row r="51" spans="1:10">
      <c r="A51" s="7" t="s">
        <v>278</v>
      </c>
      <c r="B51" s="7"/>
      <c r="C51" s="7"/>
      <c r="F51" s="101">
        <f ca="1">F28+F29</f>
        <v>284.66620748382945</v>
      </c>
      <c r="G51" s="101">
        <f ca="1">G28+G29</f>
        <v>297.90366175388579</v>
      </c>
      <c r="H51" s="101">
        <f ca="1">H28+H29</f>
        <v>310.78825215005276</v>
      </c>
      <c r="I51" s="101">
        <f ca="1">I28+I29</f>
        <v>323.23157406190586</v>
      </c>
      <c r="J51" s="101">
        <f ca="1">J28+J29</f>
        <v>335.41154788940662</v>
      </c>
    </row>
    <row r="52" spans="1:10">
      <c r="A52" s="7" t="s">
        <v>192</v>
      </c>
      <c r="B52" s="7"/>
      <c r="C52" s="7"/>
      <c r="F52" s="101">
        <f t="shared" ref="F52:J53" ca="1" si="0">F39</f>
        <v>141.20117771334418</v>
      </c>
      <c r="G52" s="101">
        <f t="shared" ca="1" si="0"/>
        <v>139.33809797627771</v>
      </c>
      <c r="H52" s="101">
        <f t="shared" ca="1" si="0"/>
        <v>142.93866251432127</v>
      </c>
      <c r="I52" s="101">
        <f t="shared" ca="1" si="0"/>
        <v>146.40898764718017</v>
      </c>
      <c r="J52" s="101">
        <f t="shared" ca="1" si="0"/>
        <v>149.61760999044191</v>
      </c>
    </row>
    <row r="53" spans="1:10">
      <c r="A53" s="7" t="s">
        <v>193</v>
      </c>
      <c r="B53" s="7"/>
      <c r="C53" s="7"/>
      <c r="F53" s="101">
        <f t="shared" ca="1" si="0"/>
        <v>84.720706628006511</v>
      </c>
      <c r="G53" s="101">
        <f t="shared" ca="1" si="0"/>
        <v>83.602858785766628</v>
      </c>
      <c r="H53" s="101">
        <f t="shared" ca="1" si="0"/>
        <v>85.763197508592754</v>
      </c>
      <c r="I53" s="101">
        <f t="shared" ca="1" si="0"/>
        <v>87.845392588308101</v>
      </c>
      <c r="J53" s="101">
        <f t="shared" ca="1" si="0"/>
        <v>89.770565994265141</v>
      </c>
    </row>
    <row r="54" spans="1:10">
      <c r="A54" s="7" t="s">
        <v>187</v>
      </c>
      <c r="B54" s="7"/>
      <c r="C54" s="7"/>
      <c r="F54" s="76">
        <f t="shared" ref="F54:J56" ca="1" si="1">F43</f>
        <v>122.53672340294038</v>
      </c>
      <c r="G54" s="76">
        <f t="shared" ca="1" si="1"/>
        <v>125.40342283752253</v>
      </c>
      <c r="H54" s="76">
        <f t="shared" ca="1" si="1"/>
        <v>131.98173259141788</v>
      </c>
      <c r="I54" s="76">
        <f t="shared" ca="1" si="1"/>
        <v>137.89833367838719</v>
      </c>
      <c r="J54" s="76">
        <f t="shared" ca="1" si="1"/>
        <v>143.25715224287535</v>
      </c>
    </row>
    <row r="55" spans="1:10">
      <c r="A55" s="7" t="s">
        <v>188</v>
      </c>
      <c r="B55" s="7"/>
      <c r="C55" s="7"/>
      <c r="F55" s="101">
        <f t="shared" ca="1" si="1"/>
        <v>94.366074739432449</v>
      </c>
      <c r="G55" s="101">
        <f t="shared" ca="1" si="1"/>
        <v>99.525976638587792</v>
      </c>
      <c r="H55" s="101">
        <f t="shared" ca="1" si="1"/>
        <v>106.86609655098486</v>
      </c>
      <c r="I55" s="101">
        <f t="shared" ca="1" si="1"/>
        <v>113.33534088502158</v>
      </c>
      <c r="J55" s="101">
        <f t="shared" ca="1" si="1"/>
        <v>119.15729749528371</v>
      </c>
    </row>
    <row r="56" spans="1:10">
      <c r="A56" s="7" t="s">
        <v>189</v>
      </c>
      <c r="B56" s="7"/>
      <c r="C56" s="7"/>
      <c r="F56" s="101">
        <f t="shared" ca="1" si="1"/>
        <v>188.73214947912064</v>
      </c>
      <c r="G56" s="101">
        <f t="shared" ca="1" si="1"/>
        <v>199.05195327717558</v>
      </c>
      <c r="H56" s="101">
        <f t="shared" ca="1" si="1"/>
        <v>213.7321931019697</v>
      </c>
      <c r="I56" s="101">
        <f t="shared" ca="1" si="1"/>
        <v>226.67068177004316</v>
      </c>
      <c r="J56" s="101">
        <f t="shared" ca="1" si="1"/>
        <v>238.31459499056743</v>
      </c>
    </row>
    <row r="57" spans="1:10">
      <c r="A57" s="7" t="s">
        <v>194</v>
      </c>
      <c r="B57" s="7"/>
      <c r="C57" s="7"/>
      <c r="F57" s="229">
        <f ca="1">F47</f>
        <v>98.356915990521742</v>
      </c>
      <c r="G57" s="229">
        <f ca="1">G47</f>
        <v>103.66074275589605</v>
      </c>
      <c r="H57" s="229">
        <f ca="1">H47</f>
        <v>113.49795868371231</v>
      </c>
      <c r="I57" s="229">
        <f ca="1">I47</f>
        <v>122.80307911031286</v>
      </c>
      <c r="J57" s="229">
        <f ca="1">J47</f>
        <v>131.63172027525235</v>
      </c>
    </row>
    <row r="58" spans="1:10">
      <c r="A58" s="7" t="s">
        <v>414</v>
      </c>
      <c r="B58" s="7"/>
      <c r="C58" s="7"/>
      <c r="F58" s="102">
        <f ca="1">'Cost Input'!$F60/100*SUM(F50:F57)</f>
        <v>123.53874367277301</v>
      </c>
      <c r="G58" s="102">
        <f ca="1">'Cost Input'!$F60/100*SUM(G50:G57)</f>
        <v>131.28655103937365</v>
      </c>
      <c r="H58" s="102">
        <f ca="1">'Cost Input'!$F60/100*SUM(H50:H57)</f>
        <v>153.85919901092171</v>
      </c>
      <c r="I58" s="102">
        <f ca="1">'Cost Input'!$F60/100*SUM(I50:I57)</f>
        <v>177.27309086541902</v>
      </c>
      <c r="J58" s="102">
        <f ca="1">'Cost Input'!$F60/100*SUM(J50:J57)</f>
        <v>200.89176468617313</v>
      </c>
    </row>
    <row r="59" spans="1:10">
      <c r="A59" s="7" t="s">
        <v>447</v>
      </c>
      <c r="F59" s="101">
        <f ca="1">SUM(F50:F58)</f>
        <v>2329.587737829434</v>
      </c>
      <c r="G59" s="101">
        <f ca="1">SUM(G50:G58)</f>
        <v>2475.6892481710461</v>
      </c>
      <c r="H59" s="101">
        <f ca="1">SUM(H50:H58)</f>
        <v>2901.3448956345242</v>
      </c>
      <c r="I59" s="101">
        <f ca="1">SUM(I50:I58)</f>
        <v>3342.863999176473</v>
      </c>
      <c r="J59" s="101">
        <f ca="1">SUM(J50:J58)</f>
        <v>3788.2447055106941</v>
      </c>
    </row>
  </sheetData>
  <mergeCells count="1">
    <mergeCell ref="A1:J1"/>
  </mergeCells>
  <phoneticPr fontId="5" type="noConversion"/>
  <pageMargins left="0.75" right="0.75" top="1" bottom="1" header="0.5" footer="0.5"/>
  <pageSetup scale="86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T4" zoomScaleNormal="100" workbookViewId="0">
      <selection activeCell="AB42" sqref="AB42"/>
    </sheetView>
  </sheetViews>
  <sheetFormatPr defaultRowHeight="12.75"/>
  <sheetData/>
  <phoneticPr fontId="5" type="noConversion"/>
  <pageMargins left="0.75" right="0.75" top="1" bottom="1" header="0.5" footer="0.5"/>
  <pageSetup scale="7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zoomScaleNormal="100" workbookViewId="0">
      <selection activeCell="P2" sqref="P2"/>
    </sheetView>
  </sheetViews>
  <sheetFormatPr defaultRowHeight="12.75"/>
  <sheetData/>
  <phoneticPr fontId="5" type="noConversion"/>
  <printOptions horizontalCentered="1"/>
  <pageMargins left="0.5" right="0.5" top="0.5" bottom="0.5" header="0.5" footer="0.5"/>
  <pageSetup scale="9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20"/>
  </sheetPr>
  <dimension ref="C1:M16"/>
  <sheetViews>
    <sheetView topLeftCell="C1" workbookViewId="0">
      <selection activeCell="M48" sqref="M48"/>
    </sheetView>
  </sheetViews>
  <sheetFormatPr defaultRowHeight="12.75"/>
  <cols>
    <col min="3" max="3" width="39.140625" customWidth="1"/>
  </cols>
  <sheetData>
    <row r="1" spans="3:13"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3:13">
      <c r="C2" t="s">
        <v>498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spans="3:13">
      <c r="D3" s="264"/>
      <c r="E3" s="264"/>
      <c r="F3" s="264"/>
      <c r="G3" s="264"/>
      <c r="H3" s="264"/>
      <c r="I3" s="264"/>
      <c r="J3" s="264"/>
      <c r="K3" s="264"/>
      <c r="L3" s="264"/>
      <c r="M3" s="264"/>
    </row>
    <row r="4" spans="3:13">
      <c r="C4" t="s">
        <v>493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</row>
    <row r="5" spans="3:13">
      <c r="C5" t="s">
        <v>494</v>
      </c>
      <c r="D5" s="264"/>
      <c r="E5" s="264"/>
      <c r="F5" s="264"/>
      <c r="G5" s="264"/>
      <c r="H5" s="264"/>
      <c r="I5" s="264"/>
      <c r="J5" s="264"/>
      <c r="K5" s="264"/>
      <c r="L5" s="264"/>
      <c r="M5" s="264"/>
    </row>
    <row r="6" spans="3:13">
      <c r="C6" t="s">
        <v>495</v>
      </c>
      <c r="D6" s="264"/>
      <c r="E6" s="264"/>
      <c r="F6" s="264"/>
      <c r="G6" s="264"/>
      <c r="H6" s="264"/>
      <c r="I6" s="264"/>
      <c r="J6" s="264"/>
      <c r="K6" s="264"/>
      <c r="L6" s="264"/>
      <c r="M6" s="264"/>
    </row>
    <row r="7" spans="3:13">
      <c r="C7" t="s">
        <v>496</v>
      </c>
      <c r="D7" s="264"/>
      <c r="E7" s="264"/>
      <c r="F7" s="264"/>
      <c r="G7" s="264"/>
      <c r="H7" s="264"/>
      <c r="I7" s="264"/>
      <c r="J7" s="264"/>
      <c r="K7" s="264"/>
      <c r="L7" s="264"/>
      <c r="M7" s="264"/>
    </row>
    <row r="8" spans="3:13">
      <c r="C8" s="265" t="s">
        <v>497</v>
      </c>
      <c r="D8" s="264"/>
      <c r="E8" s="264"/>
      <c r="F8" s="264"/>
      <c r="G8" s="264"/>
      <c r="H8" s="264"/>
      <c r="I8" s="264"/>
      <c r="J8" s="264"/>
      <c r="K8" s="264"/>
      <c r="L8" s="264"/>
      <c r="M8" s="264"/>
    </row>
    <row r="9" spans="3:13"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</row>
    <row r="10" spans="3:13"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</row>
    <row r="11" spans="3:13">
      <c r="C11" t="s">
        <v>492</v>
      </c>
      <c r="D11" s="264"/>
      <c r="E11" s="264"/>
      <c r="F11" s="264"/>
      <c r="G11" s="264"/>
      <c r="H11" s="264"/>
      <c r="I11" s="264"/>
      <c r="J11" s="264"/>
      <c r="K11" s="264"/>
      <c r="L11" s="264"/>
      <c r="M11" s="264"/>
    </row>
    <row r="12" spans="3:13">
      <c r="C12" t="s">
        <v>499</v>
      </c>
      <c r="D12" s="264"/>
      <c r="E12" s="264"/>
      <c r="F12" s="264"/>
      <c r="G12" s="264"/>
      <c r="H12" s="264"/>
      <c r="I12" s="264"/>
      <c r="J12" s="264"/>
      <c r="K12" s="264"/>
      <c r="L12" s="264"/>
      <c r="M12" s="264"/>
    </row>
    <row r="13" spans="3:13"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</row>
    <row r="14" spans="3:13"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</row>
    <row r="15" spans="3:13"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</row>
    <row r="16" spans="3:13"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</row>
  </sheetData>
  <phoneticPr fontId="5" type="noConversion"/>
  <hyperlinks>
    <hyperlink ref="C8" r:id="rId1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System Selection</vt:lpstr>
      <vt:lpstr>Battery Design</vt:lpstr>
      <vt:lpstr>Summary of Results</vt:lpstr>
      <vt:lpstr>Manufacturing Cost Calculations</vt:lpstr>
      <vt:lpstr>Cost Input</vt:lpstr>
      <vt:lpstr>Price of Modules</vt:lpstr>
      <vt:lpstr>Cell Design</vt:lpstr>
      <vt:lpstr>Plant Schematic</vt:lpstr>
      <vt:lpstr>About This Model</vt:lpstr>
      <vt:lpstr>'Battery Design'!Print_Area</vt:lpstr>
      <vt:lpstr>'Cell Design'!Print_Area</vt:lpstr>
      <vt:lpstr>'Cost Input'!Print_Area</vt:lpstr>
      <vt:lpstr>'Manufacturing Cost Calculations'!Print_Area</vt:lpstr>
      <vt:lpstr>'Summary of Results'!Print_Area</vt:lpstr>
      <vt:lpstr>'System Selection'!Print_Area</vt:lpstr>
      <vt:lpstr>'Battery Design'!Print_Titles</vt:lpstr>
    </vt:vector>
  </TitlesOfParts>
  <Company>Argonne National Laboratory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DLevin07</cp:lastModifiedBy>
  <cp:lastPrinted>2011-01-07T17:21:04Z</cp:lastPrinted>
  <dcterms:created xsi:type="dcterms:W3CDTF">2007-05-30T17:44:54Z</dcterms:created>
  <dcterms:modified xsi:type="dcterms:W3CDTF">2014-11-12T16:02:58Z</dcterms:modified>
</cp:coreProperties>
</file>