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4.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5.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8.xml" ContentType="application/vnd.openxmlformats-officedocument.drawingml.chartshapes+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9.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0.xml" ContentType="application/vnd.openxmlformats-officedocument.drawingml.chartshapes+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1.xml" ContentType="application/vnd.openxmlformats-officedocument.drawingml.chartshapes+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3.xml" ContentType="application/vnd.openxmlformats-officedocument.drawingml.chartshapes+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14.xml" ContentType="application/vnd.openxmlformats-officedocument.drawing+xml"/>
  <Override PartName="/xl/charts/chart18.xml" ContentType="application/vnd.openxmlformats-officedocument.drawingml.chart+xml"/>
  <Override PartName="/xl/drawings/drawing15.xml" ContentType="application/vnd.openxmlformats-officedocument.drawingml.chartshapes+xml"/>
  <Override PartName="/xl/charts/chart19.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16.xml" ContentType="application/vnd.openxmlformats-officedocument.drawingml.chartshapes+xml"/>
  <Override PartName="/xl/charts/chart20.xml" ContentType="application/vnd.openxmlformats-officedocument.drawingml.chart+xml"/>
  <Override PartName="/xl/charts/chart21.xml" ContentType="application/vnd.openxmlformats-officedocument.drawingml.chart+xml"/>
  <Override PartName="/xl/drawings/drawing17.xml" ContentType="application/vnd.openxmlformats-officedocument.drawingml.chartshapes+xml"/>
  <Override PartName="/xl/charts/chart22.xml" ContentType="application/vnd.openxmlformats-officedocument.drawingml.chart+xml"/>
  <Override PartName="/xl/drawings/drawing18.xml" ContentType="application/vnd.openxmlformats-officedocument.drawing+xml"/>
  <Override PartName="/xl/charts/chart23.xml" ContentType="application/vnd.openxmlformats-officedocument.drawingml.chart+xml"/>
  <Override PartName="/xl/charts/style19.xml" ContentType="application/vnd.ms-office.chartstyle+xml"/>
  <Override PartName="/xl/charts/colors19.xml" ContentType="application/vnd.ms-office.chartcolorstyle+xml"/>
  <Override PartName="/xl/charts/chart24.xml" ContentType="application/vnd.openxmlformats-officedocument.drawingml.chart+xml"/>
  <Override PartName="/xl/charts/style20.xml" ContentType="application/vnd.ms-office.chartstyle+xml"/>
  <Override PartName="/xl/charts/colors20.xml" ContentType="application/vnd.ms-office.chartcolorstyle+xml"/>
  <Override PartName="/xl/charts/chart25.xml" ContentType="application/vnd.openxmlformats-officedocument.drawingml.chart+xml"/>
  <Override PartName="/xl/charts/style21.xml" ContentType="application/vnd.ms-office.chartstyle+xml"/>
  <Override PartName="/xl/charts/colors21.xml" ContentType="application/vnd.ms-office.chartcolorstyle+xml"/>
  <Override PartName="/xl/charts/chart26.xml" ContentType="application/vnd.openxmlformats-officedocument.drawingml.chart+xml"/>
  <Override PartName="/xl/charts/style22.xml" ContentType="application/vnd.ms-office.chartstyle+xml"/>
  <Override PartName="/xl/charts/colors22.xml" ContentType="application/vnd.ms-office.chartcolorstyle+xml"/>
  <Override PartName="/xl/charts/chart27.xml" ContentType="application/vnd.openxmlformats-officedocument.drawingml.chart+xml"/>
  <Override PartName="/xl/charts/style23.xml" ContentType="application/vnd.ms-office.chartstyle+xml"/>
  <Override PartName="/xl/charts/colors23.xml" ContentType="application/vnd.ms-office.chartcolorstyle+xml"/>
  <Override PartName="/xl/charts/chart28.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19.xml" ContentType="application/vnd.openxmlformats-officedocument.drawing+xml"/>
  <Override PartName="/xl/charts/chart29.xml" ContentType="application/vnd.openxmlformats-officedocument.drawingml.chart+xml"/>
  <Override PartName="/xl/charts/style25.xml" ContentType="application/vnd.ms-office.chartstyle+xml"/>
  <Override PartName="/xl/charts/colors25.xml" ContentType="application/vnd.ms-office.chartcolorstyle+xml"/>
  <Override PartName="/xl/charts/chart30.xml" ContentType="application/vnd.openxmlformats-officedocument.drawingml.chart+xml"/>
  <Override PartName="/xl/charts/style26.xml" ContentType="application/vnd.ms-office.chartstyle+xml"/>
  <Override PartName="/xl/charts/colors26.xml" ContentType="application/vnd.ms-office.chartcolorstyle+xml"/>
  <Override PartName="/xl/charts/chart31.xml" ContentType="application/vnd.openxmlformats-officedocument.drawingml.chart+xml"/>
  <Override PartName="/xl/charts/style27.xml" ContentType="application/vnd.ms-office.chartstyle+xml"/>
  <Override PartName="/xl/charts/colors27.xml" ContentType="application/vnd.ms-office.chartcolorstyle+xml"/>
  <Override PartName="/xl/charts/chart32.xml" ContentType="application/vnd.openxmlformats-officedocument.drawingml.chart+xml"/>
  <Override PartName="/xl/charts/style28.xml" ContentType="application/vnd.ms-office.chartstyle+xml"/>
  <Override PartName="/xl/charts/colors28.xml" ContentType="application/vnd.ms-office.chartcolorstyle+xml"/>
  <Override PartName="/xl/charts/chart33.xml" ContentType="application/vnd.openxmlformats-officedocument.drawingml.chart+xml"/>
  <Override PartName="/xl/charts/style29.xml" ContentType="application/vnd.ms-office.chartstyle+xml"/>
  <Override PartName="/xl/charts/colors29.xml" ContentType="application/vnd.ms-office.chartcolorstyle+xml"/>
  <Override PartName="/xl/charts/chart34.xml" ContentType="application/vnd.openxmlformats-officedocument.drawingml.chart+xml"/>
  <Override PartName="/xl/charts/style30.xml" ContentType="application/vnd.ms-office.chartstyle+xml"/>
  <Override PartName="/xl/charts/colors30.xml" ContentType="application/vnd.ms-office.chartcolorstyle+xml"/>
  <Override PartName="/xl/drawings/drawing20.xml" ContentType="application/vnd.openxmlformats-officedocument.drawing+xml"/>
  <Override PartName="/xl/comments1.xml" ContentType="application/vnd.openxmlformats-officedocument.spreadsheetml.comments+xml"/>
  <Override PartName="/xl/charts/chart35.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21.xml" ContentType="application/vnd.openxmlformats-officedocument.drawingml.chartshapes+xml"/>
  <Override PartName="/xl/charts/chart36.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22.xml" ContentType="application/vnd.openxmlformats-officedocument.drawingml.chartshapes+xml"/>
  <Override PartName="/xl/charts/chart37.xml" ContentType="application/vnd.openxmlformats-officedocument.drawingml.chart+xml"/>
  <Override PartName="/xl/charts/style33.xml" ContentType="application/vnd.ms-office.chartstyle+xml"/>
  <Override PartName="/xl/charts/colors33.xml" ContentType="application/vnd.ms-office.chartcolorstyle+xml"/>
  <Override PartName="/xl/charts/chart38.xml" ContentType="application/vnd.openxmlformats-officedocument.drawingml.chart+xml"/>
  <Override PartName="/xl/charts/style34.xml" ContentType="application/vnd.ms-office.chartstyle+xml"/>
  <Override PartName="/xl/charts/colors34.xml" ContentType="application/vnd.ms-office.chartcolorstyle+xml"/>
  <Override PartName="/xl/drawings/drawing23.xml" ContentType="application/vnd.openxmlformats-officedocument.drawingml.chartshapes+xml"/>
  <Override PartName="/xl/charts/chart39.xml" ContentType="application/vnd.openxmlformats-officedocument.drawingml.chart+xml"/>
  <Override PartName="/xl/charts/style35.xml" ContentType="application/vnd.ms-office.chartstyle+xml"/>
  <Override PartName="/xl/charts/colors35.xml" ContentType="application/vnd.ms-office.chartcolorstyle+xml"/>
  <Override PartName="/xl/drawings/drawing24.xml" ContentType="application/vnd.openxmlformats-officedocument.drawingml.chartshapes+xml"/>
  <Override PartName="/xl/charts/chart40.xml" ContentType="application/vnd.openxmlformats-officedocument.drawingml.chart+xml"/>
  <Override PartName="/xl/charts/style36.xml" ContentType="application/vnd.ms-office.chartstyle+xml"/>
  <Override PartName="/xl/charts/colors36.xml" ContentType="application/vnd.ms-office.chartcolorstyle+xml"/>
  <Override PartName="/xl/drawings/drawing25.xml" ContentType="application/vnd.openxmlformats-officedocument.drawingml.chartshapes+xml"/>
  <Override PartName="/xl/charts/chart41.xml" ContentType="application/vnd.openxmlformats-officedocument.drawingml.chart+xml"/>
  <Override PartName="/xl/charts/style37.xml" ContentType="application/vnd.ms-office.chartstyle+xml"/>
  <Override PartName="/xl/charts/colors37.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53222"/>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
    </mc:Choice>
  </mc:AlternateContent>
  <bookViews>
    <workbookView xWindow="0" yWindow="0" windowWidth="23970" windowHeight="15210"/>
  </bookViews>
  <sheets>
    <sheet name="README" sheetId="24" r:id="rId1"/>
    <sheet name="Cement Creek" sheetId="19" r:id="rId2"/>
    <sheet name="Silverton" sheetId="31" r:id="rId3"/>
    <sheet name="Bakers Bridge" sheetId="32" r:id="rId4"/>
    <sheet name="Durango" sheetId="26" r:id="rId5"/>
    <sheet name="Farmington" sheetId="22" r:id="rId6"/>
    <sheet name="San Juan" sheetId="23" r:id="rId7"/>
    <sheet name="Fig 9-23" sheetId="28" r:id="rId8"/>
    <sheet name="Table Legend" sheetId="30" r:id="rId9"/>
  </sheets>
  <externalReferences>
    <externalReference r:id="rId10"/>
  </externalReferenc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76" i="22" l="1"/>
  <c r="V76" i="22"/>
  <c r="W76" i="22"/>
  <c r="X76" i="22"/>
  <c r="Y76" i="22"/>
  <c r="Z76" i="22"/>
  <c r="T76" i="22"/>
  <c r="U75" i="22"/>
  <c r="V75" i="22"/>
  <c r="W75" i="22"/>
  <c r="X75" i="22"/>
  <c r="Y75" i="22"/>
  <c r="Z75" i="22"/>
  <c r="T75" i="22"/>
  <c r="C85" i="22"/>
  <c r="E85" i="22"/>
  <c r="F85" i="22"/>
  <c r="G85" i="22"/>
  <c r="H85" i="22"/>
  <c r="I85" i="22"/>
  <c r="D85" i="22"/>
  <c r="E85" i="26" l="1"/>
  <c r="F85" i="26"/>
  <c r="G85" i="26"/>
  <c r="H85" i="26"/>
  <c r="I85" i="26"/>
  <c r="J85" i="26"/>
  <c r="E86" i="26"/>
  <c r="F86" i="26"/>
  <c r="G86" i="26"/>
  <c r="H86" i="26"/>
  <c r="I86" i="26"/>
  <c r="J86" i="26"/>
  <c r="E87" i="26"/>
  <c r="F87" i="26"/>
  <c r="G87" i="26"/>
  <c r="H87" i="26"/>
  <c r="I87" i="26"/>
  <c r="J87" i="26"/>
  <c r="D87" i="26"/>
  <c r="D86" i="26"/>
  <c r="D85" i="26"/>
  <c r="E84" i="26"/>
  <c r="F84" i="26"/>
  <c r="G84" i="26"/>
  <c r="H84" i="26"/>
  <c r="I84" i="26"/>
  <c r="J84" i="26"/>
  <c r="D84" i="26"/>
  <c r="E83" i="26"/>
  <c r="F83" i="26"/>
  <c r="G83" i="26"/>
  <c r="H83" i="26"/>
  <c r="I83" i="26"/>
  <c r="J83" i="26"/>
  <c r="D83" i="26"/>
  <c r="O40" i="19" l="1"/>
  <c r="O39" i="19"/>
  <c r="O38" i="19"/>
  <c r="O37" i="19"/>
  <c r="O36" i="19"/>
  <c r="O35" i="19"/>
  <c r="O34" i="19"/>
  <c r="O29" i="19"/>
  <c r="O28" i="19"/>
  <c r="O27" i="19"/>
  <c r="O26" i="19"/>
  <c r="O25" i="19"/>
  <c r="O24" i="19"/>
  <c r="O23" i="19"/>
  <c r="N40" i="19"/>
  <c r="N39" i="19"/>
  <c r="N38" i="19"/>
  <c r="N37" i="19"/>
  <c r="N36" i="19"/>
  <c r="N35" i="19"/>
  <c r="N34" i="19"/>
  <c r="M40" i="19"/>
  <c r="M39" i="19"/>
  <c r="M38" i="19"/>
  <c r="M37" i="19"/>
  <c r="M36" i="19"/>
  <c r="M35" i="19"/>
  <c r="M34" i="19"/>
  <c r="M29" i="19"/>
  <c r="M28" i="19"/>
  <c r="M27" i="19"/>
  <c r="M26" i="19"/>
  <c r="M25" i="19"/>
  <c r="M24" i="19"/>
  <c r="M23" i="19"/>
  <c r="N29" i="19"/>
  <c r="N28" i="19"/>
  <c r="N27" i="19"/>
  <c r="N26" i="19"/>
  <c r="N25" i="19"/>
  <c r="N24" i="19"/>
  <c r="N23" i="19"/>
  <c r="D54" i="19"/>
  <c r="E54" i="19"/>
  <c r="F54" i="19"/>
  <c r="G54" i="19"/>
  <c r="H54" i="19"/>
  <c r="I54" i="19"/>
  <c r="C54" i="19"/>
  <c r="Y15" i="23" l="1"/>
  <c r="T11" i="31"/>
  <c r="V9" i="31"/>
  <c r="V10" i="31"/>
  <c r="V12" i="23"/>
  <c r="V27" i="23"/>
  <c r="N507" i="23"/>
  <c r="O500" i="23"/>
  <c r="N500" i="23"/>
  <c r="O499" i="23"/>
  <c r="N499" i="23"/>
  <c r="K512" i="23"/>
  <c r="J512" i="23"/>
  <c r="I512" i="23"/>
  <c r="H512" i="23"/>
  <c r="G512" i="23"/>
  <c r="F512" i="23"/>
  <c r="D512" i="23"/>
  <c r="E512" i="23"/>
  <c r="C512" i="23"/>
  <c r="K511" i="23"/>
  <c r="J511" i="23"/>
  <c r="G511" i="23"/>
  <c r="F511" i="23"/>
  <c r="E511" i="23"/>
  <c r="D511" i="23"/>
  <c r="C511" i="23"/>
  <c r="G509" i="23"/>
  <c r="K507" i="23"/>
  <c r="J507" i="23"/>
  <c r="I507" i="23"/>
  <c r="H507" i="23"/>
  <c r="G507" i="23"/>
  <c r="F507" i="23"/>
  <c r="D507" i="23"/>
  <c r="E507" i="23"/>
  <c r="C507" i="23"/>
  <c r="K506" i="23"/>
  <c r="J506" i="23"/>
  <c r="G506" i="23"/>
  <c r="F506" i="23"/>
  <c r="E506" i="23"/>
  <c r="D506" i="23"/>
  <c r="C506" i="23"/>
  <c r="F502" i="23"/>
  <c r="E502" i="23"/>
  <c r="E501" i="23"/>
  <c r="D501" i="23"/>
  <c r="C501" i="23"/>
  <c r="E500" i="23"/>
  <c r="D500" i="23"/>
  <c r="C500" i="23"/>
  <c r="N482" i="23"/>
  <c r="O475" i="23"/>
  <c r="N475" i="23"/>
  <c r="O474" i="23"/>
  <c r="N474" i="23"/>
  <c r="K487" i="23"/>
  <c r="J487" i="23"/>
  <c r="I487" i="23"/>
  <c r="H487" i="23"/>
  <c r="G487" i="23"/>
  <c r="F487" i="23"/>
  <c r="D487" i="23"/>
  <c r="E487" i="23"/>
  <c r="C487" i="23"/>
  <c r="K486" i="23"/>
  <c r="J486" i="23"/>
  <c r="G486" i="23"/>
  <c r="F486" i="23"/>
  <c r="E486" i="23"/>
  <c r="D486" i="23"/>
  <c r="C486" i="23"/>
  <c r="G484" i="23"/>
  <c r="K482" i="23"/>
  <c r="J482" i="23"/>
  <c r="I482" i="23"/>
  <c r="H482" i="23"/>
  <c r="G482" i="23"/>
  <c r="F482" i="23"/>
  <c r="D482" i="23"/>
  <c r="E482" i="23"/>
  <c r="C482" i="23"/>
  <c r="K481" i="23"/>
  <c r="J481" i="23"/>
  <c r="G481" i="23"/>
  <c r="F481" i="23"/>
  <c r="E481" i="23"/>
  <c r="D481" i="23"/>
  <c r="C481" i="23"/>
  <c r="F477" i="23"/>
  <c r="E477" i="23"/>
  <c r="E476" i="23"/>
  <c r="D476" i="23"/>
  <c r="C476" i="23"/>
  <c r="E475" i="23"/>
  <c r="D475" i="23"/>
  <c r="C475" i="23"/>
  <c r="N458" i="23"/>
  <c r="O451" i="23"/>
  <c r="N451" i="23"/>
  <c r="O450" i="23"/>
  <c r="N450" i="23"/>
  <c r="K463" i="23"/>
  <c r="J463" i="23"/>
  <c r="I463" i="23"/>
  <c r="H463" i="23"/>
  <c r="G463" i="23"/>
  <c r="F463" i="23"/>
  <c r="D463" i="23"/>
  <c r="E463" i="23"/>
  <c r="C463" i="23"/>
  <c r="K462" i="23"/>
  <c r="J462" i="23"/>
  <c r="G462" i="23"/>
  <c r="F462" i="23"/>
  <c r="E462" i="23"/>
  <c r="D462" i="23"/>
  <c r="C462" i="23"/>
  <c r="G460" i="23"/>
  <c r="K458" i="23"/>
  <c r="J458" i="23"/>
  <c r="I458" i="23"/>
  <c r="H458" i="23"/>
  <c r="G458" i="23"/>
  <c r="F458" i="23"/>
  <c r="D458" i="23"/>
  <c r="E458" i="23"/>
  <c r="C458" i="23"/>
  <c r="K457" i="23"/>
  <c r="J457" i="23"/>
  <c r="G457" i="23"/>
  <c r="F457" i="23"/>
  <c r="E457" i="23"/>
  <c r="D457" i="23"/>
  <c r="C457" i="23"/>
  <c r="F453" i="23"/>
  <c r="E453" i="23"/>
  <c r="E452" i="23"/>
  <c r="D452" i="23"/>
  <c r="C452" i="23"/>
  <c r="E451" i="23"/>
  <c r="D451" i="23"/>
  <c r="C451" i="23"/>
  <c r="N433" i="23"/>
  <c r="O426" i="23"/>
  <c r="N426" i="23"/>
  <c r="O425" i="23"/>
  <c r="N425" i="23"/>
  <c r="K438" i="23"/>
  <c r="J438" i="23"/>
  <c r="I438" i="23"/>
  <c r="H438" i="23"/>
  <c r="G438" i="23"/>
  <c r="F438" i="23"/>
  <c r="D438" i="23"/>
  <c r="E438" i="23"/>
  <c r="C438" i="23"/>
  <c r="K437" i="23"/>
  <c r="J437" i="23"/>
  <c r="G437" i="23"/>
  <c r="F437" i="23"/>
  <c r="E437" i="23"/>
  <c r="D437" i="23"/>
  <c r="C437" i="23"/>
  <c r="G435" i="23"/>
  <c r="K433" i="23"/>
  <c r="J433" i="23"/>
  <c r="I433" i="23"/>
  <c r="H433" i="23"/>
  <c r="G433" i="23"/>
  <c r="F433" i="23"/>
  <c r="D433" i="23"/>
  <c r="E433" i="23"/>
  <c r="C433" i="23"/>
  <c r="K432" i="23"/>
  <c r="J432" i="23"/>
  <c r="G432" i="23"/>
  <c r="F432" i="23"/>
  <c r="E432" i="23"/>
  <c r="D432" i="23"/>
  <c r="C432" i="23"/>
  <c r="F428" i="23"/>
  <c r="E428" i="23"/>
  <c r="E427" i="23"/>
  <c r="D427" i="23"/>
  <c r="C427" i="23"/>
  <c r="E426" i="23"/>
  <c r="D426" i="23"/>
  <c r="C426" i="23"/>
  <c r="N408" i="23"/>
  <c r="O401" i="23"/>
  <c r="N401" i="23"/>
  <c r="O400" i="23"/>
  <c r="N400" i="23"/>
  <c r="K413" i="23"/>
  <c r="J413" i="23"/>
  <c r="I413" i="23"/>
  <c r="H413" i="23"/>
  <c r="G413" i="23"/>
  <c r="F413" i="23"/>
  <c r="D413" i="23"/>
  <c r="E413" i="23"/>
  <c r="C413" i="23"/>
  <c r="K412" i="23"/>
  <c r="J412" i="23"/>
  <c r="G412" i="23"/>
  <c r="F412" i="23"/>
  <c r="E412" i="23"/>
  <c r="D412" i="23"/>
  <c r="C412" i="23"/>
  <c r="G410" i="23"/>
  <c r="K408" i="23"/>
  <c r="J408" i="23"/>
  <c r="I408" i="23"/>
  <c r="H408" i="23"/>
  <c r="G408" i="23"/>
  <c r="F408" i="23"/>
  <c r="D408" i="23"/>
  <c r="E408" i="23"/>
  <c r="C408" i="23"/>
  <c r="K407" i="23"/>
  <c r="J407" i="23"/>
  <c r="G407" i="23"/>
  <c r="F407" i="23"/>
  <c r="E407" i="23"/>
  <c r="D407" i="23"/>
  <c r="C407" i="23"/>
  <c r="F403" i="23"/>
  <c r="E403" i="23"/>
  <c r="E402" i="23"/>
  <c r="D402" i="23"/>
  <c r="C402" i="23"/>
  <c r="E401" i="23"/>
  <c r="D401" i="23"/>
  <c r="C401" i="23"/>
  <c r="N384" i="23"/>
  <c r="O377" i="23"/>
  <c r="N377" i="23"/>
  <c r="O376" i="23"/>
  <c r="N376" i="23"/>
  <c r="K389" i="23"/>
  <c r="J389" i="23"/>
  <c r="I389" i="23"/>
  <c r="H389" i="23"/>
  <c r="G389" i="23"/>
  <c r="F389" i="23"/>
  <c r="D389" i="23"/>
  <c r="E389" i="23"/>
  <c r="C389" i="23"/>
  <c r="K388" i="23"/>
  <c r="J388" i="23"/>
  <c r="G388" i="23"/>
  <c r="F388" i="23"/>
  <c r="E388" i="23"/>
  <c r="D388" i="23"/>
  <c r="C388" i="23"/>
  <c r="G386" i="23"/>
  <c r="K384" i="23"/>
  <c r="J384" i="23"/>
  <c r="I384" i="23"/>
  <c r="H384" i="23"/>
  <c r="G384" i="23"/>
  <c r="F384" i="23"/>
  <c r="D384" i="23"/>
  <c r="E384" i="23"/>
  <c r="C384" i="23"/>
  <c r="K383" i="23"/>
  <c r="J383" i="23"/>
  <c r="G383" i="23"/>
  <c r="F383" i="23"/>
  <c r="E383" i="23"/>
  <c r="D383" i="23"/>
  <c r="C383" i="23"/>
  <c r="F379" i="23"/>
  <c r="E379" i="23"/>
  <c r="E378" i="23"/>
  <c r="D378" i="23"/>
  <c r="C378" i="23"/>
  <c r="E377" i="23"/>
  <c r="D377" i="23"/>
  <c r="C377" i="23"/>
  <c r="N356" i="23"/>
  <c r="O349" i="23"/>
  <c r="N349" i="23"/>
  <c r="O348" i="23"/>
  <c r="N348" i="23"/>
  <c r="K361" i="23"/>
  <c r="J361" i="23"/>
  <c r="I361" i="23"/>
  <c r="H361" i="23"/>
  <c r="G361" i="23"/>
  <c r="F361" i="23"/>
  <c r="D361" i="23"/>
  <c r="E361" i="23"/>
  <c r="C361" i="23"/>
  <c r="K360" i="23"/>
  <c r="J360" i="23"/>
  <c r="G360" i="23"/>
  <c r="F360" i="23"/>
  <c r="E360" i="23"/>
  <c r="D360" i="23"/>
  <c r="C360" i="23"/>
  <c r="G358" i="23"/>
  <c r="K356" i="23"/>
  <c r="J356" i="23"/>
  <c r="I356" i="23"/>
  <c r="H356" i="23"/>
  <c r="G356" i="23"/>
  <c r="F356" i="23"/>
  <c r="D356" i="23"/>
  <c r="E356" i="23"/>
  <c r="C356" i="23"/>
  <c r="K355" i="23"/>
  <c r="J355" i="23"/>
  <c r="G355" i="23"/>
  <c r="F355" i="23"/>
  <c r="E355" i="23"/>
  <c r="D355" i="23"/>
  <c r="C355" i="23"/>
  <c r="F351" i="23"/>
  <c r="E351" i="23"/>
  <c r="E350" i="23"/>
  <c r="D350" i="23"/>
  <c r="C350" i="23"/>
  <c r="E349" i="23"/>
  <c r="D349" i="23"/>
  <c r="C349" i="23"/>
  <c r="N328" i="23"/>
  <c r="O321" i="23"/>
  <c r="N321" i="23"/>
  <c r="O320" i="23"/>
  <c r="N320" i="23"/>
  <c r="K333" i="23"/>
  <c r="J333" i="23"/>
  <c r="I333" i="23"/>
  <c r="H333" i="23"/>
  <c r="G333" i="23"/>
  <c r="F333" i="23"/>
  <c r="D333" i="23"/>
  <c r="E333" i="23"/>
  <c r="C333" i="23"/>
  <c r="K332" i="23"/>
  <c r="J332" i="23"/>
  <c r="G332" i="23"/>
  <c r="F332" i="23"/>
  <c r="E332" i="23"/>
  <c r="D332" i="23"/>
  <c r="C332" i="23"/>
  <c r="G330" i="23"/>
  <c r="K328" i="23"/>
  <c r="J328" i="23"/>
  <c r="I328" i="23"/>
  <c r="H328" i="23"/>
  <c r="G328" i="23"/>
  <c r="F328" i="23"/>
  <c r="D328" i="23"/>
  <c r="E328" i="23"/>
  <c r="C328" i="23"/>
  <c r="K327" i="23"/>
  <c r="J327" i="23"/>
  <c r="G327" i="23"/>
  <c r="F327" i="23"/>
  <c r="E327" i="23"/>
  <c r="D327" i="23"/>
  <c r="C327" i="23"/>
  <c r="F323" i="23"/>
  <c r="E323" i="23"/>
  <c r="E322" i="23"/>
  <c r="D322" i="23"/>
  <c r="C322" i="23"/>
  <c r="E321" i="23"/>
  <c r="D321" i="23"/>
  <c r="C321" i="23"/>
  <c r="N303" i="23"/>
  <c r="O296" i="23"/>
  <c r="N296" i="23"/>
  <c r="O295" i="23"/>
  <c r="N295" i="23"/>
  <c r="K308" i="23"/>
  <c r="J308" i="23"/>
  <c r="I308" i="23"/>
  <c r="H308" i="23"/>
  <c r="G308" i="23"/>
  <c r="F308" i="23"/>
  <c r="D308" i="23"/>
  <c r="E308" i="23"/>
  <c r="C308" i="23"/>
  <c r="K307" i="23"/>
  <c r="J307" i="23"/>
  <c r="G307" i="23"/>
  <c r="F307" i="23"/>
  <c r="E307" i="23"/>
  <c r="D307" i="23"/>
  <c r="C307" i="23"/>
  <c r="G305" i="23"/>
  <c r="K303" i="23"/>
  <c r="J303" i="23"/>
  <c r="I303" i="23"/>
  <c r="H303" i="23"/>
  <c r="G303" i="23"/>
  <c r="F303" i="23"/>
  <c r="D303" i="23"/>
  <c r="E303" i="23"/>
  <c r="C303" i="23"/>
  <c r="K302" i="23"/>
  <c r="J302" i="23"/>
  <c r="G302" i="23"/>
  <c r="F302" i="23"/>
  <c r="E302" i="23"/>
  <c r="D302" i="23"/>
  <c r="C302" i="23"/>
  <c r="F298" i="23"/>
  <c r="E298" i="23"/>
  <c r="E297" i="23"/>
  <c r="D297" i="23"/>
  <c r="C297" i="23"/>
  <c r="E296" i="23"/>
  <c r="D296" i="23"/>
  <c r="C296" i="23"/>
  <c r="N275" i="23"/>
  <c r="O268" i="23"/>
  <c r="N268" i="23"/>
  <c r="O267" i="23"/>
  <c r="N267" i="23"/>
  <c r="K280" i="23"/>
  <c r="J280" i="23"/>
  <c r="I280" i="23"/>
  <c r="H280" i="23"/>
  <c r="G280" i="23"/>
  <c r="F280" i="23"/>
  <c r="D280" i="23"/>
  <c r="E280" i="23"/>
  <c r="C280" i="23"/>
  <c r="K279" i="23"/>
  <c r="J279" i="23"/>
  <c r="G279" i="23"/>
  <c r="F279" i="23"/>
  <c r="E279" i="23"/>
  <c r="D279" i="23"/>
  <c r="C279" i="23"/>
  <c r="G277" i="23"/>
  <c r="K275" i="23"/>
  <c r="J275" i="23"/>
  <c r="I275" i="23"/>
  <c r="H275" i="23"/>
  <c r="G275" i="23"/>
  <c r="F275" i="23"/>
  <c r="D275" i="23"/>
  <c r="E275" i="23"/>
  <c r="C275" i="23"/>
  <c r="K274" i="23"/>
  <c r="J274" i="23"/>
  <c r="G274" i="23"/>
  <c r="F274" i="23"/>
  <c r="E274" i="23"/>
  <c r="D274" i="23"/>
  <c r="C274" i="23"/>
  <c r="F270" i="23"/>
  <c r="E270" i="23"/>
  <c r="E269" i="23"/>
  <c r="D269" i="23"/>
  <c r="C269" i="23"/>
  <c r="E268" i="23"/>
  <c r="D268" i="23"/>
  <c r="C268" i="23"/>
  <c r="M223" i="22"/>
  <c r="N216" i="22"/>
  <c r="M216" i="22"/>
  <c r="N215" i="22"/>
  <c r="M215" i="22"/>
  <c r="J228" i="22"/>
  <c r="I228" i="22"/>
  <c r="H228" i="22"/>
  <c r="G228" i="22"/>
  <c r="F228" i="22"/>
  <c r="E228" i="22"/>
  <c r="C228" i="22"/>
  <c r="D228" i="22"/>
  <c r="B228" i="22"/>
  <c r="J227" i="22"/>
  <c r="I227" i="22"/>
  <c r="F227" i="22"/>
  <c r="E227" i="22"/>
  <c r="D227" i="22"/>
  <c r="C227" i="22"/>
  <c r="B227" i="22"/>
  <c r="F225" i="22"/>
  <c r="J223" i="22"/>
  <c r="I223" i="22"/>
  <c r="H223" i="22"/>
  <c r="G223" i="22"/>
  <c r="F223" i="22"/>
  <c r="E223" i="22"/>
  <c r="C223" i="22"/>
  <c r="D223" i="22"/>
  <c r="B223" i="22"/>
  <c r="J222" i="22"/>
  <c r="I222" i="22"/>
  <c r="F222" i="22"/>
  <c r="E222" i="22"/>
  <c r="D222" i="22"/>
  <c r="C222" i="22"/>
  <c r="B222" i="22"/>
  <c r="E218" i="22"/>
  <c r="D218" i="22"/>
  <c r="D217" i="22"/>
  <c r="C217" i="22"/>
  <c r="B217" i="22"/>
  <c r="D216" i="22"/>
  <c r="C216" i="22"/>
  <c r="B216" i="22"/>
  <c r="M199" i="22"/>
  <c r="N192" i="22"/>
  <c r="M192" i="22"/>
  <c r="N191" i="22"/>
  <c r="M191" i="22"/>
  <c r="J204" i="22"/>
  <c r="I204" i="22"/>
  <c r="H204" i="22"/>
  <c r="G204" i="22"/>
  <c r="F204" i="22"/>
  <c r="E204" i="22"/>
  <c r="C204" i="22"/>
  <c r="D204" i="22"/>
  <c r="B204" i="22"/>
  <c r="J203" i="22"/>
  <c r="I203" i="22"/>
  <c r="F203" i="22"/>
  <c r="E203" i="22"/>
  <c r="D203" i="22"/>
  <c r="C203" i="22"/>
  <c r="B203" i="22"/>
  <c r="F201" i="22"/>
  <c r="J199" i="22"/>
  <c r="I199" i="22"/>
  <c r="H199" i="22"/>
  <c r="G199" i="22"/>
  <c r="F199" i="22"/>
  <c r="E199" i="22"/>
  <c r="C199" i="22"/>
  <c r="D199" i="22"/>
  <c r="B199" i="22"/>
  <c r="J198" i="22"/>
  <c r="I198" i="22"/>
  <c r="F198" i="22"/>
  <c r="E198" i="22"/>
  <c r="D198" i="22"/>
  <c r="C198" i="22"/>
  <c r="B198" i="22"/>
  <c r="E194" i="22"/>
  <c r="D194" i="22"/>
  <c r="D193" i="22"/>
  <c r="C193" i="22"/>
  <c r="B193" i="22"/>
  <c r="D192" i="22"/>
  <c r="C192" i="22"/>
  <c r="B192" i="22"/>
  <c r="M175" i="22"/>
  <c r="N168" i="22"/>
  <c r="M168" i="22"/>
  <c r="N167" i="22"/>
  <c r="M167" i="22"/>
  <c r="J180" i="22"/>
  <c r="I180" i="22"/>
  <c r="H180" i="22"/>
  <c r="G180" i="22"/>
  <c r="F180" i="22"/>
  <c r="E180" i="22"/>
  <c r="C180" i="22"/>
  <c r="D180" i="22"/>
  <c r="B180" i="22"/>
  <c r="J179" i="22"/>
  <c r="I179" i="22"/>
  <c r="F179" i="22"/>
  <c r="E179" i="22"/>
  <c r="D179" i="22"/>
  <c r="C179" i="22"/>
  <c r="B179" i="22"/>
  <c r="F177" i="22"/>
  <c r="J175" i="22"/>
  <c r="I175" i="22"/>
  <c r="H175" i="22"/>
  <c r="G175" i="22"/>
  <c r="F175" i="22"/>
  <c r="E175" i="22"/>
  <c r="C175" i="22"/>
  <c r="D175" i="22"/>
  <c r="B175" i="22"/>
  <c r="J174" i="22"/>
  <c r="I174" i="22"/>
  <c r="F174" i="22"/>
  <c r="E174" i="22"/>
  <c r="D174" i="22"/>
  <c r="C174" i="22"/>
  <c r="B174" i="22"/>
  <c r="E170" i="22"/>
  <c r="D170" i="22"/>
  <c r="D169" i="22"/>
  <c r="C169" i="22"/>
  <c r="B169" i="22"/>
  <c r="D168" i="22"/>
  <c r="C168" i="22"/>
  <c r="B168" i="22"/>
  <c r="M150" i="22"/>
  <c r="N143" i="22"/>
  <c r="M143" i="22"/>
  <c r="N142" i="22"/>
  <c r="M142" i="22"/>
  <c r="J155" i="22"/>
  <c r="I155" i="22"/>
  <c r="H155" i="22"/>
  <c r="G155" i="22"/>
  <c r="F155" i="22"/>
  <c r="E155" i="22"/>
  <c r="C155" i="22"/>
  <c r="D155" i="22"/>
  <c r="B155" i="22"/>
  <c r="J154" i="22"/>
  <c r="I154" i="22"/>
  <c r="F154" i="22"/>
  <c r="E154" i="22"/>
  <c r="D154" i="22"/>
  <c r="C154" i="22"/>
  <c r="B154" i="22"/>
  <c r="F152" i="22"/>
  <c r="J150" i="22"/>
  <c r="I150" i="22"/>
  <c r="H150" i="22"/>
  <c r="G150" i="22"/>
  <c r="F150" i="22"/>
  <c r="E150" i="22"/>
  <c r="C150" i="22"/>
  <c r="D150" i="22"/>
  <c r="B150" i="22"/>
  <c r="J149" i="22"/>
  <c r="I149" i="22"/>
  <c r="F149" i="22"/>
  <c r="E149" i="22"/>
  <c r="D149" i="22"/>
  <c r="C149" i="22"/>
  <c r="B149" i="22"/>
  <c r="E145" i="22"/>
  <c r="D145" i="22"/>
  <c r="D144" i="22"/>
  <c r="C144" i="22"/>
  <c r="B144" i="22"/>
  <c r="D143" i="22"/>
  <c r="C143" i="22"/>
  <c r="B143" i="22"/>
  <c r="M126" i="22"/>
  <c r="N119" i="22"/>
  <c r="M119" i="22"/>
  <c r="N118" i="22"/>
  <c r="M118" i="22"/>
  <c r="J131" i="22"/>
  <c r="I131" i="22"/>
  <c r="H131" i="22"/>
  <c r="G131" i="22"/>
  <c r="F131" i="22"/>
  <c r="E131" i="22"/>
  <c r="C131" i="22"/>
  <c r="D131" i="22"/>
  <c r="B131" i="22"/>
  <c r="J130" i="22"/>
  <c r="I130" i="22"/>
  <c r="F130" i="22"/>
  <c r="E130" i="22"/>
  <c r="D130" i="22"/>
  <c r="C130" i="22"/>
  <c r="B130" i="22"/>
  <c r="F128" i="22"/>
  <c r="J126" i="22"/>
  <c r="I126" i="22"/>
  <c r="H126" i="22"/>
  <c r="G126" i="22"/>
  <c r="F126" i="22"/>
  <c r="E126" i="22"/>
  <c r="C126" i="22"/>
  <c r="D126" i="22"/>
  <c r="B126" i="22"/>
  <c r="J125" i="22"/>
  <c r="I125" i="22"/>
  <c r="F125" i="22"/>
  <c r="E125" i="22"/>
  <c r="D125" i="22"/>
  <c r="C125" i="22"/>
  <c r="B125" i="22"/>
  <c r="E121" i="22"/>
  <c r="D121" i="22"/>
  <c r="D120" i="22"/>
  <c r="C120" i="22"/>
  <c r="B120" i="22"/>
  <c r="D119" i="22"/>
  <c r="C119" i="22"/>
  <c r="B119" i="22"/>
  <c r="M102" i="22"/>
  <c r="N95" i="22"/>
  <c r="M95" i="22"/>
  <c r="N94" i="22"/>
  <c r="M94" i="22"/>
  <c r="J107" i="22"/>
  <c r="I107" i="22"/>
  <c r="H107" i="22"/>
  <c r="G107" i="22"/>
  <c r="F107" i="22"/>
  <c r="E107" i="22"/>
  <c r="C107" i="22"/>
  <c r="D107" i="22"/>
  <c r="B107" i="22"/>
  <c r="J106" i="22"/>
  <c r="I106" i="22"/>
  <c r="F106" i="22"/>
  <c r="E106" i="22"/>
  <c r="D106" i="22"/>
  <c r="C106" i="22"/>
  <c r="B106" i="22"/>
  <c r="F104" i="22"/>
  <c r="J102" i="22"/>
  <c r="I102" i="22"/>
  <c r="H102" i="22"/>
  <c r="G102" i="22"/>
  <c r="F102" i="22"/>
  <c r="E102" i="22"/>
  <c r="C102" i="22"/>
  <c r="D102" i="22"/>
  <c r="B102" i="22"/>
  <c r="J101" i="22"/>
  <c r="I101" i="22"/>
  <c r="F101" i="22"/>
  <c r="E101" i="22"/>
  <c r="D101" i="22"/>
  <c r="C101" i="22"/>
  <c r="B101" i="22"/>
  <c r="E97" i="22"/>
  <c r="D97" i="22"/>
  <c r="D96" i="22"/>
  <c r="C96" i="22"/>
  <c r="B96" i="22"/>
  <c r="D95" i="22"/>
  <c r="C95" i="22"/>
  <c r="B95" i="22"/>
  <c r="AF259" i="32"/>
  <c r="AG252" i="32"/>
  <c r="AF252" i="32"/>
  <c r="AG251" i="32"/>
  <c r="AF251" i="32"/>
  <c r="AC264" i="32"/>
  <c r="AB264" i="32"/>
  <c r="AA264" i="32"/>
  <c r="Z264" i="32"/>
  <c r="Y264" i="32"/>
  <c r="X264" i="32"/>
  <c r="V264" i="32"/>
  <c r="W264" i="32"/>
  <c r="U264" i="32"/>
  <c r="AC263" i="32"/>
  <c r="AB263" i="32"/>
  <c r="Y263" i="32"/>
  <c r="X263" i="32"/>
  <c r="W263" i="32"/>
  <c r="V263" i="32"/>
  <c r="U263" i="32"/>
  <c r="Y261" i="32"/>
  <c r="AC259" i="32"/>
  <c r="AB259" i="32"/>
  <c r="AA259" i="32"/>
  <c r="Z259" i="32"/>
  <c r="Y259" i="32"/>
  <c r="X259" i="32"/>
  <c r="V259" i="32"/>
  <c r="W259" i="32"/>
  <c r="U259" i="32"/>
  <c r="AC258" i="32"/>
  <c r="AB258" i="32"/>
  <c r="Y258" i="32"/>
  <c r="X258" i="32"/>
  <c r="W258" i="32"/>
  <c r="V258" i="32"/>
  <c r="U258" i="32"/>
  <c r="X254" i="32"/>
  <c r="W254" i="32"/>
  <c r="W253" i="32"/>
  <c r="V253" i="32"/>
  <c r="U253" i="32"/>
  <c r="W252" i="32"/>
  <c r="V252" i="32"/>
  <c r="U252" i="32"/>
  <c r="AF233" i="32"/>
  <c r="AG226" i="32"/>
  <c r="AF226" i="32"/>
  <c r="AG225" i="32"/>
  <c r="AF225" i="32"/>
  <c r="AC238" i="32"/>
  <c r="AB238" i="32"/>
  <c r="AA238" i="32"/>
  <c r="Z238" i="32"/>
  <c r="Y238" i="32"/>
  <c r="X238" i="32"/>
  <c r="V238" i="32"/>
  <c r="W238" i="32"/>
  <c r="U238" i="32"/>
  <c r="AC237" i="32"/>
  <c r="AB237" i="32"/>
  <c r="Y237" i="32"/>
  <c r="X237" i="32"/>
  <c r="W237" i="32"/>
  <c r="V237" i="32"/>
  <c r="U237" i="32"/>
  <c r="Y235" i="32"/>
  <c r="AC233" i="32"/>
  <c r="AB233" i="32"/>
  <c r="AA233" i="32"/>
  <c r="Z233" i="32"/>
  <c r="Y233" i="32"/>
  <c r="X233" i="32"/>
  <c r="V233" i="32"/>
  <c r="W233" i="32"/>
  <c r="U233" i="32"/>
  <c r="AC232" i="32"/>
  <c r="AB232" i="32"/>
  <c r="Y232" i="32"/>
  <c r="X232" i="32"/>
  <c r="W232" i="32"/>
  <c r="V232" i="32"/>
  <c r="U232" i="32"/>
  <c r="X228" i="32"/>
  <c r="W228" i="32"/>
  <c r="W227" i="32"/>
  <c r="V227" i="32"/>
  <c r="U227" i="32"/>
  <c r="W226" i="32"/>
  <c r="V226" i="32"/>
  <c r="U226" i="32"/>
  <c r="AF206" i="32"/>
  <c r="AG199" i="32"/>
  <c r="AF199" i="32"/>
  <c r="AG198" i="32"/>
  <c r="AF198" i="32"/>
  <c r="AC211" i="32"/>
  <c r="AB211" i="32"/>
  <c r="AA211" i="32"/>
  <c r="Z211" i="32"/>
  <c r="Y211" i="32"/>
  <c r="X211" i="32"/>
  <c r="V211" i="32"/>
  <c r="W211" i="32"/>
  <c r="U211" i="32"/>
  <c r="AC210" i="32"/>
  <c r="AB210" i="32"/>
  <c r="Y210" i="32"/>
  <c r="X210" i="32"/>
  <c r="W210" i="32"/>
  <c r="V210" i="32"/>
  <c r="U210" i="32"/>
  <c r="Y208" i="32"/>
  <c r="AC206" i="32"/>
  <c r="AB206" i="32"/>
  <c r="AA206" i="32"/>
  <c r="Z206" i="32"/>
  <c r="Y206" i="32"/>
  <c r="X206" i="32"/>
  <c r="V206" i="32"/>
  <c r="W206" i="32"/>
  <c r="U206" i="32"/>
  <c r="AC205" i="32"/>
  <c r="AB205" i="32"/>
  <c r="Y205" i="32"/>
  <c r="X205" i="32"/>
  <c r="W205" i="32"/>
  <c r="V205" i="32"/>
  <c r="U205" i="32"/>
  <c r="X201" i="32"/>
  <c r="W201" i="32"/>
  <c r="W200" i="32"/>
  <c r="V200" i="32"/>
  <c r="U200" i="32"/>
  <c r="W199" i="32"/>
  <c r="V199" i="32"/>
  <c r="U199" i="32"/>
  <c r="AF180" i="32"/>
  <c r="AG173" i="32"/>
  <c r="AF173" i="32"/>
  <c r="AG172" i="32"/>
  <c r="AF172" i="32"/>
  <c r="AC185" i="32"/>
  <c r="AB185" i="32"/>
  <c r="AA185" i="32"/>
  <c r="Z185" i="32"/>
  <c r="Y185" i="32"/>
  <c r="X185" i="32"/>
  <c r="V185" i="32"/>
  <c r="W185" i="32"/>
  <c r="U185" i="32"/>
  <c r="AC184" i="32"/>
  <c r="AB184" i="32"/>
  <c r="Y184" i="32"/>
  <c r="X184" i="32"/>
  <c r="W184" i="32"/>
  <c r="V184" i="32"/>
  <c r="U184" i="32"/>
  <c r="Y182" i="32"/>
  <c r="AC180" i="32"/>
  <c r="AB180" i="32"/>
  <c r="AA180" i="32"/>
  <c r="Z180" i="32"/>
  <c r="Y180" i="32"/>
  <c r="X180" i="32"/>
  <c r="V180" i="32"/>
  <c r="W180" i="32"/>
  <c r="U180" i="32"/>
  <c r="AC179" i="32"/>
  <c r="AB179" i="32"/>
  <c r="Y179" i="32"/>
  <c r="X179" i="32"/>
  <c r="W179" i="32"/>
  <c r="V179" i="32"/>
  <c r="U179" i="32"/>
  <c r="X175" i="32"/>
  <c r="W175" i="32"/>
  <c r="W174" i="32"/>
  <c r="V174" i="32"/>
  <c r="U174" i="32"/>
  <c r="W173" i="32"/>
  <c r="V173" i="32"/>
  <c r="U173" i="32"/>
  <c r="AF151" i="32"/>
  <c r="AG144" i="32"/>
  <c r="AF144" i="32"/>
  <c r="AG143" i="32"/>
  <c r="AF143" i="32"/>
  <c r="AC156" i="32"/>
  <c r="AB156" i="32"/>
  <c r="AA156" i="32"/>
  <c r="Z156" i="32"/>
  <c r="Y156" i="32"/>
  <c r="X156" i="32"/>
  <c r="V156" i="32"/>
  <c r="W156" i="32"/>
  <c r="U156" i="32"/>
  <c r="AC155" i="32"/>
  <c r="AB155" i="32"/>
  <c r="Y155" i="32"/>
  <c r="X155" i="32"/>
  <c r="W155" i="32"/>
  <c r="V155" i="32"/>
  <c r="U155" i="32"/>
  <c r="Y153" i="32"/>
  <c r="AC151" i="32"/>
  <c r="AB151" i="32"/>
  <c r="AA151" i="32"/>
  <c r="Z151" i="32"/>
  <c r="Y151" i="32"/>
  <c r="X151" i="32"/>
  <c r="V151" i="32"/>
  <c r="W151" i="32"/>
  <c r="U151" i="32"/>
  <c r="AC150" i="32"/>
  <c r="AB150" i="32"/>
  <c r="Y150" i="32"/>
  <c r="X150" i="32"/>
  <c r="W150" i="32"/>
  <c r="V150" i="32"/>
  <c r="U150" i="32"/>
  <c r="X146" i="32"/>
  <c r="W146" i="32"/>
  <c r="W145" i="32"/>
  <c r="V145" i="32"/>
  <c r="U145" i="32"/>
  <c r="W144" i="32"/>
  <c r="V144" i="32"/>
  <c r="U144" i="32"/>
  <c r="AF124" i="32"/>
  <c r="AG117" i="32"/>
  <c r="AF117" i="32"/>
  <c r="AG116" i="32"/>
  <c r="AF116" i="32"/>
  <c r="AC129" i="32"/>
  <c r="AB129" i="32"/>
  <c r="AA129" i="32"/>
  <c r="Z129" i="32"/>
  <c r="Y129" i="32"/>
  <c r="X129" i="32"/>
  <c r="V129" i="32"/>
  <c r="W129" i="32"/>
  <c r="U129" i="32"/>
  <c r="AC128" i="32"/>
  <c r="AB128" i="32"/>
  <c r="Y128" i="32"/>
  <c r="X128" i="32"/>
  <c r="W128" i="32"/>
  <c r="V128" i="32"/>
  <c r="U128" i="32"/>
  <c r="Y126" i="32"/>
  <c r="AC124" i="32"/>
  <c r="AB124" i="32"/>
  <c r="AA124" i="32"/>
  <c r="Z124" i="32"/>
  <c r="Y124" i="32"/>
  <c r="X124" i="32"/>
  <c r="V124" i="32"/>
  <c r="W124" i="32"/>
  <c r="U124" i="32"/>
  <c r="AC123" i="32"/>
  <c r="AB123" i="32"/>
  <c r="Y123" i="32"/>
  <c r="X123" i="32"/>
  <c r="W123" i="32"/>
  <c r="V123" i="32"/>
  <c r="U123" i="32"/>
  <c r="X119" i="32"/>
  <c r="W119" i="32"/>
  <c r="W118" i="32"/>
  <c r="V118" i="32"/>
  <c r="U118" i="32"/>
  <c r="W117" i="32"/>
  <c r="V117" i="32"/>
  <c r="U117" i="32"/>
  <c r="AF97" i="32"/>
  <c r="AG90" i="32"/>
  <c r="AF90" i="32"/>
  <c r="AG89" i="32"/>
  <c r="AF89" i="32"/>
  <c r="AC102" i="32"/>
  <c r="AB102" i="32"/>
  <c r="AA102" i="32"/>
  <c r="Z102" i="32"/>
  <c r="Y102" i="32"/>
  <c r="X102" i="32"/>
  <c r="V102" i="32"/>
  <c r="W102" i="32"/>
  <c r="U102" i="32"/>
  <c r="AC101" i="32"/>
  <c r="AB101" i="32"/>
  <c r="Y101" i="32"/>
  <c r="X101" i="32"/>
  <c r="W101" i="32"/>
  <c r="V101" i="32"/>
  <c r="U101" i="32"/>
  <c r="Y99" i="32"/>
  <c r="AC97" i="32"/>
  <c r="AB97" i="32"/>
  <c r="AA97" i="32"/>
  <c r="Z97" i="32"/>
  <c r="Y97" i="32"/>
  <c r="X97" i="32"/>
  <c r="V97" i="32"/>
  <c r="W97" i="32"/>
  <c r="U97" i="32"/>
  <c r="AC96" i="32"/>
  <c r="AB96" i="32"/>
  <c r="Y96" i="32"/>
  <c r="X96" i="32"/>
  <c r="W96" i="32"/>
  <c r="V96" i="32"/>
  <c r="U96" i="32"/>
  <c r="X92" i="32"/>
  <c r="W92" i="32"/>
  <c r="W91" i="32"/>
  <c r="V91" i="32"/>
  <c r="U91" i="32"/>
  <c r="W90" i="32"/>
  <c r="V90" i="32"/>
  <c r="U90" i="32"/>
  <c r="M243" i="32"/>
  <c r="N236" i="32"/>
  <c r="M236" i="32"/>
  <c r="N235" i="32"/>
  <c r="M235" i="32"/>
  <c r="J248" i="32"/>
  <c r="I248" i="32"/>
  <c r="H248" i="32"/>
  <c r="G248" i="32"/>
  <c r="F248" i="32"/>
  <c r="E248" i="32"/>
  <c r="C248" i="32"/>
  <c r="D248" i="32"/>
  <c r="B248" i="32"/>
  <c r="J247" i="32"/>
  <c r="I247" i="32"/>
  <c r="F247" i="32"/>
  <c r="E247" i="32"/>
  <c r="D247" i="32"/>
  <c r="C247" i="32"/>
  <c r="B247" i="32"/>
  <c r="F245" i="32"/>
  <c r="J243" i="32"/>
  <c r="I243" i="32"/>
  <c r="H243" i="32"/>
  <c r="G243" i="32"/>
  <c r="F243" i="32"/>
  <c r="E243" i="32"/>
  <c r="C243" i="32"/>
  <c r="D243" i="32"/>
  <c r="B243" i="32"/>
  <c r="J242" i="32"/>
  <c r="I242" i="32"/>
  <c r="F242" i="32"/>
  <c r="E242" i="32"/>
  <c r="D242" i="32"/>
  <c r="C242" i="32"/>
  <c r="B242" i="32"/>
  <c r="E238" i="32"/>
  <c r="D238" i="32"/>
  <c r="D237" i="32"/>
  <c r="C237" i="32"/>
  <c r="B237" i="32"/>
  <c r="D236" i="32"/>
  <c r="C236" i="32"/>
  <c r="B236" i="32"/>
  <c r="M216" i="32"/>
  <c r="N209" i="32"/>
  <c r="M209" i="32"/>
  <c r="N208" i="32"/>
  <c r="M208" i="32"/>
  <c r="J221" i="32"/>
  <c r="I221" i="32"/>
  <c r="H221" i="32"/>
  <c r="G221" i="32"/>
  <c r="F221" i="32"/>
  <c r="E221" i="32"/>
  <c r="C221" i="32"/>
  <c r="D221" i="32"/>
  <c r="B221" i="32"/>
  <c r="J220" i="32"/>
  <c r="I220" i="32"/>
  <c r="F220" i="32"/>
  <c r="E220" i="32"/>
  <c r="D220" i="32"/>
  <c r="C220" i="32"/>
  <c r="B220" i="32"/>
  <c r="F218" i="32"/>
  <c r="J216" i="32"/>
  <c r="I216" i="32"/>
  <c r="H216" i="32"/>
  <c r="G216" i="32"/>
  <c r="F216" i="32"/>
  <c r="E216" i="32"/>
  <c r="C216" i="32"/>
  <c r="D216" i="32"/>
  <c r="B216" i="32"/>
  <c r="J215" i="32"/>
  <c r="I215" i="32"/>
  <c r="F215" i="32"/>
  <c r="E215" i="32"/>
  <c r="D215" i="32"/>
  <c r="C215" i="32"/>
  <c r="B215" i="32"/>
  <c r="E211" i="32"/>
  <c r="D211" i="32"/>
  <c r="D210" i="32"/>
  <c r="C210" i="32"/>
  <c r="B210" i="32"/>
  <c r="D209" i="32"/>
  <c r="C209" i="32"/>
  <c r="B209" i="32"/>
  <c r="M190" i="32"/>
  <c r="N183" i="32"/>
  <c r="M183" i="32"/>
  <c r="N182" i="32"/>
  <c r="M182" i="32"/>
  <c r="J195" i="32"/>
  <c r="I195" i="32"/>
  <c r="H195" i="32"/>
  <c r="G195" i="32"/>
  <c r="F195" i="32"/>
  <c r="E195" i="32"/>
  <c r="C195" i="32"/>
  <c r="D195" i="32"/>
  <c r="B195" i="32"/>
  <c r="J194" i="32"/>
  <c r="I194" i="32"/>
  <c r="F194" i="32"/>
  <c r="E194" i="32"/>
  <c r="D194" i="32"/>
  <c r="C194" i="32"/>
  <c r="B194" i="32"/>
  <c r="F192" i="32"/>
  <c r="J190" i="32"/>
  <c r="I190" i="32"/>
  <c r="H190" i="32"/>
  <c r="G190" i="32"/>
  <c r="F190" i="32"/>
  <c r="E190" i="32"/>
  <c r="C190" i="32"/>
  <c r="D190" i="32"/>
  <c r="B190" i="32"/>
  <c r="J189" i="32"/>
  <c r="I189" i="32"/>
  <c r="F189" i="32"/>
  <c r="E189" i="32"/>
  <c r="D189" i="32"/>
  <c r="C189" i="32"/>
  <c r="B189" i="32"/>
  <c r="E185" i="32"/>
  <c r="D185" i="32"/>
  <c r="D184" i="32"/>
  <c r="C184" i="32"/>
  <c r="B184" i="32"/>
  <c r="D183" i="32"/>
  <c r="C183" i="32"/>
  <c r="B183" i="32"/>
  <c r="M163" i="32"/>
  <c r="N156" i="32"/>
  <c r="M156" i="32"/>
  <c r="N155" i="32"/>
  <c r="M155" i="32"/>
  <c r="J168" i="32"/>
  <c r="I168" i="32"/>
  <c r="H168" i="32"/>
  <c r="G168" i="32"/>
  <c r="F168" i="32"/>
  <c r="E168" i="32"/>
  <c r="C168" i="32"/>
  <c r="D168" i="32"/>
  <c r="B168" i="32"/>
  <c r="J167" i="32"/>
  <c r="I167" i="32"/>
  <c r="F167" i="32"/>
  <c r="E167" i="32"/>
  <c r="D167" i="32"/>
  <c r="C167" i="32"/>
  <c r="B167" i="32"/>
  <c r="F165" i="32"/>
  <c r="J163" i="32"/>
  <c r="I163" i="32"/>
  <c r="H163" i="32"/>
  <c r="G163" i="32"/>
  <c r="F163" i="32"/>
  <c r="E163" i="32"/>
  <c r="C163" i="32"/>
  <c r="D163" i="32"/>
  <c r="B163" i="32"/>
  <c r="J162" i="32"/>
  <c r="I162" i="32"/>
  <c r="F162" i="32"/>
  <c r="E162" i="32"/>
  <c r="D162" i="32"/>
  <c r="C162" i="32"/>
  <c r="B162" i="32"/>
  <c r="E158" i="32"/>
  <c r="D158" i="32"/>
  <c r="D157" i="32"/>
  <c r="C157" i="32"/>
  <c r="B157" i="32"/>
  <c r="D156" i="32"/>
  <c r="C156" i="32"/>
  <c r="B156" i="32"/>
  <c r="M134" i="32"/>
  <c r="N127" i="32"/>
  <c r="M127" i="32"/>
  <c r="N126" i="32"/>
  <c r="M126" i="32"/>
  <c r="J139" i="32"/>
  <c r="I139" i="32"/>
  <c r="H139" i="32"/>
  <c r="G139" i="32"/>
  <c r="F139" i="32"/>
  <c r="E139" i="32"/>
  <c r="C139" i="32"/>
  <c r="D139" i="32"/>
  <c r="B139" i="32"/>
  <c r="J138" i="32"/>
  <c r="I138" i="32"/>
  <c r="F138" i="32"/>
  <c r="E138" i="32"/>
  <c r="D138" i="32"/>
  <c r="C138" i="32"/>
  <c r="B138" i="32"/>
  <c r="F136" i="32"/>
  <c r="J134" i="32"/>
  <c r="I134" i="32"/>
  <c r="H134" i="32"/>
  <c r="G134" i="32"/>
  <c r="F134" i="32"/>
  <c r="E134" i="32"/>
  <c r="C134" i="32"/>
  <c r="D134" i="32"/>
  <c r="B134" i="32"/>
  <c r="J133" i="32"/>
  <c r="I133" i="32"/>
  <c r="F133" i="32"/>
  <c r="E133" i="32"/>
  <c r="D133" i="32"/>
  <c r="C133" i="32"/>
  <c r="B133" i="32"/>
  <c r="E129" i="32"/>
  <c r="D129" i="32"/>
  <c r="D128" i="32"/>
  <c r="C128" i="32"/>
  <c r="B128" i="32"/>
  <c r="D127" i="32"/>
  <c r="C127" i="32"/>
  <c r="B127" i="32"/>
  <c r="M107" i="32"/>
  <c r="N100" i="32"/>
  <c r="M100" i="32"/>
  <c r="N99" i="32"/>
  <c r="M99" i="32"/>
  <c r="J112" i="32"/>
  <c r="I112" i="32"/>
  <c r="H112" i="32"/>
  <c r="G112" i="32"/>
  <c r="F112" i="32"/>
  <c r="E112" i="32"/>
  <c r="C112" i="32"/>
  <c r="D112" i="32"/>
  <c r="B112" i="32"/>
  <c r="J111" i="32"/>
  <c r="I111" i="32"/>
  <c r="F111" i="32"/>
  <c r="E111" i="32"/>
  <c r="D111" i="32"/>
  <c r="C111" i="32"/>
  <c r="B111" i="32"/>
  <c r="F109" i="32"/>
  <c r="J107" i="32"/>
  <c r="I107" i="32"/>
  <c r="H107" i="32"/>
  <c r="G107" i="32"/>
  <c r="F107" i="32"/>
  <c r="E107" i="32"/>
  <c r="C107" i="32"/>
  <c r="D107" i="32"/>
  <c r="B107" i="32"/>
  <c r="J106" i="32"/>
  <c r="I106" i="32"/>
  <c r="F106" i="32"/>
  <c r="E106" i="32"/>
  <c r="D106" i="32"/>
  <c r="C106" i="32"/>
  <c r="B106" i="32"/>
  <c r="E102" i="32"/>
  <c r="D102" i="32"/>
  <c r="D101" i="32"/>
  <c r="C101" i="32"/>
  <c r="B101" i="32"/>
  <c r="D100" i="32"/>
  <c r="C100" i="32"/>
  <c r="B100" i="32"/>
  <c r="N92" i="32"/>
  <c r="M92" i="32"/>
  <c r="N84" i="32"/>
  <c r="M84" i="32"/>
  <c r="M80" i="32"/>
  <c r="N75" i="32"/>
  <c r="M75" i="32"/>
  <c r="M79" i="32" s="1"/>
  <c r="N73" i="32"/>
  <c r="M73" i="32"/>
  <c r="N72" i="32"/>
  <c r="M72" i="32"/>
  <c r="J85" i="32"/>
  <c r="I85" i="32"/>
  <c r="H85" i="32"/>
  <c r="G85" i="32"/>
  <c r="F85" i="32"/>
  <c r="E85" i="32"/>
  <c r="C85" i="32"/>
  <c r="D85" i="32"/>
  <c r="B85" i="32"/>
  <c r="J84" i="32"/>
  <c r="I84" i="32"/>
  <c r="F84" i="32"/>
  <c r="E84" i="32"/>
  <c r="D84" i="32"/>
  <c r="C84" i="32"/>
  <c r="B84" i="32"/>
  <c r="F82" i="32"/>
  <c r="J80" i="32"/>
  <c r="I80" i="32"/>
  <c r="H80" i="32"/>
  <c r="G80" i="32"/>
  <c r="F80" i="32"/>
  <c r="E80" i="32"/>
  <c r="C80" i="32"/>
  <c r="D80" i="32"/>
  <c r="B80" i="32"/>
  <c r="J79" i="32"/>
  <c r="I79" i="32"/>
  <c r="F79" i="32"/>
  <c r="E79" i="32"/>
  <c r="D79" i="32"/>
  <c r="C79" i="32"/>
  <c r="B79" i="32"/>
  <c r="E75" i="32"/>
  <c r="D75" i="32"/>
  <c r="D74" i="32"/>
  <c r="C74" i="32"/>
  <c r="B74" i="32"/>
  <c r="D73" i="32"/>
  <c r="C73" i="32"/>
  <c r="B73" i="32"/>
  <c r="M407" i="31"/>
  <c r="N400" i="31"/>
  <c r="M400" i="31"/>
  <c r="N399" i="31"/>
  <c r="M399" i="31"/>
  <c r="J412" i="31"/>
  <c r="I412" i="31"/>
  <c r="H412" i="31"/>
  <c r="G412" i="31"/>
  <c r="F412" i="31"/>
  <c r="E412" i="31"/>
  <c r="C412" i="31"/>
  <c r="D412" i="31"/>
  <c r="B412" i="31"/>
  <c r="J411" i="31"/>
  <c r="I411" i="31"/>
  <c r="F411" i="31"/>
  <c r="E411" i="31"/>
  <c r="D411" i="31"/>
  <c r="C411" i="31"/>
  <c r="B411" i="31"/>
  <c r="F409" i="31"/>
  <c r="J407" i="31"/>
  <c r="I407" i="31"/>
  <c r="H407" i="31"/>
  <c r="G407" i="31"/>
  <c r="F407" i="31"/>
  <c r="E407" i="31"/>
  <c r="C407" i="31"/>
  <c r="D407" i="31"/>
  <c r="B407" i="31"/>
  <c r="J406" i="31"/>
  <c r="I406" i="31"/>
  <c r="F406" i="31"/>
  <c r="E406" i="31"/>
  <c r="D406" i="31"/>
  <c r="C406" i="31"/>
  <c r="B406" i="31"/>
  <c r="E402" i="31"/>
  <c r="D402" i="31"/>
  <c r="D401" i="31"/>
  <c r="C401" i="31"/>
  <c r="B401" i="31"/>
  <c r="D400" i="31"/>
  <c r="C400" i="31"/>
  <c r="B400" i="31"/>
  <c r="M379" i="31"/>
  <c r="N372" i="31"/>
  <c r="M372" i="31"/>
  <c r="N371" i="31"/>
  <c r="M371" i="31"/>
  <c r="J384" i="31"/>
  <c r="I384" i="31"/>
  <c r="H384" i="31"/>
  <c r="G384" i="31"/>
  <c r="F384" i="31"/>
  <c r="E384" i="31"/>
  <c r="C384" i="31"/>
  <c r="D384" i="31"/>
  <c r="B384" i="31"/>
  <c r="J383" i="31"/>
  <c r="I383" i="31"/>
  <c r="F383" i="31"/>
  <c r="E383" i="31"/>
  <c r="D383" i="31"/>
  <c r="C383" i="31"/>
  <c r="B383" i="31"/>
  <c r="F381" i="31"/>
  <c r="J379" i="31"/>
  <c r="I379" i="31"/>
  <c r="H379" i="31"/>
  <c r="G379" i="31"/>
  <c r="F379" i="31"/>
  <c r="E379" i="31"/>
  <c r="C379" i="31"/>
  <c r="D379" i="31"/>
  <c r="B379" i="31"/>
  <c r="J378" i="31"/>
  <c r="I378" i="31"/>
  <c r="F378" i="31"/>
  <c r="E378" i="31"/>
  <c r="D378" i="31"/>
  <c r="C378" i="31"/>
  <c r="B378" i="31"/>
  <c r="E374" i="31"/>
  <c r="D374" i="31"/>
  <c r="D373" i="31"/>
  <c r="C373" i="31"/>
  <c r="B373" i="31"/>
  <c r="D372" i="31"/>
  <c r="C372" i="31"/>
  <c r="B372" i="31"/>
  <c r="M352" i="31"/>
  <c r="N345" i="31"/>
  <c r="M345" i="31"/>
  <c r="N344" i="31"/>
  <c r="M344" i="31"/>
  <c r="N343" i="31"/>
  <c r="M343" i="31"/>
  <c r="J357" i="31"/>
  <c r="I357" i="31"/>
  <c r="H357" i="31"/>
  <c r="G357" i="31"/>
  <c r="F357" i="31"/>
  <c r="E357" i="31"/>
  <c r="C357" i="31"/>
  <c r="D357" i="31"/>
  <c r="B357" i="31"/>
  <c r="J356" i="31"/>
  <c r="I356" i="31"/>
  <c r="F356" i="31"/>
  <c r="E356" i="31"/>
  <c r="D356" i="31"/>
  <c r="C356" i="31"/>
  <c r="B356" i="31"/>
  <c r="F354" i="31"/>
  <c r="J352" i="31"/>
  <c r="I352" i="31"/>
  <c r="H352" i="31"/>
  <c r="G352" i="31"/>
  <c r="F352" i="31"/>
  <c r="E352" i="31"/>
  <c r="C352" i="31"/>
  <c r="D352" i="31"/>
  <c r="B352" i="31"/>
  <c r="J351" i="31"/>
  <c r="I351" i="31"/>
  <c r="F351" i="31"/>
  <c r="E351" i="31"/>
  <c r="D351" i="31"/>
  <c r="C351" i="31"/>
  <c r="B351" i="31"/>
  <c r="E347" i="31"/>
  <c r="D347" i="31"/>
  <c r="D346" i="31"/>
  <c r="C346" i="31"/>
  <c r="B346" i="31"/>
  <c r="D345" i="31"/>
  <c r="C345" i="31"/>
  <c r="B345" i="31"/>
  <c r="A346" i="31"/>
  <c r="A345" i="31"/>
  <c r="M323" i="31"/>
  <c r="N316" i="31"/>
  <c r="M316" i="31"/>
  <c r="N315" i="31"/>
  <c r="M315" i="31"/>
  <c r="N314" i="31"/>
  <c r="M314" i="31"/>
  <c r="J328" i="31"/>
  <c r="I328" i="31"/>
  <c r="H328" i="31"/>
  <c r="G328" i="31"/>
  <c r="F328" i="31"/>
  <c r="E328" i="31"/>
  <c r="C328" i="31"/>
  <c r="D328" i="31"/>
  <c r="B328" i="31"/>
  <c r="J327" i="31"/>
  <c r="I327" i="31"/>
  <c r="F327" i="31"/>
  <c r="E327" i="31"/>
  <c r="D327" i="31"/>
  <c r="C327" i="31"/>
  <c r="B327" i="31"/>
  <c r="F325" i="31"/>
  <c r="J323" i="31"/>
  <c r="I323" i="31"/>
  <c r="H323" i="31"/>
  <c r="G323" i="31"/>
  <c r="F323" i="31"/>
  <c r="E323" i="31"/>
  <c r="C323" i="31"/>
  <c r="D323" i="31"/>
  <c r="B323" i="31"/>
  <c r="J322" i="31"/>
  <c r="I322" i="31"/>
  <c r="F322" i="31"/>
  <c r="E322" i="31"/>
  <c r="D322" i="31"/>
  <c r="C322" i="31"/>
  <c r="B322" i="31"/>
  <c r="E318" i="31"/>
  <c r="D318" i="31"/>
  <c r="D317" i="31"/>
  <c r="C317" i="31"/>
  <c r="B317" i="31"/>
  <c r="D316" i="31"/>
  <c r="C316" i="31"/>
  <c r="B316" i="31"/>
  <c r="A317" i="31"/>
  <c r="A316" i="31"/>
  <c r="M295" i="31"/>
  <c r="N288" i="31"/>
  <c r="M288" i="31"/>
  <c r="N287" i="31"/>
  <c r="M287" i="31"/>
  <c r="J300" i="31"/>
  <c r="I300" i="31"/>
  <c r="H300" i="31"/>
  <c r="G300" i="31"/>
  <c r="F300" i="31"/>
  <c r="E300" i="31"/>
  <c r="C300" i="31"/>
  <c r="D300" i="31"/>
  <c r="B300" i="31"/>
  <c r="J299" i="31"/>
  <c r="I299" i="31"/>
  <c r="F299" i="31"/>
  <c r="E299" i="31"/>
  <c r="D299" i="31"/>
  <c r="C299" i="31"/>
  <c r="B299" i="31"/>
  <c r="F297" i="31"/>
  <c r="J295" i="31"/>
  <c r="I295" i="31"/>
  <c r="H295" i="31"/>
  <c r="G295" i="31"/>
  <c r="F295" i="31"/>
  <c r="E295" i="31"/>
  <c r="C295" i="31"/>
  <c r="D295" i="31"/>
  <c r="B295" i="31"/>
  <c r="J294" i="31"/>
  <c r="I294" i="31"/>
  <c r="F294" i="31"/>
  <c r="E294" i="31"/>
  <c r="D294" i="31"/>
  <c r="C294" i="31"/>
  <c r="B294" i="31"/>
  <c r="E290" i="31"/>
  <c r="D290" i="31"/>
  <c r="D289" i="31"/>
  <c r="C289" i="31"/>
  <c r="B289" i="31"/>
  <c r="D288" i="31"/>
  <c r="C288" i="31"/>
  <c r="B288" i="31"/>
  <c r="M268" i="31"/>
  <c r="N261" i="31"/>
  <c r="M261" i="31"/>
  <c r="N260" i="31"/>
  <c r="M260" i="31"/>
  <c r="J273" i="31"/>
  <c r="I273" i="31"/>
  <c r="H273" i="31"/>
  <c r="G273" i="31"/>
  <c r="F273" i="31"/>
  <c r="E273" i="31"/>
  <c r="C273" i="31"/>
  <c r="D273" i="31"/>
  <c r="B273" i="31"/>
  <c r="J272" i="31"/>
  <c r="I272" i="31"/>
  <c r="F272" i="31"/>
  <c r="E272" i="31"/>
  <c r="D272" i="31"/>
  <c r="C272" i="31"/>
  <c r="B272" i="31"/>
  <c r="F270" i="31"/>
  <c r="J268" i="31"/>
  <c r="I268" i="31"/>
  <c r="H268" i="31"/>
  <c r="G268" i="31"/>
  <c r="F268" i="31"/>
  <c r="E268" i="31"/>
  <c r="C268" i="31"/>
  <c r="D268" i="31"/>
  <c r="B268" i="31"/>
  <c r="J267" i="31"/>
  <c r="I267" i="31"/>
  <c r="F267" i="31"/>
  <c r="E267" i="31"/>
  <c r="D267" i="31"/>
  <c r="C267" i="31"/>
  <c r="B267" i="31"/>
  <c r="E263" i="31"/>
  <c r="D263" i="31"/>
  <c r="D262" i="31"/>
  <c r="C262" i="31"/>
  <c r="B262" i="31"/>
  <c r="D261" i="31"/>
  <c r="C261" i="31"/>
  <c r="B261" i="31"/>
  <c r="M241" i="31"/>
  <c r="N234" i="31"/>
  <c r="M234" i="31"/>
  <c r="N233" i="31"/>
  <c r="M233" i="31"/>
  <c r="J246" i="31"/>
  <c r="I246" i="31"/>
  <c r="H246" i="31"/>
  <c r="G246" i="31"/>
  <c r="F246" i="31"/>
  <c r="E246" i="31"/>
  <c r="C246" i="31"/>
  <c r="D246" i="31"/>
  <c r="B246" i="31"/>
  <c r="J245" i="31"/>
  <c r="I245" i="31"/>
  <c r="F245" i="31"/>
  <c r="E245" i="31"/>
  <c r="D245" i="31"/>
  <c r="C245" i="31"/>
  <c r="B245" i="31"/>
  <c r="F243" i="31"/>
  <c r="J241" i="31"/>
  <c r="I241" i="31"/>
  <c r="H241" i="31"/>
  <c r="G241" i="31"/>
  <c r="F241" i="31"/>
  <c r="E241" i="31"/>
  <c r="C241" i="31"/>
  <c r="D241" i="31"/>
  <c r="B241" i="31"/>
  <c r="J240" i="31"/>
  <c r="I240" i="31"/>
  <c r="F240" i="31"/>
  <c r="E240" i="31"/>
  <c r="D240" i="31"/>
  <c r="C240" i="31"/>
  <c r="B240" i="31"/>
  <c r="E236" i="31"/>
  <c r="D236" i="31"/>
  <c r="D235" i="31"/>
  <c r="C235" i="31"/>
  <c r="B235" i="31"/>
  <c r="D234" i="31"/>
  <c r="C234" i="31"/>
  <c r="B234" i="31"/>
  <c r="M221" i="31"/>
  <c r="N214" i="31"/>
  <c r="M214" i="31"/>
  <c r="N213" i="31"/>
  <c r="M213" i="31"/>
  <c r="J226" i="31"/>
  <c r="I226" i="31"/>
  <c r="H226" i="31"/>
  <c r="G226" i="31"/>
  <c r="F226" i="31"/>
  <c r="E226" i="31"/>
  <c r="C226" i="31"/>
  <c r="D226" i="31"/>
  <c r="B226" i="31"/>
  <c r="J225" i="31"/>
  <c r="I225" i="31"/>
  <c r="F225" i="31"/>
  <c r="E225" i="31"/>
  <c r="D225" i="31"/>
  <c r="C225" i="31"/>
  <c r="B225" i="31"/>
  <c r="F223" i="31"/>
  <c r="J221" i="31"/>
  <c r="I221" i="31"/>
  <c r="H221" i="31"/>
  <c r="G221" i="31"/>
  <c r="F221" i="31"/>
  <c r="E221" i="31"/>
  <c r="C221" i="31"/>
  <c r="D221" i="31"/>
  <c r="B221" i="31"/>
  <c r="J220" i="31"/>
  <c r="I220" i="31"/>
  <c r="F220" i="31"/>
  <c r="E220" i="31"/>
  <c r="D220" i="31"/>
  <c r="C220" i="31"/>
  <c r="B220" i="31"/>
  <c r="E216" i="31"/>
  <c r="D216" i="31"/>
  <c r="D215" i="31"/>
  <c r="C215" i="31"/>
  <c r="B215" i="31"/>
  <c r="D214" i="31"/>
  <c r="C214" i="31"/>
  <c r="B214" i="31"/>
  <c r="M200" i="31"/>
  <c r="N193" i="31"/>
  <c r="M193" i="31"/>
  <c r="N192" i="31"/>
  <c r="M192" i="31"/>
  <c r="J205" i="31"/>
  <c r="I205" i="31"/>
  <c r="H205" i="31"/>
  <c r="G205" i="31"/>
  <c r="F205" i="31"/>
  <c r="E205" i="31"/>
  <c r="C205" i="31"/>
  <c r="D205" i="31"/>
  <c r="B205" i="31"/>
  <c r="J204" i="31"/>
  <c r="I204" i="31"/>
  <c r="F204" i="31"/>
  <c r="E204" i="31"/>
  <c r="D204" i="31"/>
  <c r="C204" i="31"/>
  <c r="B204" i="31"/>
  <c r="F202" i="31"/>
  <c r="J200" i="31"/>
  <c r="I200" i="31"/>
  <c r="H200" i="31"/>
  <c r="G200" i="31"/>
  <c r="F200" i="31"/>
  <c r="E200" i="31"/>
  <c r="C200" i="31"/>
  <c r="D200" i="31"/>
  <c r="B200" i="31"/>
  <c r="J199" i="31"/>
  <c r="I199" i="31"/>
  <c r="F199" i="31"/>
  <c r="E199" i="31"/>
  <c r="D199" i="31"/>
  <c r="C199" i="31"/>
  <c r="B199" i="31"/>
  <c r="E195" i="31"/>
  <c r="D195" i="31"/>
  <c r="D194" i="31"/>
  <c r="C194" i="31"/>
  <c r="B194" i="31"/>
  <c r="D193" i="31"/>
  <c r="C193" i="31"/>
  <c r="B193" i="31"/>
  <c r="M177" i="31"/>
  <c r="N170" i="31"/>
  <c r="M170" i="31"/>
  <c r="N169" i="31"/>
  <c r="M169" i="31"/>
  <c r="J182" i="31"/>
  <c r="I182" i="31"/>
  <c r="H182" i="31"/>
  <c r="G182" i="31"/>
  <c r="F182" i="31"/>
  <c r="E182" i="31"/>
  <c r="C182" i="31"/>
  <c r="D182" i="31"/>
  <c r="B182" i="31"/>
  <c r="J181" i="31"/>
  <c r="I181" i="31"/>
  <c r="F181" i="31"/>
  <c r="E181" i="31"/>
  <c r="D181" i="31"/>
  <c r="C181" i="31"/>
  <c r="B181" i="31"/>
  <c r="F179" i="31"/>
  <c r="J177" i="31"/>
  <c r="I177" i="31"/>
  <c r="H177" i="31"/>
  <c r="G177" i="31"/>
  <c r="F177" i="31"/>
  <c r="E177" i="31"/>
  <c r="C177" i="31"/>
  <c r="D177" i="31"/>
  <c r="B177" i="31"/>
  <c r="J176" i="31"/>
  <c r="I176" i="31"/>
  <c r="F176" i="31"/>
  <c r="E176" i="31"/>
  <c r="D176" i="31"/>
  <c r="C176" i="31"/>
  <c r="B176" i="31"/>
  <c r="E172" i="31"/>
  <c r="D172" i="31"/>
  <c r="D171" i="31"/>
  <c r="C171" i="31"/>
  <c r="B171" i="31"/>
  <c r="D170" i="31"/>
  <c r="C170" i="31"/>
  <c r="B170" i="31"/>
  <c r="M153" i="31"/>
  <c r="N146" i="31"/>
  <c r="M146" i="31"/>
  <c r="N145" i="31"/>
  <c r="M145" i="31"/>
  <c r="J158" i="31"/>
  <c r="I158" i="31"/>
  <c r="H158" i="31"/>
  <c r="G158" i="31"/>
  <c r="F158" i="31"/>
  <c r="E158" i="31"/>
  <c r="C158" i="31"/>
  <c r="D158" i="31"/>
  <c r="B158" i="31"/>
  <c r="J157" i="31"/>
  <c r="I157" i="31"/>
  <c r="F157" i="31"/>
  <c r="E157" i="31"/>
  <c r="D157" i="31"/>
  <c r="C157" i="31"/>
  <c r="B157" i="31"/>
  <c r="F155" i="31"/>
  <c r="J153" i="31"/>
  <c r="I153" i="31"/>
  <c r="H153" i="31"/>
  <c r="G153" i="31"/>
  <c r="F153" i="31"/>
  <c r="E153" i="31"/>
  <c r="C153" i="31"/>
  <c r="D153" i="31"/>
  <c r="B153" i="31"/>
  <c r="J152" i="31"/>
  <c r="I152" i="31"/>
  <c r="F152" i="31"/>
  <c r="E152" i="31"/>
  <c r="D152" i="31"/>
  <c r="C152" i="31"/>
  <c r="B152" i="31"/>
  <c r="E148" i="31"/>
  <c r="D148" i="31"/>
  <c r="D147" i="31"/>
  <c r="C147" i="31"/>
  <c r="B147" i="31"/>
  <c r="D146" i="31"/>
  <c r="C146" i="31"/>
  <c r="B146" i="31"/>
  <c r="M130" i="31"/>
  <c r="N123" i="31"/>
  <c r="M123" i="31"/>
  <c r="N122" i="31"/>
  <c r="M122" i="31"/>
  <c r="J135" i="31"/>
  <c r="I135" i="31"/>
  <c r="H135" i="31"/>
  <c r="G135" i="31"/>
  <c r="F135" i="31"/>
  <c r="E135" i="31"/>
  <c r="C135" i="31"/>
  <c r="D135" i="31"/>
  <c r="B135" i="31"/>
  <c r="J134" i="31"/>
  <c r="I134" i="31"/>
  <c r="F134" i="31"/>
  <c r="E134" i="31"/>
  <c r="D134" i="31"/>
  <c r="C134" i="31"/>
  <c r="B134" i="31"/>
  <c r="F132" i="31"/>
  <c r="J130" i="31"/>
  <c r="I130" i="31"/>
  <c r="H130" i="31"/>
  <c r="G130" i="31"/>
  <c r="F130" i="31"/>
  <c r="E130" i="31"/>
  <c r="C130" i="31"/>
  <c r="D130" i="31"/>
  <c r="B130" i="31"/>
  <c r="J129" i="31"/>
  <c r="I129" i="31"/>
  <c r="F129" i="31"/>
  <c r="E129" i="31"/>
  <c r="D129" i="31"/>
  <c r="C129" i="31"/>
  <c r="B129" i="31"/>
  <c r="E125" i="31"/>
  <c r="D125" i="31"/>
  <c r="D124" i="31"/>
  <c r="C124" i="31"/>
  <c r="B124" i="31"/>
  <c r="D123" i="31"/>
  <c r="C123" i="31"/>
  <c r="B123" i="31"/>
  <c r="M108" i="31"/>
  <c r="N101" i="31"/>
  <c r="M101" i="31"/>
  <c r="N100" i="31"/>
  <c r="M100" i="31"/>
  <c r="J113" i="31"/>
  <c r="I113" i="31"/>
  <c r="H113" i="31"/>
  <c r="G113" i="31"/>
  <c r="F113" i="31"/>
  <c r="E113" i="31"/>
  <c r="C113" i="31"/>
  <c r="D113" i="31"/>
  <c r="B113" i="31"/>
  <c r="J112" i="31"/>
  <c r="I112" i="31"/>
  <c r="F112" i="31"/>
  <c r="E112" i="31"/>
  <c r="D112" i="31"/>
  <c r="C112" i="31"/>
  <c r="B112" i="31"/>
  <c r="F110" i="31"/>
  <c r="J108" i="31"/>
  <c r="I108" i="31"/>
  <c r="H108" i="31"/>
  <c r="G108" i="31"/>
  <c r="F108" i="31"/>
  <c r="E108" i="31"/>
  <c r="C108" i="31"/>
  <c r="D108" i="31"/>
  <c r="B108" i="31"/>
  <c r="J107" i="31"/>
  <c r="I107" i="31"/>
  <c r="F107" i="31"/>
  <c r="E107" i="31"/>
  <c r="D107" i="31"/>
  <c r="C107" i="31"/>
  <c r="B107" i="31"/>
  <c r="E103" i="31"/>
  <c r="D103" i="31"/>
  <c r="D102" i="31"/>
  <c r="C102" i="31"/>
  <c r="B102" i="31"/>
  <c r="D101" i="31"/>
  <c r="C101" i="31"/>
  <c r="B101" i="31"/>
  <c r="M86" i="31"/>
  <c r="N79" i="31"/>
  <c r="M79" i="31"/>
  <c r="N78" i="31"/>
  <c r="M78" i="31"/>
  <c r="J91" i="31"/>
  <c r="I91" i="31"/>
  <c r="H91" i="31"/>
  <c r="G91" i="31"/>
  <c r="F91" i="31"/>
  <c r="E91" i="31"/>
  <c r="C91" i="31"/>
  <c r="D91" i="31"/>
  <c r="B91" i="31"/>
  <c r="J90" i="31"/>
  <c r="I90" i="31"/>
  <c r="F90" i="31"/>
  <c r="E90" i="31"/>
  <c r="D90" i="31"/>
  <c r="C90" i="31"/>
  <c r="B90" i="31"/>
  <c r="F88" i="31"/>
  <c r="J86" i="31"/>
  <c r="I86" i="31"/>
  <c r="H86" i="31"/>
  <c r="G86" i="31"/>
  <c r="F86" i="31"/>
  <c r="E86" i="31"/>
  <c r="C86" i="31"/>
  <c r="D86" i="31"/>
  <c r="B86" i="31"/>
  <c r="J85" i="31"/>
  <c r="I85" i="31"/>
  <c r="F85" i="31"/>
  <c r="E85" i="31"/>
  <c r="D85" i="31"/>
  <c r="C85" i="31"/>
  <c r="B85" i="31"/>
  <c r="E81" i="31"/>
  <c r="D81" i="31"/>
  <c r="D80" i="31"/>
  <c r="C80" i="31"/>
  <c r="B80" i="31"/>
  <c r="D79" i="31"/>
  <c r="C79" i="31"/>
  <c r="B79" i="31"/>
  <c r="C100" i="19"/>
  <c r="AF207" i="32"/>
  <c r="N415" i="31"/>
  <c r="M227" i="32"/>
  <c r="AF188" i="32"/>
  <c r="AF200" i="32"/>
  <c r="N224" i="32"/>
  <c r="N387" i="31"/>
  <c r="AF191" i="32"/>
  <c r="M224" i="32"/>
  <c r="M252" i="31"/>
  <c r="AG188" i="32"/>
  <c r="N249" i="31"/>
  <c r="M249" i="31"/>
  <c r="AG174" i="32"/>
  <c r="M201" i="32"/>
  <c r="M387" i="31"/>
  <c r="AF174" i="32"/>
  <c r="N198" i="32"/>
  <c r="N441" i="23"/>
  <c r="AF162" i="32"/>
  <c r="M198" i="32"/>
  <c r="AG132" i="32"/>
  <c r="AF270" i="32"/>
  <c r="AF132" i="32"/>
  <c r="M334" i="31"/>
  <c r="AG267" i="32"/>
  <c r="AF125" i="32"/>
  <c r="N331" i="31"/>
  <c r="M161" i="31"/>
  <c r="AG253" i="32"/>
  <c r="AF108" i="32"/>
  <c r="M142" i="32"/>
  <c r="AF253" i="32"/>
  <c r="AG105" i="32"/>
  <c r="AF105" i="32"/>
  <c r="M306" i="31"/>
  <c r="AF244" i="32"/>
  <c r="AF234" i="32"/>
  <c r="AF91" i="32"/>
  <c r="AG227" i="32"/>
  <c r="M254" i="32"/>
  <c r="M115" i="32"/>
  <c r="AF227" i="32"/>
  <c r="N251" i="32"/>
  <c r="AF217" i="32"/>
  <c r="M251" i="32"/>
  <c r="M279" i="31"/>
  <c r="AG214" i="32"/>
  <c r="N276" i="31"/>
  <c r="AF214" i="32"/>
  <c r="M418" i="31"/>
  <c r="M276" i="31"/>
  <c r="AG200" i="32"/>
  <c r="M415" i="31"/>
  <c r="M390" i="31"/>
  <c r="AF181" i="32"/>
  <c r="N115" i="32"/>
  <c r="M331" i="31"/>
  <c r="AG241" i="32"/>
  <c r="AF241" i="32"/>
  <c r="AG159" i="32"/>
  <c r="AF260" i="32"/>
  <c r="M118" i="32"/>
  <c r="M363" i="31"/>
  <c r="N360" i="31"/>
  <c r="N303" i="31"/>
  <c r="N171" i="32"/>
  <c r="AF267" i="32"/>
  <c r="AG145" i="32"/>
  <c r="M360" i="31"/>
  <c r="M303" i="31"/>
  <c r="AF98" i="32"/>
  <c r="M174" i="32"/>
  <c r="N142" i="32"/>
  <c r="M171" i="32"/>
  <c r="M145" i="32"/>
  <c r="AF159" i="32"/>
  <c r="AF152" i="32"/>
  <c r="AG91" i="32"/>
  <c r="AF145" i="32"/>
  <c r="AF135" i="32"/>
  <c r="AG118" i="32"/>
  <c r="AF118" i="32"/>
  <c r="N148" i="31" l="1"/>
  <c r="AF119" i="32"/>
  <c r="M157" i="31"/>
  <c r="N157" i="31"/>
  <c r="AG119" i="32"/>
  <c r="N181" i="31"/>
  <c r="M181" i="31"/>
  <c r="AF136" i="32"/>
  <c r="AG135" i="32"/>
  <c r="AG136" i="32" s="1"/>
  <c r="M195" i="31"/>
  <c r="AF146" i="32"/>
  <c r="O412" i="23"/>
  <c r="N412" i="23"/>
  <c r="AG92" i="32"/>
  <c r="AG155" i="32"/>
  <c r="AF155" i="32"/>
  <c r="O403" i="23"/>
  <c r="M146" i="32"/>
  <c r="N145" i="32"/>
  <c r="N146" i="32" s="1"/>
  <c r="N437" i="23"/>
  <c r="O437" i="23"/>
  <c r="N216" i="31"/>
  <c r="N103" i="31"/>
  <c r="O360" i="23"/>
  <c r="N360" i="23"/>
  <c r="N428" i="23"/>
  <c r="N432" i="23" s="1"/>
  <c r="N435" i="23" s="1"/>
  <c r="M175" i="32"/>
  <c r="N174" i="32"/>
  <c r="N175" i="32" s="1"/>
  <c r="N112" i="31"/>
  <c r="M112" i="31"/>
  <c r="O351" i="23"/>
  <c r="N185" i="32"/>
  <c r="AG101" i="32"/>
  <c r="AF101" i="32"/>
  <c r="M185" i="32"/>
  <c r="M125" i="31"/>
  <c r="N299" i="31"/>
  <c r="M299" i="31"/>
  <c r="M106" i="22"/>
  <c r="N106" i="22"/>
  <c r="M121" i="22"/>
  <c r="N194" i="32"/>
  <c r="M194" i="32"/>
  <c r="N195" i="31"/>
  <c r="N347" i="31"/>
  <c r="N356" i="31"/>
  <c r="M356" i="31"/>
  <c r="N121" i="22"/>
  <c r="AG146" i="32"/>
  <c r="N130" i="22"/>
  <c r="M130" i="22"/>
  <c r="N327" i="31"/>
  <c r="M327" i="31"/>
  <c r="N361" i="31"/>
  <c r="M364" i="31"/>
  <c r="N363" i="31"/>
  <c r="N364" i="31" s="1"/>
  <c r="M145" i="22"/>
  <c r="M119" i="32"/>
  <c r="N118" i="32"/>
  <c r="N119" i="32" s="1"/>
  <c r="O428" i="23"/>
  <c r="N204" i="31"/>
  <c r="M204" i="31"/>
  <c r="AG263" i="32"/>
  <c r="AF263" i="32"/>
  <c r="O307" i="23"/>
  <c r="N307" i="23"/>
  <c r="M129" i="32"/>
  <c r="M216" i="31"/>
  <c r="N97" i="22"/>
  <c r="M374" i="31"/>
  <c r="N323" i="23"/>
  <c r="AG184" i="32"/>
  <c r="AF184" i="32"/>
  <c r="M391" i="31"/>
  <c r="N390" i="31"/>
  <c r="N391" i="31" s="1"/>
  <c r="AG201" i="32"/>
  <c r="N418" i="31"/>
  <c r="N419" i="31" s="1"/>
  <c r="M419" i="31"/>
  <c r="N238" i="32"/>
  <c r="N227" i="22"/>
  <c r="M227" i="22"/>
  <c r="M81" i="31"/>
  <c r="M102" i="32"/>
  <c r="M247" i="32"/>
  <c r="N247" i="32"/>
  <c r="N270" i="23"/>
  <c r="N81" i="31"/>
  <c r="M280" i="31"/>
  <c r="N279" i="31"/>
  <c r="N280" i="31" s="1"/>
  <c r="N102" i="32"/>
  <c r="AF218" i="32"/>
  <c r="AG217" i="32"/>
  <c r="AG218" i="32" s="1"/>
  <c r="O270" i="23"/>
  <c r="M90" i="31"/>
  <c r="N90" i="31"/>
  <c r="M290" i="31"/>
  <c r="N111" i="32"/>
  <c r="M111" i="32"/>
  <c r="AF228" i="32"/>
  <c r="N279" i="23"/>
  <c r="O279" i="23"/>
  <c r="M103" i="31"/>
  <c r="N290" i="31"/>
  <c r="M255" i="32"/>
  <c r="N254" i="32"/>
  <c r="N255" i="32" s="1"/>
  <c r="AG228" i="32"/>
  <c r="N298" i="23"/>
  <c r="AF92" i="32"/>
  <c r="AG237" i="32"/>
  <c r="AF237" i="32"/>
  <c r="O298" i="23"/>
  <c r="AF245" i="32"/>
  <c r="AG244" i="32"/>
  <c r="AG245" i="32" s="1"/>
  <c r="N125" i="31"/>
  <c r="N306" i="31"/>
  <c r="N307" i="31" s="1"/>
  <c r="M307" i="31"/>
  <c r="N129" i="32"/>
  <c r="O323" i="23"/>
  <c r="N134" i="31"/>
  <c r="M134" i="31"/>
  <c r="M318" i="31"/>
  <c r="N138" i="32"/>
  <c r="M138" i="32"/>
  <c r="AF254" i="32"/>
  <c r="O332" i="23"/>
  <c r="N332" i="23"/>
  <c r="M148" i="31"/>
  <c r="M152" i="31" s="1"/>
  <c r="M155" i="31" s="1"/>
  <c r="N318" i="31"/>
  <c r="AG108" i="32"/>
  <c r="AG109" i="32" s="1"/>
  <c r="AF109" i="32"/>
  <c r="AG254" i="32"/>
  <c r="N351" i="23"/>
  <c r="N161" i="31"/>
  <c r="N162" i="31" s="1"/>
  <c r="M162" i="31"/>
  <c r="M158" i="32"/>
  <c r="M162" i="32" s="1"/>
  <c r="M165" i="32" s="1"/>
  <c r="AG128" i="32"/>
  <c r="AF128" i="32"/>
  <c r="N379" i="23"/>
  <c r="M172" i="31"/>
  <c r="M335" i="31"/>
  <c r="N334" i="31"/>
  <c r="N335" i="31" s="1"/>
  <c r="N158" i="32"/>
  <c r="AF271" i="32"/>
  <c r="AG270" i="32"/>
  <c r="AG271" i="32" s="1"/>
  <c r="O379" i="23"/>
  <c r="N172" i="31"/>
  <c r="M347" i="31"/>
  <c r="M351" i="31" s="1"/>
  <c r="M354" i="31" s="1"/>
  <c r="M167" i="32"/>
  <c r="N167" i="32"/>
  <c r="M97" i="22"/>
  <c r="M101" i="22" s="1"/>
  <c r="M104" i="22" s="1"/>
  <c r="N388" i="23"/>
  <c r="O388" i="23"/>
  <c r="N403" i="23"/>
  <c r="N407" i="23" s="1"/>
  <c r="N410" i="23" s="1"/>
  <c r="N225" i="31"/>
  <c r="M225" i="31"/>
  <c r="N374" i="31"/>
  <c r="AF163" i="32"/>
  <c r="AG162" i="32"/>
  <c r="AG163" i="32" s="1"/>
  <c r="N145" i="22"/>
  <c r="N442" i="23"/>
  <c r="O441" i="23"/>
  <c r="O442" i="23" s="1"/>
  <c r="M236" i="31"/>
  <c r="N383" i="31"/>
  <c r="M383" i="31"/>
  <c r="AF175" i="32"/>
  <c r="AF179" i="32" s="1"/>
  <c r="AF182" i="32" s="1"/>
  <c r="N154" i="22"/>
  <c r="M154" i="22"/>
  <c r="N453" i="23"/>
  <c r="N236" i="31"/>
  <c r="M202" i="32"/>
  <c r="N201" i="32"/>
  <c r="N202" i="32" s="1"/>
  <c r="AG175" i="32"/>
  <c r="M170" i="22"/>
  <c r="M174" i="22" s="1"/>
  <c r="M177" i="22" s="1"/>
  <c r="O453" i="23"/>
  <c r="M245" i="31"/>
  <c r="N245" i="31"/>
  <c r="M211" i="32"/>
  <c r="M215" i="32" s="1"/>
  <c r="M218" i="32" s="1"/>
  <c r="N170" i="22"/>
  <c r="M179" i="22"/>
  <c r="N179" i="22"/>
  <c r="M402" i="31"/>
  <c r="AG189" i="32"/>
  <c r="M194" i="22"/>
  <c r="O477" i="23"/>
  <c r="M253" i="31"/>
  <c r="N252" i="31"/>
  <c r="N253" i="31" s="1"/>
  <c r="N402" i="31"/>
  <c r="M225" i="32"/>
  <c r="AG191" i="32"/>
  <c r="AG192" i="32" s="1"/>
  <c r="AF192" i="32"/>
  <c r="N194" i="22"/>
  <c r="O486" i="23"/>
  <c r="N486" i="23"/>
  <c r="O462" i="23"/>
  <c r="N462" i="23"/>
  <c r="N211" i="32"/>
  <c r="N477" i="23"/>
  <c r="N220" i="32"/>
  <c r="M220" i="32"/>
  <c r="M263" i="31"/>
  <c r="N411" i="31"/>
  <c r="M411" i="31"/>
  <c r="AF201" i="32"/>
  <c r="N203" i="22"/>
  <c r="M203" i="22"/>
  <c r="N502" i="23"/>
  <c r="AF189" i="32"/>
  <c r="N263" i="31"/>
  <c r="N227" i="32"/>
  <c r="N228" i="32" s="1"/>
  <c r="M228" i="32"/>
  <c r="M218" i="22"/>
  <c r="O502" i="23"/>
  <c r="N272" i="31"/>
  <c r="M272" i="31"/>
  <c r="M238" i="32"/>
  <c r="AG210" i="32"/>
  <c r="AF210" i="32"/>
  <c r="N218" i="22"/>
  <c r="O511" i="23"/>
  <c r="N511" i="23"/>
  <c r="N89" i="32"/>
  <c r="M89" i="32"/>
  <c r="M82" i="32"/>
  <c r="Y27" i="23"/>
  <c r="Y25" i="23"/>
  <c r="Y21" i="23"/>
  <c r="X27" i="23"/>
  <c r="N215" i="23"/>
  <c r="O215" i="23"/>
  <c r="Q215" i="23"/>
  <c r="R215" i="23"/>
  <c r="S215" i="23"/>
  <c r="N216" i="23"/>
  <c r="O216" i="23"/>
  <c r="Q216" i="23"/>
  <c r="R216" i="23"/>
  <c r="S216" i="23"/>
  <c r="N217" i="23"/>
  <c r="O217" i="23"/>
  <c r="Q217" i="23"/>
  <c r="R217" i="23"/>
  <c r="S217" i="23"/>
  <c r="N218" i="23"/>
  <c r="O218" i="23"/>
  <c r="P218" i="23"/>
  <c r="Q218" i="23"/>
  <c r="R218" i="23"/>
  <c r="N219" i="23"/>
  <c r="O219" i="23"/>
  <c r="Q219" i="23"/>
  <c r="R219" i="23"/>
  <c r="S219" i="23"/>
  <c r="N220" i="23"/>
  <c r="O220" i="23"/>
  <c r="Q220" i="23"/>
  <c r="R220" i="23"/>
  <c r="S220" i="23"/>
  <c r="N221" i="23"/>
  <c r="O221" i="23"/>
  <c r="Q221" i="23"/>
  <c r="R221" i="23"/>
  <c r="S221" i="23"/>
  <c r="N222" i="23"/>
  <c r="O222" i="23"/>
  <c r="Q222" i="23"/>
  <c r="R222" i="23"/>
  <c r="S222" i="23"/>
  <c r="N223" i="23"/>
  <c r="O223" i="23"/>
  <c r="P223" i="23"/>
  <c r="Q223" i="23"/>
  <c r="R223" i="23"/>
  <c r="S223" i="23"/>
  <c r="N224" i="23"/>
  <c r="O224" i="23"/>
  <c r="Q224" i="23"/>
  <c r="R224" i="23"/>
  <c r="S224" i="23"/>
  <c r="N225" i="23"/>
  <c r="O225" i="23"/>
  <c r="Q225" i="23"/>
  <c r="R225" i="23"/>
  <c r="S225" i="23"/>
  <c r="N226" i="23"/>
  <c r="O226" i="23"/>
  <c r="Q226" i="23"/>
  <c r="R226" i="23"/>
  <c r="S226" i="23"/>
  <c r="N227" i="23"/>
  <c r="O227" i="23"/>
  <c r="Q227" i="23"/>
  <c r="R227" i="23"/>
  <c r="S227" i="23"/>
  <c r="N228" i="23"/>
  <c r="O228" i="23"/>
  <c r="Q228" i="23"/>
  <c r="N229" i="23"/>
  <c r="O229" i="23"/>
  <c r="P229" i="23"/>
  <c r="Q229" i="23"/>
  <c r="R229" i="23"/>
  <c r="S229" i="23"/>
  <c r="N230" i="23"/>
  <c r="O230" i="23"/>
  <c r="P230" i="23"/>
  <c r="Q230" i="23"/>
  <c r="R230" i="23"/>
  <c r="S230" i="23"/>
  <c r="N231" i="23"/>
  <c r="O231" i="23"/>
  <c r="P231" i="23"/>
  <c r="Q231" i="23"/>
  <c r="R231" i="23"/>
  <c r="S231" i="23"/>
  <c r="N232" i="23"/>
  <c r="O232" i="23"/>
  <c r="P232" i="23"/>
  <c r="Q232" i="23"/>
  <c r="R232" i="23"/>
  <c r="S232" i="23"/>
  <c r="N233" i="23"/>
  <c r="O233" i="23"/>
  <c r="P233" i="23"/>
  <c r="Q233" i="23"/>
  <c r="R233" i="23"/>
  <c r="S233" i="23"/>
  <c r="N234" i="23"/>
  <c r="O234" i="23"/>
  <c r="P234" i="23"/>
  <c r="Q234" i="23"/>
  <c r="R234" i="23"/>
  <c r="S234" i="23"/>
  <c r="N235" i="23"/>
  <c r="O235" i="23"/>
  <c r="P235" i="23"/>
  <c r="Q235" i="23"/>
  <c r="R235" i="23"/>
  <c r="S235" i="23"/>
  <c r="N236" i="23"/>
  <c r="O236" i="23"/>
  <c r="P236" i="23"/>
  <c r="Q236" i="23"/>
  <c r="R236" i="23"/>
  <c r="S236" i="23"/>
  <c r="N237" i="23"/>
  <c r="O237" i="23"/>
  <c r="P237" i="23"/>
  <c r="Q237" i="23"/>
  <c r="R237" i="23"/>
  <c r="S237" i="23"/>
  <c r="N238" i="23"/>
  <c r="O238" i="23"/>
  <c r="P238" i="23"/>
  <c r="Q238" i="23"/>
  <c r="R238" i="23"/>
  <c r="S238" i="23"/>
  <c r="N239" i="23"/>
  <c r="O239" i="23"/>
  <c r="P239" i="23"/>
  <c r="Q239" i="23"/>
  <c r="R239" i="23"/>
  <c r="S239" i="23"/>
  <c r="N240" i="23"/>
  <c r="O240" i="23"/>
  <c r="P240" i="23"/>
  <c r="Q240" i="23"/>
  <c r="R240" i="23"/>
  <c r="S240" i="23"/>
  <c r="N241" i="23"/>
  <c r="O241" i="23"/>
  <c r="P241" i="23"/>
  <c r="Q241" i="23"/>
  <c r="R241" i="23"/>
  <c r="S241" i="23"/>
  <c r="N242" i="23"/>
  <c r="O242" i="23"/>
  <c r="P242" i="23"/>
  <c r="Q242" i="23"/>
  <c r="R242" i="23"/>
  <c r="S242" i="23"/>
  <c r="N243" i="23"/>
  <c r="O243" i="23"/>
  <c r="P243" i="23"/>
  <c r="Q243" i="23"/>
  <c r="R243" i="23"/>
  <c r="S243" i="23"/>
  <c r="N244" i="23"/>
  <c r="O244" i="23"/>
  <c r="P244" i="23"/>
  <c r="Q244" i="23"/>
  <c r="R244" i="23"/>
  <c r="S244" i="23"/>
  <c r="N245" i="23"/>
  <c r="O245" i="23"/>
  <c r="P245" i="23"/>
  <c r="Q245" i="23"/>
  <c r="R245" i="23"/>
  <c r="S245" i="23"/>
  <c r="N246" i="23"/>
  <c r="O246" i="23"/>
  <c r="P246" i="23"/>
  <c r="Q246" i="23"/>
  <c r="R246" i="23"/>
  <c r="S246" i="23"/>
  <c r="N247" i="23"/>
  <c r="O247" i="23"/>
  <c r="Q247" i="23"/>
  <c r="N248" i="23"/>
  <c r="O248" i="23"/>
  <c r="P248" i="23"/>
  <c r="Q248" i="23"/>
  <c r="R248" i="23"/>
  <c r="S248" i="23"/>
  <c r="O214" i="23"/>
  <c r="Q214" i="23"/>
  <c r="R214" i="23"/>
  <c r="S214" i="23"/>
  <c r="S253" i="23" s="1"/>
  <c r="N214" i="23"/>
  <c r="K254" i="23"/>
  <c r="J254" i="23"/>
  <c r="I254" i="23"/>
  <c r="I255" i="23" s="1"/>
  <c r="W14" i="23" s="1"/>
  <c r="H254" i="23"/>
  <c r="H255" i="23" s="1"/>
  <c r="W13" i="23" s="1"/>
  <c r="G254" i="23"/>
  <c r="F254" i="23"/>
  <c r="F255" i="23" s="1"/>
  <c r="K253" i="23"/>
  <c r="V16" i="23" s="1"/>
  <c r="J253" i="23"/>
  <c r="V26" i="23" s="1"/>
  <c r="I253" i="23"/>
  <c r="V25" i="23" s="1"/>
  <c r="H253" i="23"/>
  <c r="V24" i="23" s="1"/>
  <c r="G253" i="23"/>
  <c r="V23" i="23" s="1"/>
  <c r="F253" i="23"/>
  <c r="K255" i="23"/>
  <c r="W16" i="23" s="1"/>
  <c r="J255" i="23"/>
  <c r="Y26" i="23" s="1"/>
  <c r="G255" i="23"/>
  <c r="W12" i="23" s="1"/>
  <c r="Q194" i="23"/>
  <c r="Q195" i="23"/>
  <c r="K205" i="23"/>
  <c r="K206" i="23" s="1"/>
  <c r="J205" i="23"/>
  <c r="J206" i="23" s="1"/>
  <c r="I205" i="23"/>
  <c r="I206" i="23" s="1"/>
  <c r="H205" i="23"/>
  <c r="H206" i="23" s="1"/>
  <c r="Y24" i="23" s="1"/>
  <c r="G205" i="23"/>
  <c r="G206" i="23" s="1"/>
  <c r="Y23" i="23" s="1"/>
  <c r="F205" i="23"/>
  <c r="F206" i="23" s="1"/>
  <c r="Y22" i="23" s="1"/>
  <c r="E205" i="23"/>
  <c r="K204" i="23"/>
  <c r="J204" i="23"/>
  <c r="X26" i="23" s="1"/>
  <c r="I204" i="23"/>
  <c r="X25" i="23" s="1"/>
  <c r="H204" i="23"/>
  <c r="X24" i="23" s="1"/>
  <c r="G204" i="23"/>
  <c r="X23" i="23" s="1"/>
  <c r="F204" i="23"/>
  <c r="X22" i="23" s="1"/>
  <c r="E204" i="23"/>
  <c r="X21" i="23" s="1"/>
  <c r="E206" i="23"/>
  <c r="K185" i="23"/>
  <c r="K186" i="23" s="1"/>
  <c r="Y16" i="23" s="1"/>
  <c r="J185" i="23"/>
  <c r="J186" i="23" s="1"/>
  <c r="I185" i="23"/>
  <c r="I186" i="23" s="1"/>
  <c r="Y14" i="23" s="1"/>
  <c r="H185" i="23"/>
  <c r="H186" i="23" s="1"/>
  <c r="Y13" i="23" s="1"/>
  <c r="G185" i="23"/>
  <c r="G186" i="23" s="1"/>
  <c r="Y12" i="23" s="1"/>
  <c r="F185" i="23"/>
  <c r="F186" i="23" s="1"/>
  <c r="Y11" i="23" s="1"/>
  <c r="E185" i="23"/>
  <c r="E186" i="23" s="1"/>
  <c r="Y10" i="23" s="1"/>
  <c r="K184" i="23"/>
  <c r="X16" i="23" s="1"/>
  <c r="J184" i="23"/>
  <c r="X15" i="23" s="1"/>
  <c r="I184" i="23"/>
  <c r="X14" i="23" s="1"/>
  <c r="H184" i="23"/>
  <c r="X13" i="23" s="1"/>
  <c r="G184" i="23"/>
  <c r="X12" i="23" s="1"/>
  <c r="F184" i="23"/>
  <c r="X11" i="23" s="1"/>
  <c r="E184" i="23"/>
  <c r="X10" i="23" s="1"/>
  <c r="N457" i="23" l="1"/>
  <c r="N460" i="23" s="1"/>
  <c r="N355" i="23"/>
  <c r="N358" i="23" s="1"/>
  <c r="N327" i="23"/>
  <c r="N330" i="23" s="1"/>
  <c r="N333" i="23" s="1"/>
  <c r="N302" i="23"/>
  <c r="N305" i="23" s="1"/>
  <c r="M189" i="32"/>
  <c r="M361" i="31"/>
  <c r="M240" i="31"/>
  <c r="M243" i="31" s="1"/>
  <c r="M176" i="31"/>
  <c r="M179" i="31" s="1"/>
  <c r="M107" i="31"/>
  <c r="M110" i="31" s="1"/>
  <c r="M250" i="31"/>
  <c r="M107" i="22"/>
  <c r="M105" i="22"/>
  <c r="M378" i="31"/>
  <c r="N506" i="23"/>
  <c r="N509" i="23" s="1"/>
  <c r="M246" i="31"/>
  <c r="M244" i="31"/>
  <c r="M172" i="32"/>
  <c r="M221" i="32"/>
  <c r="M219" i="32"/>
  <c r="N172" i="32"/>
  <c r="AF205" i="32"/>
  <c r="M357" i="31"/>
  <c r="M355" i="31"/>
  <c r="N225" i="32"/>
  <c r="M125" i="22"/>
  <c r="M128" i="22" s="1"/>
  <c r="M166" i="32"/>
  <c r="M168" i="32"/>
  <c r="M322" i="31"/>
  <c r="M178" i="22"/>
  <c r="M180" i="22"/>
  <c r="M220" i="31"/>
  <c r="M223" i="31" s="1"/>
  <c r="M133" i="32"/>
  <c r="AF150" i="32"/>
  <c r="M113" i="31"/>
  <c r="M111" i="31"/>
  <c r="M199" i="31"/>
  <c r="M202" i="31" s="1"/>
  <c r="M406" i="31"/>
  <c r="N438" i="23"/>
  <c r="N436" i="23"/>
  <c r="N413" i="23"/>
  <c r="N411" i="23"/>
  <c r="N274" i="23"/>
  <c r="N277" i="23" s="1"/>
  <c r="M129" i="31"/>
  <c r="M132" i="31" s="1"/>
  <c r="M198" i="22"/>
  <c r="M201" i="22" s="1"/>
  <c r="M182" i="31"/>
  <c r="M180" i="31"/>
  <c r="N250" i="31"/>
  <c r="N383" i="23"/>
  <c r="N386" i="23" s="1"/>
  <c r="M106" i="32"/>
  <c r="M242" i="32"/>
  <c r="M156" i="31"/>
  <c r="M158" i="31"/>
  <c r="M294" i="31"/>
  <c r="AF185" i="32"/>
  <c r="AF183" i="32"/>
  <c r="N306" i="23"/>
  <c r="N308" i="23"/>
  <c r="N361" i="23"/>
  <c r="N359" i="23"/>
  <c r="M222" i="22"/>
  <c r="M225" i="22" s="1"/>
  <c r="M267" i="31"/>
  <c r="N481" i="23"/>
  <c r="N484" i="23" s="1"/>
  <c r="N463" i="23"/>
  <c r="N461" i="23"/>
  <c r="M85" i="31"/>
  <c r="M88" i="31" s="1"/>
  <c r="AF123" i="32"/>
  <c r="AF232" i="32"/>
  <c r="AF258" i="32"/>
  <c r="N199" i="32"/>
  <c r="AF96" i="32"/>
  <c r="M149" i="22"/>
  <c r="M152" i="22" s="1"/>
  <c r="M83" i="32"/>
  <c r="M85" i="32"/>
  <c r="P254" i="23"/>
  <c r="P255" i="23" s="1"/>
  <c r="R254" i="23"/>
  <c r="R255" i="23" s="1"/>
  <c r="S254" i="23"/>
  <c r="S255" i="23" s="1"/>
  <c r="Q254" i="23"/>
  <c r="Q255" i="23" s="1"/>
  <c r="R253" i="23"/>
  <c r="V14" i="23"/>
  <c r="N253" i="23"/>
  <c r="O253" i="23"/>
  <c r="P253" i="23"/>
  <c r="N254" i="23"/>
  <c r="Q253" i="23"/>
  <c r="O254" i="23"/>
  <c r="O255" i="23" s="1"/>
  <c r="V15" i="23"/>
  <c r="W15" i="23"/>
  <c r="V13" i="23"/>
  <c r="N255" i="23"/>
  <c r="W14" i="22"/>
  <c r="W13" i="22"/>
  <c r="W12" i="22"/>
  <c r="W11" i="22"/>
  <c r="W10" i="22"/>
  <c r="W9" i="22"/>
  <c r="W8" i="22"/>
  <c r="V14" i="22"/>
  <c r="V13" i="22"/>
  <c r="V12" i="22"/>
  <c r="V11" i="22"/>
  <c r="V10" i="22"/>
  <c r="V9" i="22"/>
  <c r="V8" i="22"/>
  <c r="I55" i="22"/>
  <c r="I56" i="22" s="1"/>
  <c r="H55" i="22"/>
  <c r="H56" i="22" s="1"/>
  <c r="G55" i="22"/>
  <c r="G56" i="22" s="1"/>
  <c r="F55" i="22"/>
  <c r="F56" i="22" s="1"/>
  <c r="E55" i="22"/>
  <c r="E56" i="22" s="1"/>
  <c r="D55" i="22"/>
  <c r="D56" i="22" s="1"/>
  <c r="C55" i="22"/>
  <c r="I54" i="22"/>
  <c r="H54" i="22"/>
  <c r="G54" i="22"/>
  <c r="F54" i="22"/>
  <c r="E54" i="22"/>
  <c r="D54" i="22"/>
  <c r="C54" i="22"/>
  <c r="C56" i="22"/>
  <c r="E81" i="22"/>
  <c r="E82" i="22" s="1"/>
  <c r="F81" i="22"/>
  <c r="F82" i="22" s="1"/>
  <c r="U22" i="22" s="1"/>
  <c r="G81" i="22"/>
  <c r="G82" i="22" s="1"/>
  <c r="H81" i="22"/>
  <c r="H82" i="22" s="1"/>
  <c r="I81" i="22"/>
  <c r="I82" i="22" s="1"/>
  <c r="U25" i="22" s="1"/>
  <c r="D81" i="22"/>
  <c r="D82" i="22" s="1"/>
  <c r="U20" i="22" s="1"/>
  <c r="E80" i="22"/>
  <c r="T21" i="22" s="1"/>
  <c r="F80" i="22"/>
  <c r="T22" i="22" s="1"/>
  <c r="G80" i="22"/>
  <c r="T23" i="22" s="1"/>
  <c r="H80" i="22"/>
  <c r="T13" i="22" s="1"/>
  <c r="I80" i="22"/>
  <c r="T25" i="22" s="1"/>
  <c r="D80" i="22"/>
  <c r="T20" i="22" s="1"/>
  <c r="Y23" i="32"/>
  <c r="X13" i="32"/>
  <c r="V27" i="32"/>
  <c r="I64" i="32"/>
  <c r="I65" i="32" s="1"/>
  <c r="W28" i="32" s="1"/>
  <c r="H64" i="32"/>
  <c r="H65" i="32" s="1"/>
  <c r="G64" i="32"/>
  <c r="G65" i="32" s="1"/>
  <c r="F64" i="32"/>
  <c r="F65" i="32" s="1"/>
  <c r="W14" i="32" s="1"/>
  <c r="E64" i="32"/>
  <c r="E65" i="32" s="1"/>
  <c r="W24" i="32" s="1"/>
  <c r="D64" i="32"/>
  <c r="D65" i="32" s="1"/>
  <c r="C64" i="32"/>
  <c r="I63" i="32"/>
  <c r="V28" i="32" s="1"/>
  <c r="H63" i="32"/>
  <c r="V16" i="32" s="1"/>
  <c r="G63" i="32"/>
  <c r="V26" i="32" s="1"/>
  <c r="F63" i="32"/>
  <c r="V14" i="32" s="1"/>
  <c r="E63" i="32"/>
  <c r="V24" i="32" s="1"/>
  <c r="D63" i="32"/>
  <c r="V12" i="32" s="1"/>
  <c r="C63" i="32"/>
  <c r="V22" i="32" s="1"/>
  <c r="C65" i="32"/>
  <c r="W22" i="32" s="1"/>
  <c r="I48" i="32"/>
  <c r="I49" i="32" s="1"/>
  <c r="Y28" i="32" s="1"/>
  <c r="H48" i="32"/>
  <c r="H49" i="32" s="1"/>
  <c r="Y27" i="32" s="1"/>
  <c r="G48" i="32"/>
  <c r="G49" i="32" s="1"/>
  <c r="Y26" i="32" s="1"/>
  <c r="F48" i="32"/>
  <c r="F49" i="32" s="1"/>
  <c r="Y25" i="32" s="1"/>
  <c r="E48" i="32"/>
  <c r="E49" i="32" s="1"/>
  <c r="Y24" i="32" s="1"/>
  <c r="D48" i="32"/>
  <c r="D49" i="32" s="1"/>
  <c r="C48" i="32"/>
  <c r="C49" i="32" s="1"/>
  <c r="Y22" i="32" s="1"/>
  <c r="I47" i="32"/>
  <c r="X28" i="32" s="1"/>
  <c r="H47" i="32"/>
  <c r="X27" i="32" s="1"/>
  <c r="G47" i="32"/>
  <c r="X26" i="32" s="1"/>
  <c r="F47" i="32"/>
  <c r="X25" i="32" s="1"/>
  <c r="E47" i="32"/>
  <c r="X24" i="32" s="1"/>
  <c r="D47" i="32"/>
  <c r="X23" i="32" s="1"/>
  <c r="C47" i="32"/>
  <c r="X22" i="32" s="1"/>
  <c r="I28" i="32"/>
  <c r="I29" i="32" s="1"/>
  <c r="Y17" i="32" s="1"/>
  <c r="H28" i="32"/>
  <c r="H29" i="32" s="1"/>
  <c r="Y16" i="32" s="1"/>
  <c r="G28" i="32"/>
  <c r="G29" i="32" s="1"/>
  <c r="Y15" i="32" s="1"/>
  <c r="F28" i="32"/>
  <c r="F29" i="32" s="1"/>
  <c r="Y14" i="32" s="1"/>
  <c r="E28" i="32"/>
  <c r="E29" i="32" s="1"/>
  <c r="Y13" i="32" s="1"/>
  <c r="D28" i="32"/>
  <c r="D29" i="32" s="1"/>
  <c r="Y12" i="32" s="1"/>
  <c r="C28" i="32"/>
  <c r="I27" i="32"/>
  <c r="X17" i="32" s="1"/>
  <c r="H27" i="32"/>
  <c r="X16" i="32" s="1"/>
  <c r="G27" i="32"/>
  <c r="X15" i="32" s="1"/>
  <c r="F27" i="32"/>
  <c r="X14" i="32" s="1"/>
  <c r="E27" i="32"/>
  <c r="D27" i="32"/>
  <c r="X12" i="32" s="1"/>
  <c r="C27" i="32"/>
  <c r="X11" i="32" s="1"/>
  <c r="C29" i="32"/>
  <c r="Y11" i="32" s="1"/>
  <c r="K36" i="32"/>
  <c r="L36" i="32"/>
  <c r="M36" i="32"/>
  <c r="N36" i="32"/>
  <c r="O36" i="32"/>
  <c r="P36" i="32"/>
  <c r="Q36" i="32"/>
  <c r="N331" i="23" l="1"/>
  <c r="M192" i="32"/>
  <c r="M199" i="32"/>
  <c r="N439" i="23"/>
  <c r="O438" i="23"/>
  <c r="O439" i="23" s="1"/>
  <c r="N487" i="23"/>
  <c r="N485" i="23"/>
  <c r="AF261" i="32"/>
  <c r="AG268" i="32"/>
  <c r="AF268" i="32"/>
  <c r="AF208" i="32"/>
  <c r="AG215" i="32"/>
  <c r="AF215" i="32"/>
  <c r="M109" i="32"/>
  <c r="N116" i="32"/>
  <c r="M116" i="32"/>
  <c r="M222" i="32"/>
  <c r="N221" i="32"/>
  <c r="N222" i="32" s="1"/>
  <c r="M409" i="31"/>
  <c r="M416" i="31"/>
  <c r="N416" i="31"/>
  <c r="O463" i="23"/>
  <c r="O464" i="23" s="1"/>
  <c r="N464" i="23"/>
  <c r="M325" i="31"/>
  <c r="N332" i="31"/>
  <c r="M332" i="31"/>
  <c r="O333" i="23"/>
  <c r="O334" i="23" s="1"/>
  <c r="N334" i="23"/>
  <c r="AF153" i="32"/>
  <c r="AG160" i="32"/>
  <c r="AF160" i="32"/>
  <c r="M181" i="22"/>
  <c r="N180" i="22"/>
  <c r="N181" i="22" s="1"/>
  <c r="M358" i="31"/>
  <c r="N357" i="31"/>
  <c r="N358" i="31" s="1"/>
  <c r="M183" i="31"/>
  <c r="N182" i="31"/>
  <c r="N183" i="31" s="1"/>
  <c r="M247" i="31"/>
  <c r="N246" i="31"/>
  <c r="N247" i="31" s="1"/>
  <c r="M91" i="31"/>
  <c r="M89" i="31"/>
  <c r="M131" i="22"/>
  <c r="M129" i="22"/>
  <c r="M297" i="31"/>
  <c r="M304" i="31"/>
  <c r="N304" i="31"/>
  <c r="N512" i="23"/>
  <c r="N510" i="23"/>
  <c r="N113" i="31"/>
  <c r="N114" i="31" s="1"/>
  <c r="M114" i="31"/>
  <c r="M270" i="31"/>
  <c r="N277" i="31"/>
  <c r="M277" i="31"/>
  <c r="M169" i="32"/>
  <c r="N168" i="32"/>
  <c r="N169" i="32" s="1"/>
  <c r="AG185" i="32"/>
  <c r="AG186" i="32" s="1"/>
  <c r="AF186" i="32"/>
  <c r="M381" i="31"/>
  <c r="N388" i="31"/>
  <c r="M388" i="31"/>
  <c r="M205" i="31"/>
  <c r="M203" i="31"/>
  <c r="M226" i="31"/>
  <c r="M224" i="31"/>
  <c r="N362" i="23"/>
  <c r="O361" i="23"/>
  <c r="O362" i="23" s="1"/>
  <c r="M159" i="31"/>
  <c r="N158" i="31"/>
  <c r="N159" i="31" s="1"/>
  <c r="M202" i="22"/>
  <c r="M204" i="22"/>
  <c r="AF126" i="32"/>
  <c r="AF133" i="32"/>
  <c r="AG133" i="32"/>
  <c r="M228" i="22"/>
  <c r="M226" i="22"/>
  <c r="N309" i="23"/>
  <c r="O308" i="23"/>
  <c r="O309" i="23" s="1"/>
  <c r="N389" i="23"/>
  <c r="N387" i="23"/>
  <c r="M155" i="22"/>
  <c r="M153" i="22"/>
  <c r="M135" i="31"/>
  <c r="M133" i="31"/>
  <c r="M108" i="22"/>
  <c r="N107" i="22"/>
  <c r="N108" i="22" s="1"/>
  <c r="O413" i="23"/>
  <c r="O414" i="23" s="1"/>
  <c r="N414" i="23"/>
  <c r="AF235" i="32"/>
  <c r="AF242" i="32"/>
  <c r="AG242" i="32"/>
  <c r="M136" i="32"/>
  <c r="M143" i="32"/>
  <c r="N143" i="32"/>
  <c r="M245" i="32"/>
  <c r="N252" i="32"/>
  <c r="M252" i="32"/>
  <c r="AF99" i="32"/>
  <c r="AF106" i="32"/>
  <c r="AG106" i="32"/>
  <c r="N278" i="23"/>
  <c r="N280" i="23"/>
  <c r="M86" i="32"/>
  <c r="N85" i="32"/>
  <c r="N86" i="32" s="1"/>
  <c r="T24" i="22"/>
  <c r="U21" i="22"/>
  <c r="U10" i="22"/>
  <c r="U14" i="22"/>
  <c r="T12" i="22"/>
  <c r="U24" i="22"/>
  <c r="U13" i="22"/>
  <c r="U23" i="22"/>
  <c r="U12" i="22"/>
  <c r="T9" i="22"/>
  <c r="U11" i="22"/>
  <c r="T10" i="22"/>
  <c r="T14" i="22"/>
  <c r="T11" i="22"/>
  <c r="U9" i="22"/>
  <c r="W12" i="32"/>
  <c r="W23" i="32"/>
  <c r="W16" i="32"/>
  <c r="W27" i="32"/>
  <c r="V23" i="32"/>
  <c r="W25" i="32"/>
  <c r="V25" i="32"/>
  <c r="W26" i="32"/>
  <c r="W15" i="32"/>
  <c r="V13" i="32"/>
  <c r="V17" i="32"/>
  <c r="W11" i="32"/>
  <c r="V11" i="32"/>
  <c r="V15" i="32"/>
  <c r="W13" i="32"/>
  <c r="W17" i="32"/>
  <c r="M193" i="32" l="1"/>
  <c r="M195" i="32"/>
  <c r="N226" i="31"/>
  <c r="N227" i="31" s="1"/>
  <c r="M227" i="31"/>
  <c r="M137" i="32"/>
  <c r="M139" i="32"/>
  <c r="AF102" i="32"/>
  <c r="AF100" i="32"/>
  <c r="M112" i="32"/>
  <c r="M110" i="32"/>
  <c r="M382" i="31"/>
  <c r="M384" i="31"/>
  <c r="M326" i="31"/>
  <c r="M328" i="31"/>
  <c r="AF209" i="32"/>
  <c r="AF211" i="32"/>
  <c r="M206" i="31"/>
  <c r="N205" i="31"/>
  <c r="N206" i="31" s="1"/>
  <c r="M412" i="31"/>
  <c r="M410" i="31"/>
  <c r="M132" i="22"/>
  <c r="N131" i="22"/>
  <c r="N132" i="22" s="1"/>
  <c r="AF236" i="32"/>
  <c r="AF238" i="32"/>
  <c r="M136" i="31"/>
  <c r="N135" i="31"/>
  <c r="N136" i="31" s="1"/>
  <c r="AF129" i="32"/>
  <c r="AF127" i="32"/>
  <c r="M205" i="22"/>
  <c r="N204" i="22"/>
  <c r="N205" i="22" s="1"/>
  <c r="M92" i="31"/>
  <c r="N91" i="31"/>
  <c r="N92" i="31" s="1"/>
  <c r="AF264" i="32"/>
  <c r="AF262" i="32"/>
  <c r="AF154" i="32"/>
  <c r="AF156" i="32"/>
  <c r="M300" i="31"/>
  <c r="M298" i="31"/>
  <c r="N281" i="23"/>
  <c r="O280" i="23"/>
  <c r="O281" i="23" s="1"/>
  <c r="M246" i="32"/>
  <c r="M248" i="32"/>
  <c r="N488" i="23"/>
  <c r="O487" i="23"/>
  <c r="O488" i="23" s="1"/>
  <c r="M271" i="31"/>
  <c r="M273" i="31"/>
  <c r="N513" i="23"/>
  <c r="O512" i="23"/>
  <c r="O513" i="23" s="1"/>
  <c r="M229" i="22"/>
  <c r="N228" i="22"/>
  <c r="N229" i="22" s="1"/>
  <c r="M156" i="22"/>
  <c r="N155" i="22"/>
  <c r="N156" i="22" s="1"/>
  <c r="N390" i="23"/>
  <c r="O389" i="23"/>
  <c r="O390" i="23" s="1"/>
  <c r="T24" i="31"/>
  <c r="T23" i="31"/>
  <c r="T22" i="31"/>
  <c r="T21" i="31"/>
  <c r="T20" i="31"/>
  <c r="T19" i="31"/>
  <c r="T18" i="31"/>
  <c r="U13" i="31"/>
  <c r="U12" i="31"/>
  <c r="U11" i="31"/>
  <c r="U10" i="31"/>
  <c r="U9" i="31"/>
  <c r="U8" i="31"/>
  <c r="U7" i="31"/>
  <c r="T13" i="31"/>
  <c r="T12" i="31"/>
  <c r="T10" i="31"/>
  <c r="T9" i="31"/>
  <c r="T8" i="31"/>
  <c r="T7" i="31"/>
  <c r="U24" i="31"/>
  <c r="U23" i="31"/>
  <c r="U22" i="31"/>
  <c r="U21" i="31"/>
  <c r="U20" i="31"/>
  <c r="U19" i="31"/>
  <c r="U18" i="31"/>
  <c r="O69" i="31"/>
  <c r="O70" i="31" s="1"/>
  <c r="N69" i="31"/>
  <c r="N70" i="31" s="1"/>
  <c r="M69" i="31"/>
  <c r="L69" i="31"/>
  <c r="K69" i="31"/>
  <c r="I69" i="31"/>
  <c r="H69" i="31"/>
  <c r="G69" i="31"/>
  <c r="F69" i="31"/>
  <c r="F70" i="31" s="1"/>
  <c r="E69" i="31"/>
  <c r="E70" i="31" s="1"/>
  <c r="D69" i="31"/>
  <c r="C69" i="31"/>
  <c r="O68" i="31"/>
  <c r="N68" i="31"/>
  <c r="M68" i="31"/>
  <c r="L68" i="31"/>
  <c r="K68" i="31"/>
  <c r="I68" i="31"/>
  <c r="H68" i="31"/>
  <c r="G68" i="31"/>
  <c r="F68" i="31"/>
  <c r="E68" i="31"/>
  <c r="D68" i="31"/>
  <c r="C68" i="31"/>
  <c r="K70" i="31"/>
  <c r="I70" i="31"/>
  <c r="M70" i="31"/>
  <c r="L70" i="31"/>
  <c r="H70" i="31"/>
  <c r="G70" i="31"/>
  <c r="D70" i="31"/>
  <c r="C70" i="31"/>
  <c r="W23" i="31"/>
  <c r="W22" i="31"/>
  <c r="W21" i="31"/>
  <c r="W20" i="31"/>
  <c r="W24" i="31"/>
  <c r="W19" i="31"/>
  <c r="W18" i="31"/>
  <c r="V24" i="31"/>
  <c r="V23" i="31"/>
  <c r="V22" i="31"/>
  <c r="V21" i="31"/>
  <c r="V20" i="31"/>
  <c r="V19" i="31"/>
  <c r="V18" i="31"/>
  <c r="O52" i="31"/>
  <c r="N52" i="31"/>
  <c r="N53" i="31" s="1"/>
  <c r="M52" i="31"/>
  <c r="M53" i="31" s="1"/>
  <c r="L52" i="31"/>
  <c r="L53" i="31" s="1"/>
  <c r="K52" i="31"/>
  <c r="I52" i="31"/>
  <c r="H52" i="31"/>
  <c r="H53" i="31" s="1"/>
  <c r="G52" i="31"/>
  <c r="G53" i="31" s="1"/>
  <c r="F52" i="31"/>
  <c r="E52" i="31"/>
  <c r="D52" i="31"/>
  <c r="D53" i="31" s="1"/>
  <c r="C52" i="31"/>
  <c r="C53" i="31" s="1"/>
  <c r="O51" i="31"/>
  <c r="N51" i="31"/>
  <c r="M51" i="31"/>
  <c r="L51" i="31"/>
  <c r="K51" i="31"/>
  <c r="I51" i="31"/>
  <c r="H51" i="31"/>
  <c r="G51" i="31"/>
  <c r="F51" i="31"/>
  <c r="E51" i="31"/>
  <c r="D51" i="31"/>
  <c r="C51" i="31"/>
  <c r="O53" i="31"/>
  <c r="K53" i="31"/>
  <c r="F53" i="31"/>
  <c r="I53" i="31"/>
  <c r="E53" i="31"/>
  <c r="W11" i="31"/>
  <c r="W10" i="31"/>
  <c r="W7" i="31"/>
  <c r="V13" i="31"/>
  <c r="V12" i="31"/>
  <c r="V11" i="31"/>
  <c r="V8" i="31"/>
  <c r="V7" i="31"/>
  <c r="D31" i="31"/>
  <c r="E31" i="31"/>
  <c r="F31" i="31"/>
  <c r="G31" i="31"/>
  <c r="H31" i="31"/>
  <c r="I31" i="31"/>
  <c r="C31" i="31"/>
  <c r="D32" i="31"/>
  <c r="D33" i="31" s="1"/>
  <c r="W8" i="31" s="1"/>
  <c r="E32" i="31"/>
  <c r="E33" i="31" s="1"/>
  <c r="F32" i="31"/>
  <c r="F33" i="31" s="1"/>
  <c r="G32" i="31"/>
  <c r="H32" i="31"/>
  <c r="H33" i="31" s="1"/>
  <c r="W12" i="31" s="1"/>
  <c r="I32" i="31"/>
  <c r="I33" i="31" s="1"/>
  <c r="W13" i="31" s="1"/>
  <c r="G33" i="31"/>
  <c r="C32" i="31"/>
  <c r="C33" i="31" s="1"/>
  <c r="M196" i="32" l="1"/>
  <c r="N195" i="32"/>
  <c r="N196" i="32" s="1"/>
  <c r="AG264" i="32"/>
  <c r="AG265" i="32" s="1"/>
  <c r="AF265" i="32"/>
  <c r="N412" i="31"/>
  <c r="N413" i="31" s="1"/>
  <c r="M413" i="31"/>
  <c r="M113" i="32"/>
  <c r="N112" i="32"/>
  <c r="N113" i="32" s="1"/>
  <c r="M274" i="31"/>
  <c r="N273" i="31"/>
  <c r="N274" i="31" s="1"/>
  <c r="AF103" i="32"/>
  <c r="AG102" i="32"/>
  <c r="AG103" i="32" s="1"/>
  <c r="M140" i="32"/>
  <c r="N139" i="32"/>
  <c r="N140" i="32" s="1"/>
  <c r="AF239" i="32"/>
  <c r="AG238" i="32"/>
  <c r="AG239" i="32" s="1"/>
  <c r="AF212" i="32"/>
  <c r="AG211" i="32"/>
  <c r="AG212" i="32" s="1"/>
  <c r="N300" i="31"/>
  <c r="N301" i="31" s="1"/>
  <c r="M301" i="31"/>
  <c r="AF130" i="32"/>
  <c r="AG129" i="32"/>
  <c r="AG130" i="32" s="1"/>
  <c r="M385" i="31"/>
  <c r="N384" i="31"/>
  <c r="N385" i="31" s="1"/>
  <c r="AF157" i="32"/>
  <c r="AG156" i="32"/>
  <c r="AG157" i="32" s="1"/>
  <c r="M329" i="31"/>
  <c r="N328" i="31"/>
  <c r="N329" i="31" s="1"/>
  <c r="M249" i="32"/>
  <c r="N248" i="32"/>
  <c r="N249" i="32" s="1"/>
  <c r="D84" i="19"/>
  <c r="E84" i="19"/>
  <c r="F84" i="19"/>
  <c r="G84" i="19"/>
  <c r="H84" i="19"/>
  <c r="I84" i="19"/>
  <c r="D85" i="19"/>
  <c r="E85" i="19"/>
  <c r="F85" i="19"/>
  <c r="G85" i="19"/>
  <c r="H85" i="19"/>
  <c r="I85" i="19"/>
  <c r="D86" i="19"/>
  <c r="E86" i="19"/>
  <c r="F86" i="19"/>
  <c r="G86" i="19"/>
  <c r="H86" i="19"/>
  <c r="I86" i="19"/>
  <c r="D87" i="19"/>
  <c r="E87" i="19"/>
  <c r="F87" i="19"/>
  <c r="G87" i="19"/>
  <c r="H87" i="19"/>
  <c r="I87" i="19"/>
  <c r="D88" i="19"/>
  <c r="E88" i="19"/>
  <c r="F88" i="19"/>
  <c r="G88" i="19"/>
  <c r="H88" i="19"/>
  <c r="I88" i="19"/>
  <c r="D89" i="19"/>
  <c r="E89" i="19"/>
  <c r="F89" i="19"/>
  <c r="G89" i="19"/>
  <c r="H89" i="19"/>
  <c r="I89" i="19"/>
  <c r="D90" i="19"/>
  <c r="E90" i="19"/>
  <c r="F90" i="19"/>
  <c r="G90" i="19"/>
  <c r="H90" i="19"/>
  <c r="I90" i="19"/>
  <c r="D91" i="19"/>
  <c r="E91" i="19"/>
  <c r="F91" i="19"/>
  <c r="G91" i="19"/>
  <c r="H91" i="19"/>
  <c r="I91" i="19"/>
  <c r="C85" i="19"/>
  <c r="C86" i="19"/>
  <c r="C87" i="19"/>
  <c r="C88" i="19"/>
  <c r="C89" i="19"/>
  <c r="C90" i="19"/>
  <c r="C91" i="19"/>
  <c r="C84" i="19"/>
  <c r="Q59" i="32" l="1"/>
  <c r="P59" i="32"/>
  <c r="O59" i="32"/>
  <c r="N59" i="32"/>
  <c r="M59" i="32"/>
  <c r="L59" i="32"/>
  <c r="K59" i="32"/>
  <c r="Q58" i="32"/>
  <c r="P58" i="32"/>
  <c r="O58" i="32"/>
  <c r="N58" i="32"/>
  <c r="M58" i="32"/>
  <c r="L58" i="32"/>
  <c r="K58" i="32"/>
  <c r="Q57" i="32"/>
  <c r="P57" i="32"/>
  <c r="O57" i="32"/>
  <c r="N57" i="32"/>
  <c r="M57" i="32"/>
  <c r="L57" i="32"/>
  <c r="K57" i="32"/>
  <c r="Q56" i="32"/>
  <c r="P56" i="32"/>
  <c r="O56" i="32"/>
  <c r="N56" i="32"/>
  <c r="M56" i="32"/>
  <c r="L56" i="32"/>
  <c r="K56" i="32"/>
  <c r="Q43" i="32"/>
  <c r="P43" i="32"/>
  <c r="O43" i="32"/>
  <c r="N43" i="32"/>
  <c r="M43" i="32"/>
  <c r="L43" i="32"/>
  <c r="K43" i="32"/>
  <c r="Q42" i="32"/>
  <c r="P42" i="32"/>
  <c r="O42" i="32"/>
  <c r="N42" i="32"/>
  <c r="M42" i="32"/>
  <c r="L42" i="32"/>
  <c r="K42" i="32"/>
  <c r="Q41" i="32"/>
  <c r="P41" i="32"/>
  <c r="O41" i="32"/>
  <c r="N41" i="32"/>
  <c r="M41" i="32"/>
  <c r="L41" i="32"/>
  <c r="K41" i="32"/>
  <c r="Q40" i="32"/>
  <c r="P40" i="32"/>
  <c r="O40" i="32"/>
  <c r="N40" i="32"/>
  <c r="M40" i="32"/>
  <c r="L40" i="32"/>
  <c r="K40" i="32"/>
  <c r="Q39" i="32"/>
  <c r="P39" i="32"/>
  <c r="O39" i="32"/>
  <c r="N39" i="32"/>
  <c r="M39" i="32"/>
  <c r="L39" i="32"/>
  <c r="K39" i="32"/>
  <c r="Q38" i="32"/>
  <c r="P38" i="32"/>
  <c r="O38" i="32"/>
  <c r="N38" i="32"/>
  <c r="M38" i="32"/>
  <c r="L38" i="32"/>
  <c r="K38" i="32"/>
  <c r="Q37" i="32"/>
  <c r="P37" i="32"/>
  <c r="O37" i="32"/>
  <c r="N37" i="32"/>
  <c r="M37" i="32"/>
  <c r="L37" i="32"/>
  <c r="K37" i="32"/>
  <c r="Q23" i="32"/>
  <c r="P23" i="32"/>
  <c r="O23" i="32"/>
  <c r="N23" i="32"/>
  <c r="M23" i="32"/>
  <c r="L23" i="32"/>
  <c r="K23" i="32"/>
  <c r="Q22" i="32"/>
  <c r="P22" i="32"/>
  <c r="O22" i="32"/>
  <c r="N22" i="32"/>
  <c r="M22" i="32"/>
  <c r="L22" i="32"/>
  <c r="K22" i="32"/>
  <c r="Q21" i="32"/>
  <c r="P21" i="32"/>
  <c r="O21" i="32"/>
  <c r="N21" i="32"/>
  <c r="M21" i="32"/>
  <c r="L21" i="32"/>
  <c r="K21" i="32"/>
  <c r="Q20" i="32"/>
  <c r="P20" i="32"/>
  <c r="O20" i="32"/>
  <c r="N20" i="32"/>
  <c r="M20" i="32"/>
  <c r="L20" i="32"/>
  <c r="K20" i="32"/>
  <c r="Q19" i="32"/>
  <c r="P19" i="32"/>
  <c r="O19" i="32"/>
  <c r="N19" i="32"/>
  <c r="M19" i="32"/>
  <c r="L19" i="32"/>
  <c r="K19" i="32"/>
  <c r="Q18" i="32"/>
  <c r="P18" i="32"/>
  <c r="O18" i="32"/>
  <c r="N18" i="32"/>
  <c r="M18" i="32"/>
  <c r="L18" i="32"/>
  <c r="K18" i="32"/>
  <c r="Q17" i="32"/>
  <c r="P17" i="32"/>
  <c r="O17" i="32"/>
  <c r="N17" i="32"/>
  <c r="M17" i="32"/>
  <c r="L17" i="32"/>
  <c r="K17" i="32"/>
  <c r="Q16" i="32"/>
  <c r="P16" i="32"/>
  <c r="O16" i="32"/>
  <c r="N16" i="32"/>
  <c r="M16" i="32"/>
  <c r="L16" i="32"/>
  <c r="K16" i="32"/>
  <c r="Q15" i="32"/>
  <c r="P15" i="32"/>
  <c r="O15" i="32"/>
  <c r="N15" i="32"/>
  <c r="M15" i="32"/>
  <c r="L15" i="32"/>
  <c r="K15" i="32"/>
  <c r="Q14" i="32"/>
  <c r="P14" i="32"/>
  <c r="O14" i="32"/>
  <c r="N14" i="32"/>
  <c r="M14" i="32"/>
  <c r="L14" i="32"/>
  <c r="K14" i="32"/>
  <c r="Q13" i="32"/>
  <c r="P13" i="32"/>
  <c r="O13" i="32"/>
  <c r="N13" i="32"/>
  <c r="M13" i="32"/>
  <c r="L13" i="32"/>
  <c r="K13" i="32"/>
  <c r="Q12" i="32"/>
  <c r="P12" i="32"/>
  <c r="O12" i="32"/>
  <c r="N12" i="32"/>
  <c r="M12" i="32"/>
  <c r="L12" i="32"/>
  <c r="K12" i="32"/>
  <c r="Q11" i="32"/>
  <c r="P11" i="32"/>
  <c r="O11" i="32"/>
  <c r="N11" i="32"/>
  <c r="M11" i="32"/>
  <c r="L11" i="32"/>
  <c r="K11" i="32"/>
  <c r="Q10" i="32"/>
  <c r="P10" i="32"/>
  <c r="O10" i="32"/>
  <c r="N10" i="32"/>
  <c r="M10" i="32"/>
  <c r="L10" i="32"/>
  <c r="K10" i="32"/>
  <c r="Q9" i="32"/>
  <c r="P9" i="32"/>
  <c r="O9" i="32"/>
  <c r="M9" i="32"/>
  <c r="L9" i="32"/>
  <c r="K9" i="32"/>
  <c r="Q8" i="32"/>
  <c r="P8" i="32"/>
  <c r="O8" i="32"/>
  <c r="M8" i="32"/>
  <c r="L8" i="32"/>
  <c r="K8" i="32"/>
  <c r="Q7" i="32"/>
  <c r="P7" i="32"/>
  <c r="O7" i="32"/>
  <c r="N7" i="32"/>
  <c r="M7" i="32"/>
  <c r="L7" i="32"/>
  <c r="K7" i="32"/>
  <c r="Q6" i="32"/>
  <c r="P6" i="32"/>
  <c r="O6" i="32"/>
  <c r="N6" i="32"/>
  <c r="M6" i="32"/>
  <c r="L6" i="32"/>
  <c r="K6" i="32"/>
  <c r="L48" i="32" l="1"/>
  <c r="L49" i="32" s="1"/>
  <c r="L47" i="32"/>
  <c r="P48" i="32"/>
  <c r="P49" i="32" s="1"/>
  <c r="P47" i="32"/>
  <c r="K63" i="32"/>
  <c r="K64" i="32"/>
  <c r="K65" i="32" s="1"/>
  <c r="O63" i="32"/>
  <c r="O64" i="32"/>
  <c r="O65" i="32" s="1"/>
  <c r="M47" i="32"/>
  <c r="M48" i="32"/>
  <c r="M49" i="32" s="1"/>
  <c r="Q48" i="32"/>
  <c r="Q49" i="32" s="1"/>
  <c r="Q47" i="32"/>
  <c r="L63" i="32"/>
  <c r="L64" i="32"/>
  <c r="L65" i="32" s="1"/>
  <c r="P63" i="32"/>
  <c r="P64" i="32"/>
  <c r="P65" i="32" s="1"/>
  <c r="N48" i="32"/>
  <c r="N49" i="32" s="1"/>
  <c r="N47" i="32"/>
  <c r="M64" i="32"/>
  <c r="M65" i="32" s="1"/>
  <c r="M63" i="32"/>
  <c r="Q64" i="32"/>
  <c r="Q65" i="32" s="1"/>
  <c r="Q63" i="32"/>
  <c r="K47" i="32"/>
  <c r="K48" i="32"/>
  <c r="K49" i="32" s="1"/>
  <c r="O48" i="32"/>
  <c r="O49" i="32" s="1"/>
  <c r="O47" i="32"/>
  <c r="N64" i="32"/>
  <c r="N65" i="32" s="1"/>
  <c r="N63" i="32"/>
  <c r="N28" i="32"/>
  <c r="N29" i="32" s="1"/>
  <c r="N27" i="32"/>
  <c r="K28" i="32"/>
  <c r="K29" i="32" s="1"/>
  <c r="K27" i="32"/>
  <c r="O28" i="32"/>
  <c r="O29" i="32" s="1"/>
  <c r="O27" i="32"/>
  <c r="L27" i="32"/>
  <c r="L28" i="32"/>
  <c r="L29" i="32" s="1"/>
  <c r="P27" i="32"/>
  <c r="P28" i="32"/>
  <c r="P29" i="32" s="1"/>
  <c r="M27" i="32"/>
  <c r="M28" i="32"/>
  <c r="M29" i="32" s="1"/>
  <c r="Q27" i="32"/>
  <c r="Q28" i="32"/>
  <c r="Q29" i="32" s="1"/>
  <c r="Q64" i="31"/>
  <c r="P64" i="31"/>
  <c r="O64" i="31"/>
  <c r="N64" i="31"/>
  <c r="M64" i="31"/>
  <c r="L64" i="31"/>
  <c r="K64" i="31"/>
  <c r="Q63" i="31"/>
  <c r="P63" i="31"/>
  <c r="O63" i="31"/>
  <c r="N63" i="31"/>
  <c r="M63" i="31"/>
  <c r="L63" i="31"/>
  <c r="K63" i="31"/>
  <c r="Q62" i="31"/>
  <c r="P62" i="31"/>
  <c r="O62" i="31"/>
  <c r="N62" i="31"/>
  <c r="M62" i="31"/>
  <c r="L62" i="31"/>
  <c r="K62" i="31"/>
  <c r="Q61" i="31"/>
  <c r="P61" i="31"/>
  <c r="O61" i="31"/>
  <c r="N61" i="31"/>
  <c r="M61" i="31"/>
  <c r="L61" i="31"/>
  <c r="K61" i="31"/>
  <c r="Q60" i="31"/>
  <c r="P60" i="31"/>
  <c r="O60" i="31"/>
  <c r="N60" i="31"/>
  <c r="M60" i="31"/>
  <c r="L60" i="31"/>
  <c r="K60" i="31"/>
  <c r="Q47" i="31"/>
  <c r="P47" i="31"/>
  <c r="O47" i="31"/>
  <c r="N47" i="31"/>
  <c r="M47" i="31"/>
  <c r="L47" i="31"/>
  <c r="K47" i="31"/>
  <c r="Q46" i="31"/>
  <c r="P46" i="31"/>
  <c r="O46" i="31"/>
  <c r="N46" i="31"/>
  <c r="M46" i="31"/>
  <c r="L46" i="31"/>
  <c r="K46" i="31"/>
  <c r="Q45" i="31"/>
  <c r="P45" i="31"/>
  <c r="O45" i="31"/>
  <c r="N45" i="31"/>
  <c r="M45" i="31"/>
  <c r="L45" i="31"/>
  <c r="K45" i="31"/>
  <c r="Q44" i="31"/>
  <c r="P44" i="31"/>
  <c r="O44" i="31"/>
  <c r="N44" i="31"/>
  <c r="M44" i="31"/>
  <c r="L44" i="31"/>
  <c r="K44" i="31"/>
  <c r="Q43" i="31"/>
  <c r="P43" i="31"/>
  <c r="O43" i="31"/>
  <c r="N43" i="31"/>
  <c r="M43" i="31"/>
  <c r="L43" i="31"/>
  <c r="K43" i="31"/>
  <c r="Q42" i="31"/>
  <c r="P42" i="31"/>
  <c r="O42" i="31"/>
  <c r="N42" i="31"/>
  <c r="M42" i="31"/>
  <c r="L42" i="31"/>
  <c r="K42" i="31"/>
  <c r="Q41" i="31"/>
  <c r="P41" i="31"/>
  <c r="O41" i="31"/>
  <c r="N41" i="31"/>
  <c r="M41" i="31"/>
  <c r="L41" i="31"/>
  <c r="K41" i="31"/>
  <c r="Q40" i="31"/>
  <c r="P40" i="31"/>
  <c r="O40" i="31"/>
  <c r="N40" i="31"/>
  <c r="M40" i="31"/>
  <c r="L40" i="31"/>
  <c r="K40" i="31"/>
  <c r="Q27" i="31"/>
  <c r="P27" i="31"/>
  <c r="O27" i="31"/>
  <c r="N27" i="31"/>
  <c r="M27" i="31"/>
  <c r="L27" i="31"/>
  <c r="K27" i="31"/>
  <c r="Q26" i="31"/>
  <c r="P26" i="31"/>
  <c r="O26" i="31"/>
  <c r="N26" i="31"/>
  <c r="M26" i="31"/>
  <c r="L26" i="31"/>
  <c r="K26" i="31"/>
  <c r="Q25" i="31"/>
  <c r="P25" i="31"/>
  <c r="O25" i="31"/>
  <c r="N25" i="31"/>
  <c r="M25" i="31"/>
  <c r="L25" i="31"/>
  <c r="K25" i="31"/>
  <c r="Q24" i="31"/>
  <c r="P24" i="31"/>
  <c r="O24" i="31"/>
  <c r="N24" i="31"/>
  <c r="M24" i="31"/>
  <c r="L24" i="31"/>
  <c r="K24" i="31"/>
  <c r="Q23" i="31"/>
  <c r="P23" i="31"/>
  <c r="O23" i="31"/>
  <c r="N23" i="31"/>
  <c r="M23" i="31"/>
  <c r="L23" i="31"/>
  <c r="K23" i="31"/>
  <c r="Q22" i="31"/>
  <c r="P22" i="31"/>
  <c r="O22" i="31"/>
  <c r="N22" i="31"/>
  <c r="M22" i="31"/>
  <c r="L22" i="31"/>
  <c r="K22" i="31"/>
  <c r="Q21" i="31"/>
  <c r="P21" i="31"/>
  <c r="O21" i="31"/>
  <c r="N21" i="31"/>
  <c r="M21" i="31"/>
  <c r="L21" i="31"/>
  <c r="K21" i="31"/>
  <c r="Q20" i="31"/>
  <c r="P20" i="31"/>
  <c r="O20" i="31"/>
  <c r="N20" i="31"/>
  <c r="M20" i="31"/>
  <c r="L20" i="31"/>
  <c r="K20" i="31"/>
  <c r="Q19" i="31"/>
  <c r="P19" i="31"/>
  <c r="O19" i="31"/>
  <c r="N19" i="31"/>
  <c r="M19" i="31"/>
  <c r="L19" i="31"/>
  <c r="K19" i="31"/>
  <c r="Q18" i="31"/>
  <c r="P18" i="31"/>
  <c r="O18" i="31"/>
  <c r="N18" i="31"/>
  <c r="M18" i="31"/>
  <c r="L18" i="31"/>
  <c r="K18" i="31"/>
  <c r="Q17" i="31"/>
  <c r="P17" i="31"/>
  <c r="O17" i="31"/>
  <c r="N17" i="31"/>
  <c r="M17" i="31"/>
  <c r="L17" i="31"/>
  <c r="K17" i="31"/>
  <c r="Q16" i="31"/>
  <c r="P16" i="31"/>
  <c r="O16" i="31"/>
  <c r="N16" i="31"/>
  <c r="M16" i="31"/>
  <c r="L16" i="31"/>
  <c r="K16" i="31"/>
  <c r="Q15" i="31"/>
  <c r="P15" i="31"/>
  <c r="O15" i="31"/>
  <c r="N15" i="31"/>
  <c r="M15" i="31"/>
  <c r="L15" i="31"/>
  <c r="K15" i="31"/>
  <c r="Q14" i="31"/>
  <c r="P14" i="31"/>
  <c r="O14" i="31"/>
  <c r="N14" i="31"/>
  <c r="M14" i="31"/>
  <c r="L14" i="31"/>
  <c r="K14" i="31"/>
  <c r="Q13" i="31"/>
  <c r="P13" i="31"/>
  <c r="O13" i="31"/>
  <c r="N13" i="31"/>
  <c r="M13" i="31"/>
  <c r="L13" i="31"/>
  <c r="K13" i="31"/>
  <c r="Q12" i="31"/>
  <c r="P12" i="31"/>
  <c r="O12" i="31"/>
  <c r="N12" i="31"/>
  <c r="M12" i="31"/>
  <c r="L12" i="31"/>
  <c r="K12" i="31"/>
  <c r="Q11" i="31"/>
  <c r="P11" i="31"/>
  <c r="O11" i="31"/>
  <c r="N11" i="31"/>
  <c r="M11" i="31"/>
  <c r="L11" i="31"/>
  <c r="K11" i="31"/>
  <c r="Q10" i="31"/>
  <c r="P10" i="31"/>
  <c r="O10" i="31"/>
  <c r="N10" i="31"/>
  <c r="M10" i="31"/>
  <c r="L10" i="31"/>
  <c r="K10" i="31"/>
  <c r="Q9" i="31"/>
  <c r="P9" i="31"/>
  <c r="O9" i="31"/>
  <c r="N9" i="31"/>
  <c r="M9" i="31"/>
  <c r="L9" i="31"/>
  <c r="K9" i="31"/>
  <c r="Q8" i="31"/>
  <c r="P8" i="31"/>
  <c r="O8" i="31"/>
  <c r="N8" i="31"/>
  <c r="M8" i="31"/>
  <c r="L8" i="31"/>
  <c r="K8" i="31"/>
  <c r="Q7" i="31"/>
  <c r="P7" i="31"/>
  <c r="O7" i="31"/>
  <c r="N7" i="31"/>
  <c r="M7" i="31"/>
  <c r="L7" i="31"/>
  <c r="K7" i="31"/>
  <c r="Q6" i="31"/>
  <c r="P6" i="31"/>
  <c r="O6" i="31"/>
  <c r="M6" i="31"/>
  <c r="L6" i="31"/>
  <c r="K6" i="31"/>
  <c r="P68" i="31" l="1"/>
  <c r="P69" i="31"/>
  <c r="P70" i="31" s="1"/>
  <c r="Q69" i="31"/>
  <c r="Q70" i="31" s="1"/>
  <c r="Q68" i="31"/>
  <c r="P52" i="31"/>
  <c r="P53" i="31" s="1"/>
  <c r="P51" i="31"/>
  <c r="Q52" i="31"/>
  <c r="Q53" i="31" s="1"/>
  <c r="Q51" i="31"/>
  <c r="L32" i="31"/>
  <c r="L33" i="31" s="1"/>
  <c r="L31" i="31"/>
  <c r="N31" i="31"/>
  <c r="N32" i="31"/>
  <c r="N33" i="31" s="1"/>
  <c r="M31" i="31"/>
  <c r="M32" i="31"/>
  <c r="M33" i="31" s="1"/>
  <c r="Q31" i="31"/>
  <c r="Q32" i="31"/>
  <c r="Q33" i="31" s="1"/>
  <c r="O31" i="31"/>
  <c r="O32" i="31"/>
  <c r="O33" i="31" s="1"/>
  <c r="K31" i="31"/>
  <c r="K32" i="31"/>
  <c r="K33" i="31" s="1"/>
  <c r="P32" i="31"/>
  <c r="P33" i="31" s="1"/>
  <c r="P31" i="31"/>
  <c r="L6" i="22"/>
  <c r="M6" i="22"/>
  <c r="N6" i="22"/>
  <c r="O6" i="22"/>
  <c r="P6" i="22"/>
  <c r="Q6" i="22"/>
  <c r="L7" i="22"/>
  <c r="M7" i="22"/>
  <c r="N7" i="22"/>
  <c r="O7" i="22"/>
  <c r="P7" i="22"/>
  <c r="Q7" i="22"/>
  <c r="L8" i="22"/>
  <c r="M8" i="22"/>
  <c r="N8" i="22"/>
  <c r="O8" i="22"/>
  <c r="P8" i="22"/>
  <c r="Q8" i="22"/>
  <c r="L9" i="22"/>
  <c r="M9" i="22"/>
  <c r="N9" i="22"/>
  <c r="O9" i="22"/>
  <c r="P9" i="22"/>
  <c r="Q9" i="22"/>
  <c r="L10" i="22"/>
  <c r="M10" i="22"/>
  <c r="N10" i="22"/>
  <c r="O10" i="22"/>
  <c r="P10" i="22"/>
  <c r="Q10" i="22"/>
  <c r="L11" i="22"/>
  <c r="M11" i="22"/>
  <c r="N11" i="22"/>
  <c r="O11" i="22"/>
  <c r="P11" i="22"/>
  <c r="Q11" i="22"/>
  <c r="L12" i="22"/>
  <c r="M12" i="22"/>
  <c r="N12" i="22"/>
  <c r="O12" i="22"/>
  <c r="P12" i="22"/>
  <c r="Q12" i="22"/>
  <c r="L13" i="22"/>
  <c r="M13" i="22"/>
  <c r="N13" i="22"/>
  <c r="O13" i="22"/>
  <c r="P13" i="22"/>
  <c r="Q13" i="22"/>
  <c r="L14" i="22"/>
  <c r="M14" i="22"/>
  <c r="N14" i="22"/>
  <c r="O14" i="22"/>
  <c r="P14" i="22"/>
  <c r="Q14" i="22"/>
  <c r="L15" i="22"/>
  <c r="M15" i="22"/>
  <c r="N15" i="22"/>
  <c r="O15" i="22"/>
  <c r="P15" i="22"/>
  <c r="L16" i="22"/>
  <c r="M16" i="22"/>
  <c r="N16" i="22"/>
  <c r="O16" i="22"/>
  <c r="P16" i="22"/>
  <c r="Q16" i="22"/>
  <c r="L17" i="22"/>
  <c r="M17" i="22"/>
  <c r="N17" i="22"/>
  <c r="O17" i="22"/>
  <c r="P17" i="22"/>
  <c r="Q17" i="22"/>
  <c r="L18" i="22"/>
  <c r="M18" i="22"/>
  <c r="N18" i="22"/>
  <c r="O18" i="22"/>
  <c r="P18" i="22"/>
  <c r="Q18" i="22"/>
  <c r="L19" i="22"/>
  <c r="M19" i="22"/>
  <c r="N19" i="22"/>
  <c r="O19" i="22"/>
  <c r="P19" i="22"/>
  <c r="Q19" i="22"/>
  <c r="L20" i="22"/>
  <c r="M20" i="22"/>
  <c r="N20" i="22"/>
  <c r="O20" i="22"/>
  <c r="P20" i="22"/>
  <c r="Q20" i="22"/>
  <c r="L21" i="22"/>
  <c r="M21" i="22"/>
  <c r="N21" i="22"/>
  <c r="O21" i="22"/>
  <c r="P21" i="22"/>
  <c r="Q21" i="22"/>
  <c r="L22" i="22"/>
  <c r="M22" i="22"/>
  <c r="N22" i="22"/>
  <c r="O22" i="22"/>
  <c r="P22" i="22"/>
  <c r="Q22" i="22"/>
  <c r="L23" i="22"/>
  <c r="M23" i="22"/>
  <c r="N23" i="22"/>
  <c r="O23" i="22"/>
  <c r="P23" i="22"/>
  <c r="Q23" i="22"/>
  <c r="L24" i="22"/>
  <c r="M24" i="22"/>
  <c r="N24" i="22"/>
  <c r="O24" i="22"/>
  <c r="P24" i="22"/>
  <c r="Q24" i="22"/>
  <c r="L25" i="22"/>
  <c r="M25" i="22"/>
  <c r="N25" i="22"/>
  <c r="O25" i="22"/>
  <c r="P25" i="22"/>
  <c r="Q25" i="22"/>
  <c r="L26" i="22"/>
  <c r="M26" i="22"/>
  <c r="N26" i="22"/>
  <c r="O26" i="22"/>
  <c r="P26" i="22"/>
  <c r="Q26" i="22"/>
  <c r="L27" i="22"/>
  <c r="M27" i="22"/>
  <c r="N27" i="22"/>
  <c r="O27" i="22"/>
  <c r="P27" i="22"/>
  <c r="Q27" i="22"/>
  <c r="L28" i="22"/>
  <c r="M28" i="22"/>
  <c r="N28" i="22"/>
  <c r="O28" i="22"/>
  <c r="P28" i="22"/>
  <c r="Q28" i="22"/>
  <c r="L29" i="22"/>
  <c r="M29" i="22"/>
  <c r="N29" i="22"/>
  <c r="O29" i="22"/>
  <c r="P29" i="22"/>
  <c r="Q29" i="22"/>
  <c r="L30" i="22"/>
  <c r="M30" i="22"/>
  <c r="N30" i="22"/>
  <c r="O30" i="22"/>
  <c r="P30" i="22"/>
  <c r="Q30" i="22"/>
  <c r="L31" i="22"/>
  <c r="M31" i="22"/>
  <c r="N31" i="22"/>
  <c r="O31" i="22"/>
  <c r="P31" i="22"/>
  <c r="Q31" i="22"/>
  <c r="L32" i="22"/>
  <c r="M32" i="22"/>
  <c r="N32" i="22"/>
  <c r="O32" i="22"/>
  <c r="P32" i="22"/>
  <c r="Q32" i="22"/>
  <c r="L33" i="22"/>
  <c r="M33" i="22"/>
  <c r="N33" i="22"/>
  <c r="O33" i="22"/>
  <c r="P33" i="22"/>
  <c r="Q33" i="22"/>
  <c r="L34" i="22"/>
  <c r="M34" i="22"/>
  <c r="N34" i="22"/>
  <c r="O34" i="22"/>
  <c r="P34" i="22"/>
  <c r="Q34" i="22"/>
  <c r="L35" i="22"/>
  <c r="M35" i="22"/>
  <c r="N35" i="22"/>
  <c r="O35" i="22"/>
  <c r="P35" i="22"/>
  <c r="Q35" i="22"/>
  <c r="L36" i="22"/>
  <c r="M36" i="22"/>
  <c r="N36" i="22"/>
  <c r="O36" i="22"/>
  <c r="P36" i="22"/>
  <c r="Q36" i="22"/>
  <c r="L37" i="22"/>
  <c r="M37" i="22"/>
  <c r="N37" i="22"/>
  <c r="O37" i="22"/>
  <c r="P37" i="22"/>
  <c r="Q37" i="22"/>
  <c r="L38" i="22"/>
  <c r="M38" i="22"/>
  <c r="N38" i="22"/>
  <c r="O38" i="22"/>
  <c r="P38" i="22"/>
  <c r="Q38" i="22"/>
  <c r="L39" i="22"/>
  <c r="M39" i="22"/>
  <c r="N39" i="22"/>
  <c r="O39" i="22"/>
  <c r="P39" i="22"/>
  <c r="Q39" i="22"/>
  <c r="L40" i="22"/>
  <c r="M40" i="22"/>
  <c r="N40" i="22"/>
  <c r="O40" i="22"/>
  <c r="P40" i="22"/>
  <c r="Q40" i="22"/>
  <c r="L41" i="22"/>
  <c r="M41" i="22"/>
  <c r="N41" i="22"/>
  <c r="O41" i="22"/>
  <c r="P41" i="22"/>
  <c r="Q41" i="22"/>
  <c r="L42" i="22"/>
  <c r="M42" i="22"/>
  <c r="N42" i="22"/>
  <c r="O42" i="22"/>
  <c r="P42" i="22"/>
  <c r="Q42" i="22"/>
  <c r="L43" i="22"/>
  <c r="M43" i="22"/>
  <c r="N43" i="22"/>
  <c r="O43" i="22"/>
  <c r="P43" i="22"/>
  <c r="Q43" i="22"/>
  <c r="L44" i="22"/>
  <c r="M44" i="22"/>
  <c r="N44" i="22"/>
  <c r="O44" i="22"/>
  <c r="P44" i="22"/>
  <c r="Q44" i="22"/>
  <c r="L45" i="22"/>
  <c r="M45" i="22"/>
  <c r="N45" i="22"/>
  <c r="O45" i="22"/>
  <c r="P45" i="22"/>
  <c r="Q45" i="22"/>
  <c r="L46" i="22"/>
  <c r="M46" i="22"/>
  <c r="N46" i="22"/>
  <c r="O46" i="22"/>
  <c r="P46" i="22"/>
  <c r="Q46" i="22"/>
  <c r="L47" i="22"/>
  <c r="M47" i="22"/>
  <c r="N47" i="22"/>
  <c r="O47" i="22"/>
  <c r="P47" i="22"/>
  <c r="Q47" i="22"/>
  <c r="L48" i="22"/>
  <c r="M48" i="22"/>
  <c r="N48" i="22"/>
  <c r="O48" i="22"/>
  <c r="P48" i="22"/>
  <c r="Q48" i="22"/>
  <c r="L49" i="22"/>
  <c r="M49" i="22"/>
  <c r="N49" i="22"/>
  <c r="O49" i="22"/>
  <c r="P49" i="22"/>
  <c r="Q49" i="22"/>
  <c r="L50" i="22"/>
  <c r="M50" i="22"/>
  <c r="N50" i="22"/>
  <c r="O50" i="22"/>
  <c r="P50" i="22"/>
  <c r="Q50" i="22"/>
  <c r="L63" i="22"/>
  <c r="M63" i="22"/>
  <c r="N63" i="22"/>
  <c r="O63" i="22"/>
  <c r="P63" i="22"/>
  <c r="Q63" i="22"/>
  <c r="K7" i="22"/>
  <c r="K8" i="22"/>
  <c r="K9" i="22"/>
  <c r="K10" i="22"/>
  <c r="K11" i="22"/>
  <c r="K12" i="22"/>
  <c r="K13" i="22"/>
  <c r="K14" i="22"/>
  <c r="K15" i="22"/>
  <c r="K16" i="22"/>
  <c r="K17" i="22"/>
  <c r="K18" i="22"/>
  <c r="K19" i="22"/>
  <c r="K20" i="22"/>
  <c r="K21" i="22"/>
  <c r="K22" i="22"/>
  <c r="K23" i="22"/>
  <c r="K24" i="22"/>
  <c r="K25" i="22"/>
  <c r="K26" i="22"/>
  <c r="K27" i="22"/>
  <c r="K28" i="22"/>
  <c r="K29" i="22"/>
  <c r="K30" i="22"/>
  <c r="K31" i="22"/>
  <c r="K32" i="22"/>
  <c r="K33" i="22"/>
  <c r="K34" i="22"/>
  <c r="K35" i="22"/>
  <c r="K36" i="22"/>
  <c r="K37" i="22"/>
  <c r="K38" i="22"/>
  <c r="K39" i="22"/>
  <c r="K40" i="22"/>
  <c r="K41" i="22"/>
  <c r="K42" i="22"/>
  <c r="K43" i="22"/>
  <c r="K44" i="22"/>
  <c r="K45" i="22"/>
  <c r="K46" i="22"/>
  <c r="K47" i="22"/>
  <c r="K48" i="22"/>
  <c r="K49" i="22"/>
  <c r="K50" i="22"/>
  <c r="K63" i="22"/>
  <c r="O55" i="22" l="1"/>
  <c r="O56" i="22" s="1"/>
  <c r="O54" i="22"/>
  <c r="N55" i="22"/>
  <c r="N54" i="22"/>
  <c r="Q55" i="22"/>
  <c r="Q56" i="22" s="1"/>
  <c r="Q54" i="22"/>
  <c r="M55" i="22"/>
  <c r="M54" i="22"/>
  <c r="P54" i="22"/>
  <c r="P55" i="22"/>
  <c r="P56" i="22" s="1"/>
  <c r="L54" i="22"/>
  <c r="L55" i="22"/>
  <c r="L56" i="22" s="1"/>
  <c r="N56" i="22"/>
  <c r="M56" i="22"/>
  <c r="D95" i="19"/>
  <c r="E95" i="19"/>
  <c r="F95" i="19"/>
  <c r="G95" i="19"/>
  <c r="H95" i="19"/>
  <c r="I95" i="19"/>
  <c r="C95" i="19"/>
  <c r="D60" i="19"/>
  <c r="E60" i="19"/>
  <c r="F60" i="19"/>
  <c r="G60" i="19"/>
  <c r="H60" i="19"/>
  <c r="I60" i="19"/>
  <c r="C60" i="19"/>
  <c r="D100" i="19" l="1"/>
  <c r="E100" i="19"/>
  <c r="F100" i="19"/>
  <c r="G100" i="19"/>
  <c r="H100" i="19"/>
  <c r="I100" i="19"/>
  <c r="D69" i="19"/>
  <c r="E69" i="19"/>
  <c r="F69" i="19"/>
  <c r="G69" i="19"/>
  <c r="H69" i="19"/>
  <c r="I69" i="19"/>
  <c r="C69" i="19"/>
  <c r="M71" i="22"/>
  <c r="N71" i="22"/>
  <c r="O71" i="22"/>
  <c r="P71" i="22"/>
  <c r="Q71" i="22"/>
  <c r="M72" i="22"/>
  <c r="N72" i="22"/>
  <c r="O72" i="22"/>
  <c r="P72" i="22"/>
  <c r="Q72" i="22"/>
  <c r="M73" i="22"/>
  <c r="N73" i="22"/>
  <c r="O73" i="22"/>
  <c r="P73" i="22"/>
  <c r="Q73" i="22"/>
  <c r="M74" i="22"/>
  <c r="N74" i="22"/>
  <c r="O74" i="22"/>
  <c r="P74" i="22"/>
  <c r="Q74" i="22"/>
  <c r="M75" i="22"/>
  <c r="N75" i="22"/>
  <c r="O75" i="22"/>
  <c r="P75" i="22"/>
  <c r="Q75" i="22"/>
  <c r="M76" i="22"/>
  <c r="N76" i="22"/>
  <c r="O76" i="22"/>
  <c r="P76" i="22"/>
  <c r="Q76" i="22"/>
  <c r="L72" i="22"/>
  <c r="L73" i="22"/>
  <c r="L74" i="22"/>
  <c r="L75" i="22"/>
  <c r="L76" i="22"/>
  <c r="Q81" i="22" l="1"/>
  <c r="Q82" i="22" s="1"/>
  <c r="Q80" i="22"/>
  <c r="M81" i="22"/>
  <c r="M82" i="22" s="1"/>
  <c r="M80" i="22"/>
  <c r="P80" i="22"/>
  <c r="P81" i="22"/>
  <c r="P82" i="22" s="1"/>
  <c r="O80" i="22"/>
  <c r="O81" i="22"/>
  <c r="O82" i="22" s="1"/>
  <c r="L81" i="22"/>
  <c r="L82" i="22" s="1"/>
  <c r="L80" i="22"/>
  <c r="N80" i="22"/>
  <c r="N81" i="22"/>
  <c r="N82" i="22" s="1"/>
  <c r="I94" i="19"/>
  <c r="H94" i="19"/>
  <c r="G94" i="19"/>
  <c r="F94" i="19"/>
  <c r="C94" i="19"/>
  <c r="E94" i="19"/>
  <c r="D94" i="19"/>
  <c r="N70" i="23" l="1"/>
  <c r="O70" i="23"/>
  <c r="P70" i="23"/>
  <c r="Q70" i="23"/>
  <c r="R70" i="23"/>
  <c r="S70" i="23"/>
  <c r="N127" i="23"/>
  <c r="O127" i="23"/>
  <c r="P127" i="23"/>
  <c r="Q127" i="23"/>
  <c r="R127" i="23"/>
  <c r="S127" i="23"/>
  <c r="N154" i="23"/>
  <c r="O154" i="23"/>
  <c r="P154" i="23"/>
  <c r="Q154" i="23"/>
  <c r="R154" i="23"/>
  <c r="S154" i="23"/>
  <c r="N196" i="23"/>
  <c r="O196" i="23"/>
  <c r="P196" i="23"/>
  <c r="Q196" i="23"/>
  <c r="R196" i="23"/>
  <c r="S196" i="23"/>
  <c r="N197" i="23"/>
  <c r="O197" i="23"/>
  <c r="P197" i="23"/>
  <c r="Q197" i="23"/>
  <c r="R197" i="23"/>
  <c r="S197" i="23"/>
  <c r="N198" i="23"/>
  <c r="O198" i="23"/>
  <c r="P198" i="23"/>
  <c r="Q198" i="23"/>
  <c r="R198" i="23"/>
  <c r="S198" i="23"/>
  <c r="N199" i="23"/>
  <c r="O199" i="23"/>
  <c r="P199" i="23"/>
  <c r="Q199" i="23"/>
  <c r="R199" i="23"/>
  <c r="S199" i="23"/>
  <c r="N200" i="23"/>
  <c r="O200" i="23"/>
  <c r="P200" i="23"/>
  <c r="Q200" i="23"/>
  <c r="R200" i="23"/>
  <c r="S200" i="23"/>
  <c r="M127" i="23"/>
  <c r="M154" i="23"/>
  <c r="M196" i="23"/>
  <c r="M197" i="23"/>
  <c r="M198" i="23"/>
  <c r="M199" i="23"/>
  <c r="M200" i="23"/>
  <c r="M71" i="23"/>
  <c r="N71" i="23"/>
  <c r="O71" i="23"/>
  <c r="P71" i="23"/>
  <c r="Q71" i="23"/>
  <c r="R71" i="23"/>
  <c r="S71" i="23"/>
  <c r="M7" i="23"/>
  <c r="N7" i="23"/>
  <c r="O7" i="23"/>
  <c r="P7" i="23"/>
  <c r="Q7" i="23"/>
  <c r="R7" i="23"/>
  <c r="S7" i="23"/>
  <c r="M72" i="23"/>
  <c r="N72" i="23"/>
  <c r="O72" i="23"/>
  <c r="P72" i="23"/>
  <c r="Q72" i="23"/>
  <c r="R72" i="23"/>
  <c r="S72" i="23"/>
  <c r="M8" i="23"/>
  <c r="N8" i="23"/>
  <c r="O8" i="23"/>
  <c r="P8" i="23"/>
  <c r="Q8" i="23"/>
  <c r="R8" i="23"/>
  <c r="S8" i="23"/>
  <c r="M73" i="23"/>
  <c r="N73" i="23"/>
  <c r="O73" i="23"/>
  <c r="P73" i="23"/>
  <c r="Q73" i="23"/>
  <c r="R73" i="23"/>
  <c r="S73" i="23"/>
  <c r="M137" i="23"/>
  <c r="N137" i="23"/>
  <c r="O137" i="23"/>
  <c r="P137" i="23"/>
  <c r="Q137" i="23"/>
  <c r="R137" i="23"/>
  <c r="S137" i="23"/>
  <c r="M155" i="23"/>
  <c r="N155" i="23"/>
  <c r="O155" i="23"/>
  <c r="P155" i="23"/>
  <c r="Q155" i="23"/>
  <c r="R155" i="23"/>
  <c r="S155" i="23"/>
  <c r="M161" i="23"/>
  <c r="N161" i="23"/>
  <c r="O161" i="23"/>
  <c r="P161" i="23"/>
  <c r="Q161" i="23"/>
  <c r="R161" i="23"/>
  <c r="S161" i="23"/>
  <c r="M51" i="23"/>
  <c r="N51" i="23"/>
  <c r="O51" i="23"/>
  <c r="P51" i="23"/>
  <c r="Q51" i="23"/>
  <c r="R51" i="23"/>
  <c r="S51" i="23"/>
  <c r="M119" i="23"/>
  <c r="N119" i="23"/>
  <c r="O119" i="23"/>
  <c r="P119" i="23"/>
  <c r="Q119" i="23"/>
  <c r="R119" i="23"/>
  <c r="S119" i="23"/>
  <c r="M128" i="23"/>
  <c r="N128" i="23"/>
  <c r="O128" i="23"/>
  <c r="P128" i="23"/>
  <c r="Q128" i="23"/>
  <c r="R128" i="23"/>
  <c r="S128" i="23"/>
  <c r="M138" i="23"/>
  <c r="N138" i="23"/>
  <c r="O138" i="23"/>
  <c r="P138" i="23"/>
  <c r="Q138" i="23"/>
  <c r="R138" i="23"/>
  <c r="S138" i="23"/>
  <c r="M139" i="23"/>
  <c r="N139" i="23"/>
  <c r="O139" i="23"/>
  <c r="P139" i="23"/>
  <c r="Q139" i="23"/>
  <c r="R139" i="23"/>
  <c r="S139" i="23"/>
  <c r="M52" i="23"/>
  <c r="N52" i="23"/>
  <c r="O52" i="23"/>
  <c r="P52" i="23"/>
  <c r="Q52" i="23"/>
  <c r="R52" i="23"/>
  <c r="S52" i="23"/>
  <c r="M156" i="23"/>
  <c r="N156" i="23"/>
  <c r="O156" i="23"/>
  <c r="P156" i="23"/>
  <c r="Q156" i="23"/>
  <c r="R156" i="23"/>
  <c r="S156" i="23"/>
  <c r="M120" i="23"/>
  <c r="N120" i="23"/>
  <c r="O120" i="23"/>
  <c r="P120" i="23"/>
  <c r="Q120" i="23"/>
  <c r="R120" i="23"/>
  <c r="S120" i="23"/>
  <c r="M9" i="23"/>
  <c r="N9" i="23"/>
  <c r="O9" i="23"/>
  <c r="P9" i="23"/>
  <c r="Q9" i="23"/>
  <c r="R9" i="23"/>
  <c r="S9" i="23"/>
  <c r="M129" i="23"/>
  <c r="N129" i="23"/>
  <c r="O129" i="23"/>
  <c r="P129" i="23"/>
  <c r="Q129" i="23"/>
  <c r="R129" i="23"/>
  <c r="S129" i="23"/>
  <c r="M162" i="23"/>
  <c r="N162" i="23"/>
  <c r="O162" i="23"/>
  <c r="P162" i="23"/>
  <c r="Q162" i="23"/>
  <c r="R162" i="23"/>
  <c r="S162" i="23"/>
  <c r="M117" i="23"/>
  <c r="N117" i="23"/>
  <c r="O117" i="23"/>
  <c r="P117" i="23"/>
  <c r="Q117" i="23"/>
  <c r="R117" i="23"/>
  <c r="S117" i="23"/>
  <c r="M118" i="23"/>
  <c r="N118" i="23"/>
  <c r="O118" i="23"/>
  <c r="P118" i="23"/>
  <c r="Q118" i="23"/>
  <c r="R118" i="23"/>
  <c r="S118" i="23"/>
  <c r="M74" i="23"/>
  <c r="N74" i="23"/>
  <c r="O74" i="23"/>
  <c r="P74" i="23"/>
  <c r="Q74" i="23"/>
  <c r="R74" i="23"/>
  <c r="S74" i="23"/>
  <c r="M116" i="23"/>
  <c r="N116" i="23"/>
  <c r="O116" i="23"/>
  <c r="P116" i="23"/>
  <c r="Q116" i="23"/>
  <c r="R116" i="23"/>
  <c r="S116" i="23"/>
  <c r="M115" i="23"/>
  <c r="N115" i="23"/>
  <c r="O115" i="23"/>
  <c r="P115" i="23"/>
  <c r="Q115" i="23"/>
  <c r="R115" i="23"/>
  <c r="S115" i="23"/>
  <c r="M10" i="23"/>
  <c r="N10" i="23"/>
  <c r="O10" i="23"/>
  <c r="P10" i="23"/>
  <c r="Q10" i="23"/>
  <c r="R10" i="23"/>
  <c r="S10" i="23"/>
  <c r="M75" i="23"/>
  <c r="N75" i="23"/>
  <c r="O75" i="23"/>
  <c r="P75" i="23"/>
  <c r="Q75" i="23"/>
  <c r="R75" i="23"/>
  <c r="S75" i="23"/>
  <c r="M140" i="23"/>
  <c r="N140" i="23"/>
  <c r="O140" i="23"/>
  <c r="P140" i="23"/>
  <c r="Q140" i="23"/>
  <c r="R140" i="23"/>
  <c r="S140" i="23"/>
  <c r="M11" i="23"/>
  <c r="N11" i="23"/>
  <c r="O11" i="23"/>
  <c r="P11" i="23"/>
  <c r="Q11" i="23"/>
  <c r="R11" i="23"/>
  <c r="S11" i="23"/>
  <c r="M130" i="23"/>
  <c r="N130" i="23"/>
  <c r="O130" i="23"/>
  <c r="P130" i="23"/>
  <c r="Q130" i="23"/>
  <c r="R130" i="23"/>
  <c r="S130" i="23"/>
  <c r="M163" i="23"/>
  <c r="N163" i="23"/>
  <c r="O163" i="23"/>
  <c r="P163" i="23"/>
  <c r="Q163" i="23"/>
  <c r="R163" i="23"/>
  <c r="S163" i="23"/>
  <c r="M164" i="23"/>
  <c r="N164" i="23"/>
  <c r="O164" i="23"/>
  <c r="P164" i="23"/>
  <c r="Q164" i="23"/>
  <c r="R164" i="23"/>
  <c r="S164" i="23"/>
  <c r="M121" i="23"/>
  <c r="N121" i="23"/>
  <c r="O121" i="23"/>
  <c r="P121" i="23"/>
  <c r="Q121" i="23"/>
  <c r="R121" i="23"/>
  <c r="S121" i="23"/>
  <c r="M76" i="23"/>
  <c r="N76" i="23"/>
  <c r="O76" i="23"/>
  <c r="P76" i="23"/>
  <c r="Q76" i="23"/>
  <c r="R76" i="23"/>
  <c r="S76" i="23"/>
  <c r="M53" i="23"/>
  <c r="N53" i="23"/>
  <c r="O53" i="23"/>
  <c r="P53" i="23"/>
  <c r="Q53" i="23"/>
  <c r="R53" i="23"/>
  <c r="S53" i="23"/>
  <c r="M157" i="23"/>
  <c r="N157" i="23"/>
  <c r="O157" i="23"/>
  <c r="P157" i="23"/>
  <c r="Q157" i="23"/>
  <c r="R157" i="23"/>
  <c r="S157" i="23"/>
  <c r="M131" i="23"/>
  <c r="N131" i="23"/>
  <c r="O131" i="23"/>
  <c r="P131" i="23"/>
  <c r="Q131" i="23"/>
  <c r="R131" i="23"/>
  <c r="S131" i="23"/>
  <c r="M122" i="23"/>
  <c r="N122" i="23"/>
  <c r="O122" i="23"/>
  <c r="P122" i="23"/>
  <c r="Q122" i="23"/>
  <c r="R122" i="23"/>
  <c r="S122" i="23"/>
  <c r="M54" i="23"/>
  <c r="N54" i="23"/>
  <c r="O54" i="23"/>
  <c r="P54" i="23"/>
  <c r="Q54" i="23"/>
  <c r="R54" i="23"/>
  <c r="S54" i="23"/>
  <c r="M12" i="23"/>
  <c r="N12" i="23"/>
  <c r="O12" i="23"/>
  <c r="P12" i="23"/>
  <c r="Q12" i="23"/>
  <c r="R12" i="23"/>
  <c r="S12" i="23"/>
  <c r="M165" i="23"/>
  <c r="N165" i="23"/>
  <c r="O165" i="23"/>
  <c r="P165" i="23"/>
  <c r="Q165" i="23"/>
  <c r="R165" i="23"/>
  <c r="S165" i="23"/>
  <c r="M77" i="23"/>
  <c r="N77" i="23"/>
  <c r="O77" i="23"/>
  <c r="P77" i="23"/>
  <c r="Q77" i="23"/>
  <c r="R77" i="23"/>
  <c r="S77" i="23"/>
  <c r="M132" i="23"/>
  <c r="N132" i="23"/>
  <c r="O132" i="23"/>
  <c r="P132" i="23"/>
  <c r="Q132" i="23"/>
  <c r="R132" i="23"/>
  <c r="S132" i="23"/>
  <c r="M123" i="23"/>
  <c r="N123" i="23"/>
  <c r="O123" i="23"/>
  <c r="P123" i="23"/>
  <c r="Q123" i="23"/>
  <c r="R123" i="23"/>
  <c r="S123" i="23"/>
  <c r="M55" i="23"/>
  <c r="N55" i="23"/>
  <c r="O55" i="23"/>
  <c r="P55" i="23"/>
  <c r="Q55" i="23"/>
  <c r="R55" i="23"/>
  <c r="S55" i="23"/>
  <c r="M166" i="23"/>
  <c r="N166" i="23"/>
  <c r="O166" i="23"/>
  <c r="P166" i="23"/>
  <c r="Q166" i="23"/>
  <c r="R166" i="23"/>
  <c r="S166" i="23"/>
  <c r="M13" i="23"/>
  <c r="N13" i="23"/>
  <c r="O13" i="23"/>
  <c r="P13" i="23"/>
  <c r="Q13" i="23"/>
  <c r="R13" i="23"/>
  <c r="S13" i="23"/>
  <c r="M78" i="23"/>
  <c r="N78" i="23"/>
  <c r="O78" i="23"/>
  <c r="P78" i="23"/>
  <c r="Q78" i="23"/>
  <c r="R78" i="23"/>
  <c r="S78" i="23"/>
  <c r="M14" i="23"/>
  <c r="N14" i="23"/>
  <c r="O14" i="23"/>
  <c r="P14" i="23"/>
  <c r="Q14" i="23"/>
  <c r="R14" i="23"/>
  <c r="S14" i="23"/>
  <c r="M79" i="23"/>
  <c r="N79" i="23"/>
  <c r="O79" i="23"/>
  <c r="P79" i="23"/>
  <c r="Q79" i="23"/>
  <c r="R79" i="23"/>
  <c r="S79" i="23"/>
  <c r="M15" i="23"/>
  <c r="N15" i="23"/>
  <c r="O15" i="23"/>
  <c r="P15" i="23"/>
  <c r="Q15" i="23"/>
  <c r="R15" i="23"/>
  <c r="S15" i="23"/>
  <c r="M80" i="23"/>
  <c r="N80" i="23"/>
  <c r="O80" i="23"/>
  <c r="P80" i="23"/>
  <c r="Q80" i="23"/>
  <c r="R80" i="23"/>
  <c r="S80" i="23"/>
  <c r="M16" i="23"/>
  <c r="N16" i="23"/>
  <c r="O16" i="23"/>
  <c r="P16" i="23"/>
  <c r="Q16" i="23"/>
  <c r="R16" i="23"/>
  <c r="S16" i="23"/>
  <c r="M81" i="23"/>
  <c r="N81" i="23"/>
  <c r="O81" i="23"/>
  <c r="P81" i="23"/>
  <c r="Q81" i="23"/>
  <c r="R81" i="23"/>
  <c r="S81" i="23"/>
  <c r="M17" i="23"/>
  <c r="N17" i="23"/>
  <c r="O17" i="23"/>
  <c r="P17" i="23"/>
  <c r="Q17" i="23"/>
  <c r="R17" i="23"/>
  <c r="S17" i="23"/>
  <c r="M82" i="23"/>
  <c r="N82" i="23"/>
  <c r="O82" i="23"/>
  <c r="P82" i="23"/>
  <c r="Q82" i="23"/>
  <c r="R82" i="23"/>
  <c r="S82" i="23"/>
  <c r="M18" i="23"/>
  <c r="N18" i="23"/>
  <c r="O18" i="23"/>
  <c r="P18" i="23"/>
  <c r="Q18" i="23"/>
  <c r="R18" i="23"/>
  <c r="S18" i="23"/>
  <c r="M158" i="23"/>
  <c r="N158" i="23"/>
  <c r="O158" i="23"/>
  <c r="P158" i="23"/>
  <c r="Q158" i="23"/>
  <c r="R158" i="23"/>
  <c r="S158" i="23"/>
  <c r="M83" i="23"/>
  <c r="N83" i="23"/>
  <c r="O83" i="23"/>
  <c r="P83" i="23"/>
  <c r="Q83" i="23"/>
  <c r="R83" i="23"/>
  <c r="S83" i="23"/>
  <c r="M141" i="23"/>
  <c r="N141" i="23"/>
  <c r="O141" i="23"/>
  <c r="P141" i="23"/>
  <c r="Q141" i="23"/>
  <c r="R141" i="23"/>
  <c r="S141" i="23"/>
  <c r="M167" i="23"/>
  <c r="N167" i="23"/>
  <c r="O167" i="23"/>
  <c r="P167" i="23"/>
  <c r="Q167" i="23"/>
  <c r="R167" i="23"/>
  <c r="S167" i="23"/>
  <c r="M133" i="23"/>
  <c r="N133" i="23"/>
  <c r="O133" i="23"/>
  <c r="P133" i="23"/>
  <c r="Q133" i="23"/>
  <c r="R133" i="23"/>
  <c r="S133" i="23"/>
  <c r="M124" i="23"/>
  <c r="N124" i="23"/>
  <c r="O124" i="23"/>
  <c r="P124" i="23"/>
  <c r="Q124" i="23"/>
  <c r="R124" i="23"/>
  <c r="S124" i="23"/>
  <c r="M56" i="23"/>
  <c r="N56" i="23"/>
  <c r="O56" i="23"/>
  <c r="P56" i="23"/>
  <c r="Q56" i="23"/>
  <c r="R56" i="23"/>
  <c r="S56" i="23"/>
  <c r="M19" i="23"/>
  <c r="N19" i="23"/>
  <c r="O19" i="23"/>
  <c r="P19" i="23"/>
  <c r="Q19" i="23"/>
  <c r="R19" i="23"/>
  <c r="S19" i="23"/>
  <c r="M159" i="23"/>
  <c r="N159" i="23"/>
  <c r="O159" i="23"/>
  <c r="P159" i="23"/>
  <c r="Q159" i="23"/>
  <c r="R159" i="23"/>
  <c r="S159" i="23"/>
  <c r="M160" i="23"/>
  <c r="N160" i="23"/>
  <c r="O160" i="23"/>
  <c r="P160" i="23"/>
  <c r="Q160" i="23"/>
  <c r="R160" i="23"/>
  <c r="S160" i="23"/>
  <c r="M142" i="23"/>
  <c r="N142" i="23"/>
  <c r="O142" i="23"/>
  <c r="P142" i="23"/>
  <c r="Q142" i="23"/>
  <c r="R142" i="23"/>
  <c r="S142" i="23"/>
  <c r="M84" i="23"/>
  <c r="N84" i="23"/>
  <c r="O84" i="23"/>
  <c r="P84" i="23"/>
  <c r="Q84" i="23"/>
  <c r="R84" i="23"/>
  <c r="S84" i="23"/>
  <c r="M134" i="23"/>
  <c r="N134" i="23"/>
  <c r="O134" i="23"/>
  <c r="P134" i="23"/>
  <c r="Q134" i="23"/>
  <c r="R134" i="23"/>
  <c r="S134" i="23"/>
  <c r="M168" i="23"/>
  <c r="N168" i="23"/>
  <c r="O168" i="23"/>
  <c r="P168" i="23"/>
  <c r="Q168" i="23"/>
  <c r="R168" i="23"/>
  <c r="S168" i="23"/>
  <c r="M125" i="23"/>
  <c r="N125" i="23"/>
  <c r="O125" i="23"/>
  <c r="P125" i="23"/>
  <c r="Q125" i="23"/>
  <c r="R125" i="23"/>
  <c r="S125" i="23"/>
  <c r="M57" i="23"/>
  <c r="N57" i="23"/>
  <c r="O57" i="23"/>
  <c r="P57" i="23"/>
  <c r="Q57" i="23"/>
  <c r="R57" i="23"/>
  <c r="S57" i="23"/>
  <c r="M20" i="23"/>
  <c r="N20" i="23"/>
  <c r="O20" i="23"/>
  <c r="P20" i="23"/>
  <c r="Q20" i="23"/>
  <c r="R20" i="23"/>
  <c r="S20" i="23"/>
  <c r="M58" i="23"/>
  <c r="N58" i="23"/>
  <c r="O58" i="23"/>
  <c r="P58" i="23"/>
  <c r="Q58" i="23"/>
  <c r="R58" i="23"/>
  <c r="S58" i="23"/>
  <c r="M85" i="23"/>
  <c r="N85" i="23"/>
  <c r="O85" i="23"/>
  <c r="P85" i="23"/>
  <c r="Q85" i="23"/>
  <c r="R85" i="23"/>
  <c r="S85" i="23"/>
  <c r="M126" i="23"/>
  <c r="N126" i="23"/>
  <c r="O126" i="23"/>
  <c r="P126" i="23"/>
  <c r="Q126" i="23"/>
  <c r="R126" i="23"/>
  <c r="S126" i="23"/>
  <c r="M135" i="23"/>
  <c r="N135" i="23"/>
  <c r="O135" i="23"/>
  <c r="P135" i="23"/>
  <c r="Q135" i="23"/>
  <c r="R135" i="23"/>
  <c r="S135" i="23"/>
  <c r="M143" i="23"/>
  <c r="N143" i="23"/>
  <c r="O143" i="23"/>
  <c r="P143" i="23"/>
  <c r="Q143" i="23"/>
  <c r="R143" i="23"/>
  <c r="S143" i="23"/>
  <c r="M169" i="23"/>
  <c r="N169" i="23"/>
  <c r="O169" i="23"/>
  <c r="P169" i="23"/>
  <c r="Q169" i="23"/>
  <c r="R169" i="23"/>
  <c r="S169" i="23"/>
  <c r="M136" i="23"/>
  <c r="N136" i="23"/>
  <c r="O136" i="23"/>
  <c r="P136" i="23"/>
  <c r="Q136" i="23"/>
  <c r="R136" i="23"/>
  <c r="S136" i="23"/>
  <c r="M21" i="23"/>
  <c r="N21" i="23"/>
  <c r="O21" i="23"/>
  <c r="P21" i="23"/>
  <c r="Q21" i="23"/>
  <c r="R21" i="23"/>
  <c r="S21" i="23"/>
  <c r="M59" i="23"/>
  <c r="N59" i="23"/>
  <c r="O59" i="23"/>
  <c r="P59" i="23"/>
  <c r="Q59" i="23"/>
  <c r="R59" i="23"/>
  <c r="S59" i="23"/>
  <c r="M170" i="23"/>
  <c r="N170" i="23"/>
  <c r="O170" i="23"/>
  <c r="P170" i="23"/>
  <c r="Q170" i="23"/>
  <c r="R170" i="23"/>
  <c r="S170" i="23"/>
  <c r="M86" i="23"/>
  <c r="N86" i="23"/>
  <c r="O86" i="23"/>
  <c r="P86" i="23"/>
  <c r="Q86" i="23"/>
  <c r="R86" i="23"/>
  <c r="S86" i="23"/>
  <c r="M144" i="23"/>
  <c r="N144" i="23"/>
  <c r="O144" i="23"/>
  <c r="P144" i="23"/>
  <c r="Q144" i="23"/>
  <c r="R144" i="23"/>
  <c r="S144" i="23"/>
  <c r="M22" i="23"/>
  <c r="N22" i="23"/>
  <c r="O22" i="23"/>
  <c r="P22" i="23"/>
  <c r="Q22" i="23"/>
  <c r="R22" i="23"/>
  <c r="S22" i="23"/>
  <c r="M87" i="23"/>
  <c r="N87" i="23"/>
  <c r="O87" i="23"/>
  <c r="P87" i="23"/>
  <c r="Q87" i="23"/>
  <c r="R87" i="23"/>
  <c r="S87" i="23"/>
  <c r="M23" i="23"/>
  <c r="N23" i="23"/>
  <c r="O23" i="23"/>
  <c r="P23" i="23"/>
  <c r="Q23" i="23"/>
  <c r="R23" i="23"/>
  <c r="S23" i="23"/>
  <c r="M88" i="23"/>
  <c r="N88" i="23"/>
  <c r="O88" i="23"/>
  <c r="P88" i="23"/>
  <c r="Q88" i="23"/>
  <c r="R88" i="23"/>
  <c r="S88" i="23"/>
  <c r="M24" i="23"/>
  <c r="N24" i="23"/>
  <c r="O24" i="23"/>
  <c r="P24" i="23"/>
  <c r="Q24" i="23"/>
  <c r="R24" i="23"/>
  <c r="S24" i="23"/>
  <c r="M89" i="23"/>
  <c r="N89" i="23"/>
  <c r="O89" i="23"/>
  <c r="P89" i="23"/>
  <c r="Q89" i="23"/>
  <c r="R89" i="23"/>
  <c r="S89" i="23"/>
  <c r="M25" i="23"/>
  <c r="N25" i="23"/>
  <c r="O25" i="23"/>
  <c r="P25" i="23"/>
  <c r="Q25" i="23"/>
  <c r="R25" i="23"/>
  <c r="S25" i="23"/>
  <c r="M90" i="23"/>
  <c r="N90" i="23"/>
  <c r="O90" i="23"/>
  <c r="P90" i="23"/>
  <c r="Q90" i="23"/>
  <c r="R90" i="23"/>
  <c r="S90" i="23"/>
  <c r="M26" i="23"/>
  <c r="N26" i="23"/>
  <c r="O26" i="23"/>
  <c r="P26" i="23"/>
  <c r="Q26" i="23"/>
  <c r="R26" i="23"/>
  <c r="S26" i="23"/>
  <c r="M91" i="23"/>
  <c r="N91" i="23"/>
  <c r="O91" i="23"/>
  <c r="P91" i="23"/>
  <c r="Q91" i="23"/>
  <c r="R91" i="23"/>
  <c r="S91" i="23"/>
  <c r="M92" i="23"/>
  <c r="N92" i="23"/>
  <c r="O92" i="23"/>
  <c r="P92" i="23"/>
  <c r="Q92" i="23"/>
  <c r="R92" i="23"/>
  <c r="S92" i="23"/>
  <c r="M27" i="23"/>
  <c r="N27" i="23"/>
  <c r="O27" i="23"/>
  <c r="P27" i="23"/>
  <c r="Q27" i="23"/>
  <c r="R27" i="23"/>
  <c r="S27" i="23"/>
  <c r="M93" i="23"/>
  <c r="N93" i="23"/>
  <c r="O93" i="23"/>
  <c r="P93" i="23"/>
  <c r="Q93" i="23"/>
  <c r="R93" i="23"/>
  <c r="S93" i="23"/>
  <c r="M28" i="23"/>
  <c r="N28" i="23"/>
  <c r="O28" i="23"/>
  <c r="P28" i="23"/>
  <c r="Q28" i="23"/>
  <c r="R28" i="23"/>
  <c r="S28" i="23"/>
  <c r="M29" i="23"/>
  <c r="N29" i="23"/>
  <c r="O29" i="23"/>
  <c r="P29" i="23"/>
  <c r="Q29" i="23"/>
  <c r="R29" i="23"/>
  <c r="S29" i="23"/>
  <c r="M94" i="23"/>
  <c r="N94" i="23"/>
  <c r="O94" i="23"/>
  <c r="P94" i="23"/>
  <c r="Q94" i="23"/>
  <c r="R94" i="23"/>
  <c r="S94" i="23"/>
  <c r="M30" i="23"/>
  <c r="N30" i="23"/>
  <c r="O30" i="23"/>
  <c r="P30" i="23"/>
  <c r="Q30" i="23"/>
  <c r="R30" i="23"/>
  <c r="S30" i="23"/>
  <c r="M95" i="23"/>
  <c r="N95" i="23"/>
  <c r="O95" i="23"/>
  <c r="P95" i="23"/>
  <c r="Q95" i="23"/>
  <c r="R95" i="23"/>
  <c r="S95" i="23"/>
  <c r="M31" i="23"/>
  <c r="N31" i="23"/>
  <c r="O31" i="23"/>
  <c r="P31" i="23"/>
  <c r="Q31" i="23"/>
  <c r="R31" i="23"/>
  <c r="S31" i="23"/>
  <c r="M96" i="23"/>
  <c r="N96" i="23"/>
  <c r="O96" i="23"/>
  <c r="P96" i="23"/>
  <c r="Q96" i="23"/>
  <c r="R96" i="23"/>
  <c r="S96" i="23"/>
  <c r="M32" i="23"/>
  <c r="N32" i="23"/>
  <c r="O32" i="23"/>
  <c r="P32" i="23"/>
  <c r="Q32" i="23"/>
  <c r="R32" i="23"/>
  <c r="S32" i="23"/>
  <c r="M97" i="23"/>
  <c r="N97" i="23"/>
  <c r="O97" i="23"/>
  <c r="P97" i="23"/>
  <c r="Q97" i="23"/>
  <c r="R97" i="23"/>
  <c r="S97" i="23"/>
  <c r="M171" i="23"/>
  <c r="N171" i="23"/>
  <c r="O171" i="23"/>
  <c r="P171" i="23"/>
  <c r="Q171" i="23"/>
  <c r="R171" i="23"/>
  <c r="S171" i="23"/>
  <c r="M145" i="23"/>
  <c r="N145" i="23"/>
  <c r="O145" i="23"/>
  <c r="P145" i="23"/>
  <c r="Q145" i="23"/>
  <c r="R145" i="23"/>
  <c r="S145" i="23"/>
  <c r="M60" i="23"/>
  <c r="N60" i="23"/>
  <c r="O60" i="23"/>
  <c r="P60" i="23"/>
  <c r="Q60" i="23"/>
  <c r="R60" i="23"/>
  <c r="S60" i="23"/>
  <c r="M61" i="23"/>
  <c r="N61" i="23"/>
  <c r="O61" i="23"/>
  <c r="P61" i="23"/>
  <c r="Q61" i="23"/>
  <c r="R61" i="23"/>
  <c r="S61" i="23"/>
  <c r="M98" i="23"/>
  <c r="N98" i="23"/>
  <c r="O98" i="23"/>
  <c r="P98" i="23"/>
  <c r="Q98" i="23"/>
  <c r="R98" i="23"/>
  <c r="S98" i="23"/>
  <c r="M33" i="23"/>
  <c r="N33" i="23"/>
  <c r="O33" i="23"/>
  <c r="P33" i="23"/>
  <c r="Q33" i="23"/>
  <c r="R33" i="23"/>
  <c r="S33" i="23"/>
  <c r="M99" i="23"/>
  <c r="N99" i="23"/>
  <c r="O99" i="23"/>
  <c r="P99" i="23"/>
  <c r="Q99" i="23"/>
  <c r="R99" i="23"/>
  <c r="S99" i="23"/>
  <c r="M34" i="23"/>
  <c r="N34" i="23"/>
  <c r="O34" i="23"/>
  <c r="P34" i="23"/>
  <c r="Q34" i="23"/>
  <c r="R34" i="23"/>
  <c r="S34" i="23"/>
  <c r="M100" i="23"/>
  <c r="N100" i="23"/>
  <c r="O100" i="23"/>
  <c r="P100" i="23"/>
  <c r="Q100" i="23"/>
  <c r="R100" i="23"/>
  <c r="S100" i="23"/>
  <c r="M35" i="23"/>
  <c r="N35" i="23"/>
  <c r="O35" i="23"/>
  <c r="P35" i="23"/>
  <c r="Q35" i="23"/>
  <c r="R35" i="23"/>
  <c r="S35" i="23"/>
  <c r="M101" i="23"/>
  <c r="N101" i="23"/>
  <c r="O101" i="23"/>
  <c r="P101" i="23"/>
  <c r="Q101" i="23"/>
  <c r="R101" i="23"/>
  <c r="S101" i="23"/>
  <c r="M36" i="23"/>
  <c r="N36" i="23"/>
  <c r="O36" i="23"/>
  <c r="P36" i="23"/>
  <c r="Q36" i="23"/>
  <c r="R36" i="23"/>
  <c r="S36" i="23"/>
  <c r="M102" i="23"/>
  <c r="N102" i="23"/>
  <c r="O102" i="23"/>
  <c r="P102" i="23"/>
  <c r="Q102" i="23"/>
  <c r="R102" i="23"/>
  <c r="S102" i="23"/>
  <c r="M37" i="23"/>
  <c r="N37" i="23"/>
  <c r="O37" i="23"/>
  <c r="P37" i="23"/>
  <c r="Q37" i="23"/>
  <c r="R37" i="23"/>
  <c r="S37" i="23"/>
  <c r="M172" i="23"/>
  <c r="N172" i="23"/>
  <c r="O172" i="23"/>
  <c r="P172" i="23"/>
  <c r="Q172" i="23"/>
  <c r="R172" i="23"/>
  <c r="S172" i="23"/>
  <c r="M146" i="23"/>
  <c r="N146" i="23"/>
  <c r="O146" i="23"/>
  <c r="P146" i="23"/>
  <c r="Q146" i="23"/>
  <c r="R146" i="23"/>
  <c r="S146" i="23"/>
  <c r="M62" i="23"/>
  <c r="N62" i="23"/>
  <c r="O62" i="23"/>
  <c r="P62" i="23"/>
  <c r="Q62" i="23"/>
  <c r="R62" i="23"/>
  <c r="S62" i="23"/>
  <c r="M38" i="23"/>
  <c r="N38" i="23"/>
  <c r="O38" i="23"/>
  <c r="P38" i="23"/>
  <c r="Q38" i="23"/>
  <c r="R38" i="23"/>
  <c r="S38" i="23"/>
  <c r="M103" i="23"/>
  <c r="N103" i="23"/>
  <c r="O103" i="23"/>
  <c r="P103" i="23"/>
  <c r="Q103" i="23"/>
  <c r="R103" i="23"/>
  <c r="S103" i="23"/>
  <c r="M63" i="23"/>
  <c r="N63" i="23"/>
  <c r="O63" i="23"/>
  <c r="P63" i="23"/>
  <c r="Q63" i="23"/>
  <c r="R63" i="23"/>
  <c r="S63" i="23"/>
  <c r="M147" i="23"/>
  <c r="N147" i="23"/>
  <c r="O147" i="23"/>
  <c r="P147" i="23"/>
  <c r="Q147" i="23"/>
  <c r="R147" i="23"/>
  <c r="S147" i="23"/>
  <c r="M39" i="23"/>
  <c r="N39" i="23"/>
  <c r="O39" i="23"/>
  <c r="P39" i="23"/>
  <c r="Q39" i="23"/>
  <c r="R39" i="23"/>
  <c r="S39" i="23"/>
  <c r="M104" i="23"/>
  <c r="N104" i="23"/>
  <c r="O104" i="23"/>
  <c r="P104" i="23"/>
  <c r="Q104" i="23"/>
  <c r="R104" i="23"/>
  <c r="S104" i="23"/>
  <c r="M173" i="23"/>
  <c r="N173" i="23"/>
  <c r="O173" i="23"/>
  <c r="P173" i="23"/>
  <c r="Q173" i="23"/>
  <c r="R173" i="23"/>
  <c r="S173" i="23"/>
  <c r="M40" i="23"/>
  <c r="N40" i="23"/>
  <c r="O40" i="23"/>
  <c r="P40" i="23"/>
  <c r="Q40" i="23"/>
  <c r="R40" i="23"/>
  <c r="S40" i="23"/>
  <c r="M105" i="23"/>
  <c r="N105" i="23"/>
  <c r="O105" i="23"/>
  <c r="P105" i="23"/>
  <c r="Q105" i="23"/>
  <c r="R105" i="23"/>
  <c r="S105" i="23"/>
  <c r="M41" i="23"/>
  <c r="N41" i="23"/>
  <c r="O41" i="23"/>
  <c r="P41" i="23"/>
  <c r="Q41" i="23"/>
  <c r="R41" i="23"/>
  <c r="S41" i="23"/>
  <c r="M106" i="23"/>
  <c r="N106" i="23"/>
  <c r="O106" i="23"/>
  <c r="P106" i="23"/>
  <c r="Q106" i="23"/>
  <c r="R106" i="23"/>
  <c r="S106" i="23"/>
  <c r="M42" i="23"/>
  <c r="N42" i="23"/>
  <c r="O42" i="23"/>
  <c r="P42" i="23"/>
  <c r="Q42" i="23"/>
  <c r="R42" i="23"/>
  <c r="S42" i="23"/>
  <c r="M107" i="23"/>
  <c r="N107" i="23"/>
  <c r="O107" i="23"/>
  <c r="P107" i="23"/>
  <c r="Q107" i="23"/>
  <c r="R107" i="23"/>
  <c r="S107" i="23"/>
  <c r="M64" i="23"/>
  <c r="N64" i="23"/>
  <c r="O64" i="23"/>
  <c r="P64" i="23"/>
  <c r="Q64" i="23"/>
  <c r="R64" i="23"/>
  <c r="S64" i="23"/>
  <c r="M148" i="23"/>
  <c r="N148" i="23"/>
  <c r="O148" i="23"/>
  <c r="P148" i="23"/>
  <c r="Q148" i="23"/>
  <c r="R148" i="23"/>
  <c r="S148" i="23"/>
  <c r="M43" i="23"/>
  <c r="N43" i="23"/>
  <c r="O43" i="23"/>
  <c r="P43" i="23"/>
  <c r="Q43" i="23"/>
  <c r="R43" i="23"/>
  <c r="S43" i="23"/>
  <c r="M108" i="23"/>
  <c r="N108" i="23"/>
  <c r="O108" i="23"/>
  <c r="P108" i="23"/>
  <c r="Q108" i="23"/>
  <c r="R108" i="23"/>
  <c r="S108" i="23"/>
  <c r="M174" i="23"/>
  <c r="N174" i="23"/>
  <c r="O174" i="23"/>
  <c r="P174" i="23"/>
  <c r="Q174" i="23"/>
  <c r="R174" i="23"/>
  <c r="S174" i="23"/>
  <c r="M44" i="23"/>
  <c r="N44" i="23"/>
  <c r="O44" i="23"/>
  <c r="P44" i="23"/>
  <c r="Q44" i="23"/>
  <c r="R44" i="23"/>
  <c r="S44" i="23"/>
  <c r="M109" i="23"/>
  <c r="N109" i="23"/>
  <c r="O109" i="23"/>
  <c r="P109" i="23"/>
  <c r="Q109" i="23"/>
  <c r="R109" i="23"/>
  <c r="S109" i="23"/>
  <c r="M45" i="23"/>
  <c r="N45" i="23"/>
  <c r="O45" i="23"/>
  <c r="P45" i="23"/>
  <c r="Q45" i="23"/>
  <c r="R45" i="23"/>
  <c r="S45" i="23"/>
  <c r="M110" i="23"/>
  <c r="N110" i="23"/>
  <c r="O110" i="23"/>
  <c r="P110" i="23"/>
  <c r="Q110" i="23"/>
  <c r="R110" i="23"/>
  <c r="S110" i="23"/>
  <c r="M175" i="23"/>
  <c r="N175" i="23"/>
  <c r="O175" i="23"/>
  <c r="P175" i="23"/>
  <c r="Q175" i="23"/>
  <c r="R175" i="23"/>
  <c r="S175" i="23"/>
  <c r="M149" i="23"/>
  <c r="N149" i="23"/>
  <c r="O149" i="23"/>
  <c r="P149" i="23"/>
  <c r="Q149" i="23"/>
  <c r="R149" i="23"/>
  <c r="S149" i="23"/>
  <c r="M65" i="23"/>
  <c r="N65" i="23"/>
  <c r="O65" i="23"/>
  <c r="P65" i="23"/>
  <c r="Q65" i="23"/>
  <c r="R65" i="23"/>
  <c r="S65" i="23"/>
  <c r="M46" i="23"/>
  <c r="N46" i="23"/>
  <c r="O46" i="23"/>
  <c r="P46" i="23"/>
  <c r="Q46" i="23"/>
  <c r="R46" i="23"/>
  <c r="S46" i="23"/>
  <c r="M111" i="23"/>
  <c r="N111" i="23"/>
  <c r="O111" i="23"/>
  <c r="P111" i="23"/>
  <c r="Q111" i="23"/>
  <c r="R111" i="23"/>
  <c r="S111" i="23"/>
  <c r="M66" i="23"/>
  <c r="N66" i="23"/>
  <c r="O66" i="23"/>
  <c r="P66" i="23"/>
  <c r="Q66" i="23"/>
  <c r="R66" i="23"/>
  <c r="S66" i="23"/>
  <c r="M150" i="23"/>
  <c r="N150" i="23"/>
  <c r="O150" i="23"/>
  <c r="P150" i="23"/>
  <c r="Q150" i="23"/>
  <c r="R150" i="23"/>
  <c r="S150" i="23"/>
  <c r="M176" i="23"/>
  <c r="N176" i="23"/>
  <c r="O176" i="23"/>
  <c r="P176" i="23"/>
  <c r="Q176" i="23"/>
  <c r="R176" i="23"/>
  <c r="S176" i="23"/>
  <c r="M47" i="23"/>
  <c r="N47" i="23"/>
  <c r="O47" i="23"/>
  <c r="P47" i="23"/>
  <c r="Q47" i="23"/>
  <c r="R47" i="23"/>
  <c r="S47" i="23"/>
  <c r="M112" i="23"/>
  <c r="N112" i="23"/>
  <c r="O112" i="23"/>
  <c r="P112" i="23"/>
  <c r="Q112" i="23"/>
  <c r="R112" i="23"/>
  <c r="S112" i="23"/>
  <c r="M67" i="23"/>
  <c r="N67" i="23"/>
  <c r="O67" i="23"/>
  <c r="P67" i="23"/>
  <c r="Q67" i="23"/>
  <c r="R67" i="23"/>
  <c r="S67" i="23"/>
  <c r="M151" i="23"/>
  <c r="N151" i="23"/>
  <c r="O151" i="23"/>
  <c r="P151" i="23"/>
  <c r="Q151" i="23"/>
  <c r="R151" i="23"/>
  <c r="S151" i="23"/>
  <c r="M177" i="23"/>
  <c r="N177" i="23"/>
  <c r="O177" i="23"/>
  <c r="P177" i="23"/>
  <c r="Q177" i="23"/>
  <c r="R177" i="23"/>
  <c r="S177" i="23"/>
  <c r="M68" i="23"/>
  <c r="N68" i="23"/>
  <c r="O68" i="23"/>
  <c r="P68" i="23"/>
  <c r="Q68" i="23"/>
  <c r="R68" i="23"/>
  <c r="S68" i="23"/>
  <c r="M152" i="23"/>
  <c r="N152" i="23"/>
  <c r="O152" i="23"/>
  <c r="P152" i="23"/>
  <c r="Q152" i="23"/>
  <c r="R152" i="23"/>
  <c r="S152" i="23"/>
  <c r="M178" i="23"/>
  <c r="N178" i="23"/>
  <c r="O178" i="23"/>
  <c r="P178" i="23"/>
  <c r="Q178" i="23"/>
  <c r="R178" i="23"/>
  <c r="S178" i="23"/>
  <c r="M48" i="23"/>
  <c r="N48" i="23"/>
  <c r="O48" i="23"/>
  <c r="P48" i="23"/>
  <c r="Q48" i="23"/>
  <c r="R48" i="23"/>
  <c r="S48" i="23"/>
  <c r="M113" i="23"/>
  <c r="N113" i="23"/>
  <c r="O113" i="23"/>
  <c r="P113" i="23"/>
  <c r="Q113" i="23"/>
  <c r="R113" i="23"/>
  <c r="S113" i="23"/>
  <c r="M69" i="23"/>
  <c r="N69" i="23"/>
  <c r="O69" i="23"/>
  <c r="P69" i="23"/>
  <c r="Q69" i="23"/>
  <c r="R69" i="23"/>
  <c r="S69" i="23"/>
  <c r="M153" i="23"/>
  <c r="N153" i="23"/>
  <c r="O153" i="23"/>
  <c r="P153" i="23"/>
  <c r="Q153" i="23"/>
  <c r="R153" i="23"/>
  <c r="S153" i="23"/>
  <c r="M179" i="23"/>
  <c r="N179" i="23"/>
  <c r="O179" i="23"/>
  <c r="P179" i="23"/>
  <c r="Q179" i="23"/>
  <c r="R179" i="23"/>
  <c r="S179" i="23"/>
  <c r="M49" i="23"/>
  <c r="N49" i="23"/>
  <c r="O49" i="23"/>
  <c r="P49" i="23"/>
  <c r="Q49" i="23"/>
  <c r="R49" i="23"/>
  <c r="S49" i="23"/>
  <c r="M114" i="23"/>
  <c r="N114" i="23"/>
  <c r="O114" i="23"/>
  <c r="P114" i="23"/>
  <c r="Q114" i="23"/>
  <c r="R114" i="23"/>
  <c r="S114" i="23"/>
  <c r="M180" i="23"/>
  <c r="N180" i="23"/>
  <c r="O180" i="23"/>
  <c r="P180" i="23"/>
  <c r="Q180" i="23"/>
  <c r="R180" i="23"/>
  <c r="S180" i="23"/>
  <c r="M50" i="23"/>
  <c r="N50" i="23"/>
  <c r="O50" i="23"/>
  <c r="P50" i="23"/>
  <c r="Q50" i="23"/>
  <c r="R50" i="23"/>
  <c r="S50" i="23"/>
  <c r="M70" i="23"/>
  <c r="N6" i="23"/>
  <c r="O6" i="23"/>
  <c r="P6" i="23"/>
  <c r="Q6" i="23"/>
  <c r="R6" i="23"/>
  <c r="S6" i="23"/>
  <c r="M6" i="23"/>
  <c r="Q185" i="23" l="1"/>
  <c r="Q186" i="23" s="1"/>
  <c r="Q184" i="23"/>
  <c r="P205" i="23"/>
  <c r="P206" i="23" s="1"/>
  <c r="P204" i="23"/>
  <c r="M185" i="23"/>
  <c r="M186" i="23" s="1"/>
  <c r="M184" i="23"/>
  <c r="P185" i="23"/>
  <c r="P186" i="23" s="1"/>
  <c r="P184" i="23"/>
  <c r="S205" i="23"/>
  <c r="S206" i="23" s="1"/>
  <c r="S204" i="23"/>
  <c r="O205" i="23"/>
  <c r="O206" i="23" s="1"/>
  <c r="O204" i="23"/>
  <c r="S184" i="23"/>
  <c r="S185" i="23"/>
  <c r="S186" i="23" s="1"/>
  <c r="O184" i="23"/>
  <c r="O185" i="23"/>
  <c r="O186" i="23" s="1"/>
  <c r="M204" i="23"/>
  <c r="M205" i="23"/>
  <c r="M206" i="23" s="1"/>
  <c r="R204" i="23"/>
  <c r="R205" i="23"/>
  <c r="R206" i="23" s="1"/>
  <c r="N205" i="23"/>
  <c r="N206" i="23" s="1"/>
  <c r="N204" i="23"/>
  <c r="R184" i="23"/>
  <c r="R185" i="23"/>
  <c r="R186" i="23" s="1"/>
  <c r="N184" i="23"/>
  <c r="N185" i="23"/>
  <c r="N186" i="23" s="1"/>
  <c r="Q205" i="23"/>
  <c r="Q206" i="23" s="1"/>
  <c r="Q204" i="23"/>
  <c r="L71" i="22"/>
  <c r="K6" i="22"/>
  <c r="K55" i="22" l="1"/>
  <c r="K56" i="22" s="1"/>
  <c r="K54" i="22"/>
  <c r="D30" i="19"/>
  <c r="E30" i="19"/>
  <c r="F30" i="19"/>
  <c r="G30" i="19"/>
  <c r="H30" i="19"/>
  <c r="I30" i="19"/>
  <c r="D31" i="19"/>
  <c r="E31" i="19"/>
  <c r="F31" i="19"/>
  <c r="G31" i="19"/>
  <c r="H31" i="19"/>
  <c r="I31" i="19"/>
  <c r="D32" i="19"/>
  <c r="E32" i="19"/>
  <c r="F32" i="19"/>
  <c r="G32" i="19"/>
  <c r="H32" i="19"/>
  <c r="I32" i="19"/>
  <c r="D33" i="19"/>
  <c r="E33" i="19"/>
  <c r="F33" i="19"/>
  <c r="G33" i="19"/>
  <c r="H33" i="19"/>
  <c r="I33" i="19"/>
  <c r="D34" i="19"/>
  <c r="E34" i="19"/>
  <c r="F34" i="19"/>
  <c r="G34" i="19"/>
  <c r="H34" i="19"/>
  <c r="I34" i="19"/>
  <c r="D35" i="19"/>
  <c r="E35" i="19"/>
  <c r="F35" i="19"/>
  <c r="G35" i="19"/>
  <c r="H35" i="19"/>
  <c r="I35" i="19"/>
  <c r="D36" i="19"/>
  <c r="E36" i="19"/>
  <c r="F36" i="19"/>
  <c r="G36" i="19"/>
  <c r="H36" i="19"/>
  <c r="I36" i="19"/>
  <c r="D37" i="19"/>
  <c r="E37" i="19"/>
  <c r="F37" i="19"/>
  <c r="G37" i="19"/>
  <c r="H37" i="19"/>
  <c r="I37" i="19"/>
  <c r="D38" i="19"/>
  <c r="E38" i="19"/>
  <c r="F38" i="19"/>
  <c r="G38" i="19"/>
  <c r="H38" i="19"/>
  <c r="I38" i="19"/>
  <c r="D39" i="19"/>
  <c r="E39" i="19"/>
  <c r="F39" i="19"/>
  <c r="G39" i="19"/>
  <c r="H39" i="19"/>
  <c r="I39" i="19"/>
  <c r="D40" i="19"/>
  <c r="E40" i="19"/>
  <c r="F40" i="19"/>
  <c r="G40" i="19"/>
  <c r="H40" i="19"/>
  <c r="I40" i="19"/>
  <c r="D41" i="19"/>
  <c r="E41" i="19"/>
  <c r="F41" i="19"/>
  <c r="G41" i="19"/>
  <c r="H41" i="19"/>
  <c r="I41" i="19"/>
  <c r="D42" i="19"/>
  <c r="E42" i="19"/>
  <c r="F42" i="19"/>
  <c r="G42" i="19"/>
  <c r="H42" i="19"/>
  <c r="I42" i="19"/>
  <c r="D43" i="19"/>
  <c r="E43" i="19"/>
  <c r="F43" i="19"/>
  <c r="G43" i="19"/>
  <c r="H43" i="19"/>
  <c r="I43" i="19"/>
  <c r="D44" i="19"/>
  <c r="E44" i="19"/>
  <c r="F44" i="19"/>
  <c r="G44" i="19"/>
  <c r="H44" i="19"/>
  <c r="I44" i="19"/>
  <c r="D45" i="19"/>
  <c r="E45" i="19"/>
  <c r="F45" i="19"/>
  <c r="G45" i="19"/>
  <c r="H45" i="19"/>
  <c r="I45" i="19"/>
  <c r="D46" i="19"/>
  <c r="E46" i="19"/>
  <c r="F46" i="19"/>
  <c r="G46" i="19"/>
  <c r="H46" i="19"/>
  <c r="I46" i="19"/>
  <c r="D47" i="19"/>
  <c r="E47" i="19"/>
  <c r="F47" i="19"/>
  <c r="G47" i="19"/>
  <c r="H47" i="19"/>
  <c r="I47" i="19"/>
  <c r="D48" i="19"/>
  <c r="E48" i="19"/>
  <c r="F48" i="19"/>
  <c r="G48" i="19"/>
  <c r="H48" i="19"/>
  <c r="I48" i="19"/>
  <c r="D49" i="19"/>
  <c r="E49" i="19"/>
  <c r="F49" i="19"/>
  <c r="G49" i="19"/>
  <c r="H49" i="19"/>
  <c r="I49" i="19"/>
  <c r="D50" i="19"/>
  <c r="E50" i="19"/>
  <c r="F50" i="19"/>
  <c r="G50" i="19"/>
  <c r="H50" i="19"/>
  <c r="I50" i="19"/>
  <c r="D51" i="19"/>
  <c r="E51" i="19"/>
  <c r="F51" i="19"/>
  <c r="G51" i="19"/>
  <c r="H51" i="19"/>
  <c r="I51" i="19"/>
  <c r="C31" i="19"/>
  <c r="C32" i="19"/>
  <c r="C33" i="19"/>
  <c r="C34" i="19"/>
  <c r="C35" i="19"/>
  <c r="C36" i="19"/>
  <c r="C37" i="19"/>
  <c r="C38" i="19"/>
  <c r="C39" i="19"/>
  <c r="C40" i="19"/>
  <c r="C41" i="19"/>
  <c r="C42" i="19"/>
  <c r="C43" i="19"/>
  <c r="C44" i="19"/>
  <c r="C45" i="19"/>
  <c r="C46" i="19"/>
  <c r="C47" i="19"/>
  <c r="C48" i="19"/>
  <c r="C49" i="19"/>
  <c r="C50" i="19"/>
  <c r="C51" i="19"/>
  <c r="C30" i="19"/>
  <c r="E55" i="19" l="1"/>
  <c r="G55" i="19"/>
  <c r="F55" i="19"/>
  <c r="C55" i="19"/>
  <c r="I55" i="19"/>
  <c r="H55" i="19"/>
  <c r="D55" i="19"/>
  <c r="I56" i="19"/>
  <c r="H56" i="19"/>
  <c r="F56" i="19"/>
  <c r="C56" i="19"/>
  <c r="G56" i="19"/>
  <c r="G58" i="19" s="1"/>
  <c r="E56" i="19"/>
  <c r="D56" i="19"/>
  <c r="E58" i="19" l="1"/>
  <c r="F58" i="19"/>
  <c r="D58" i="19"/>
  <c r="C58" i="19"/>
  <c r="I59" i="19"/>
  <c r="C59" i="19"/>
  <c r="H59" i="19"/>
  <c r="H58" i="19"/>
  <c r="I58" i="19"/>
  <c r="D59" i="19"/>
  <c r="F59" i="19"/>
  <c r="E59" i="19"/>
  <c r="G59" i="19"/>
</calcChain>
</file>

<file path=xl/comments1.xml><?xml version="1.0" encoding="utf-8"?>
<comments xmlns="http://schemas.openxmlformats.org/spreadsheetml/2006/main">
  <authors>
    <author>K Sullivan</author>
  </authors>
  <commentList>
    <comment ref="B11" authorId="0" shapeId="0">
      <text>
        <r>
          <rPr>
            <b/>
            <sz val="9"/>
            <color indexed="81"/>
            <rFont val="Tahoma"/>
            <family val="2"/>
          </rPr>
          <t>NOTE:</t>
        </r>
        <r>
          <rPr>
            <sz val="9"/>
            <color indexed="81"/>
            <rFont val="Tahoma"/>
            <family val="2"/>
          </rPr>
          <t xml:space="preserve">
Sample seems odd for all metals.  Lead is an-order of magnitude different</t>
        </r>
      </text>
    </comment>
    <comment ref="H11" authorId="0" shapeId="0">
      <text>
        <r>
          <rPr>
            <b/>
            <sz val="9"/>
            <color indexed="81"/>
            <rFont val="Tahoma"/>
            <family val="2"/>
          </rPr>
          <t>NOTE:</t>
        </r>
        <r>
          <rPr>
            <sz val="9"/>
            <color indexed="81"/>
            <rFont val="Tahoma"/>
            <family val="2"/>
          </rPr>
          <t xml:space="preserve">
Original data says 6400.  Looks like probably 640 but this is peak snowmelt.  Not confident in this sample</t>
        </r>
      </text>
    </comment>
  </commentList>
</comments>
</file>

<file path=xl/sharedStrings.xml><?xml version="1.0" encoding="utf-8"?>
<sst xmlns="http://schemas.openxmlformats.org/spreadsheetml/2006/main" count="4646" uniqueCount="333">
  <si>
    <t>River KM</t>
  </si>
  <si>
    <t>Cadmium</t>
  </si>
  <si>
    <t>Copper</t>
  </si>
  <si>
    <t>Iron</t>
  </si>
  <si>
    <t>Lead</t>
  </si>
  <si>
    <t>Manganese</t>
  </si>
  <si>
    <t>Zinc</t>
  </si>
  <si>
    <t>Aluminum</t>
  </si>
  <si>
    <t>Metal</t>
  </si>
  <si>
    <t>Date_Time</t>
  </si>
  <si>
    <t>SD</t>
  </si>
  <si>
    <t>Pre-Event Sample</t>
  </si>
  <si>
    <t>t-test p-value</t>
  </si>
  <si>
    <t>Wilcoxon p-value</t>
  </si>
  <si>
    <t>SAN JUAN R NR FRUITLAND, NM</t>
  </si>
  <si>
    <t>SAN JUAN RIVER AT FARMINGTON, NM</t>
  </si>
  <si>
    <t>SAN JUAN RIVER AT FOUR CORNERS, CO</t>
  </si>
  <si>
    <t>SAN JUAN RIVER AT HAMMOND BR NR BLOOMFIELD, NM</t>
  </si>
  <si>
    <t>SAN JUAN RIVER AT SHIPROCK, NM</t>
  </si>
  <si>
    <t>z-score</t>
  </si>
  <si>
    <t>-</t>
  </si>
  <si>
    <t>Not Measured</t>
  </si>
  <si>
    <t>2016 Snowmelt</t>
  </si>
  <si>
    <t>Predominantly Non-Detects</t>
  </si>
  <si>
    <t>Sample Date</t>
  </si>
  <si>
    <t>ANIMAS RIVER IN DURANGO AT 9TH ST.</t>
  </si>
  <si>
    <t>Pre-Event</t>
  </si>
  <si>
    <t>Pre-Event (mg/kg)</t>
  </si>
  <si>
    <t>GKMSE102_081115</t>
  </si>
  <si>
    <t>GKMSE103_081115</t>
  </si>
  <si>
    <t>GKMSE01_081115</t>
  </si>
  <si>
    <t>GKMSE01_081115D</t>
  </si>
  <si>
    <t>CO_RI_M21_08/14/2015</t>
  </si>
  <si>
    <t>Oxbow ParkSE_102715</t>
  </si>
  <si>
    <t>9425D_08/14/2015</t>
  </si>
  <si>
    <t>9425E_08/13/2015</t>
  </si>
  <si>
    <t>GKMSE204_102715</t>
  </si>
  <si>
    <t>GKMSE02_081115</t>
  </si>
  <si>
    <t>GKMSE204_082715</t>
  </si>
  <si>
    <t>GKMSE204_082815</t>
  </si>
  <si>
    <t>GKMSE204_082815D</t>
  </si>
  <si>
    <t>GKMSE204_090115</t>
  </si>
  <si>
    <t>GKMSE204_091715</t>
  </si>
  <si>
    <t>GKMSE204_091815</t>
  </si>
  <si>
    <t>GKMSE204_091815D</t>
  </si>
  <si>
    <t>GKMSE204_092015</t>
  </si>
  <si>
    <t>GKMSE204_092015D</t>
  </si>
  <si>
    <t>GKMSE204_092115</t>
  </si>
  <si>
    <t>GKMSE204_092415</t>
  </si>
  <si>
    <t>GKMSE204_092815D</t>
  </si>
  <si>
    <t>GKMSE204_092815</t>
  </si>
  <si>
    <t>GKMSE204_100115</t>
  </si>
  <si>
    <t>CO_RI_M24_08/13/2015</t>
  </si>
  <si>
    <t>CO_RI_M25_08/13/2015</t>
  </si>
  <si>
    <t>GKMSE03_081115</t>
  </si>
  <si>
    <t>Animas Rotary ParkSE_102715</t>
  </si>
  <si>
    <t>CO_RI_M26_08/13/2015</t>
  </si>
  <si>
    <t>CO_RI_M28_08/13/2015</t>
  </si>
  <si>
    <t>CO_RI_M29_08/11/2015</t>
  </si>
  <si>
    <t>GKMSE205_082715</t>
  </si>
  <si>
    <t>GKMSE205_082815</t>
  </si>
  <si>
    <t>GKMSE205_090115</t>
  </si>
  <si>
    <t>GKMSE205_091715</t>
  </si>
  <si>
    <t>GKMSE205_091815</t>
  </si>
  <si>
    <t>GKMSE205_092015</t>
  </si>
  <si>
    <t>GKMSE205_092115</t>
  </si>
  <si>
    <t>GKMSE205_092415</t>
  </si>
  <si>
    <t>GKMSE205_092815</t>
  </si>
  <si>
    <t>GKMSE205_100115</t>
  </si>
  <si>
    <t>GKMSE205_102715</t>
  </si>
  <si>
    <t>9421_08/11/2015</t>
  </si>
  <si>
    <t>GKMSE05_081115</t>
  </si>
  <si>
    <t>GKMSE06_081115</t>
  </si>
  <si>
    <t>GKMSE04_081115</t>
  </si>
  <si>
    <t>9420A_08/13/2015</t>
  </si>
  <si>
    <t>20169900001SED-20150810</t>
  </si>
  <si>
    <t>CO_RI_M37_08/13/2015</t>
  </si>
  <si>
    <t>GKMSE09_081115</t>
  </si>
  <si>
    <t>CO_RI_M38_08/13/2015</t>
  </si>
  <si>
    <t>CO_RI_M38.1_08/13/2015</t>
  </si>
  <si>
    <t>GKMSE08_081115</t>
  </si>
  <si>
    <t>CO_RI_M39_08/13/2015</t>
  </si>
  <si>
    <t>GKMSE201_082715</t>
  </si>
  <si>
    <t>GKMSE201_082815</t>
  </si>
  <si>
    <t>GKMSE201_090115D</t>
  </si>
  <si>
    <t>GKMSE201_090115</t>
  </si>
  <si>
    <t>GKMSE201_091715</t>
  </si>
  <si>
    <t>GKMSE201_091815</t>
  </si>
  <si>
    <t>GKMSE201_092015</t>
  </si>
  <si>
    <t>GKMSE201_092115</t>
  </si>
  <si>
    <t>GKMSE201_092415</t>
  </si>
  <si>
    <t>GKMSE201_092815</t>
  </si>
  <si>
    <t>GKMSE201_100115</t>
  </si>
  <si>
    <t>GKMSE07_081115</t>
  </si>
  <si>
    <t>9420D_08/13/2015</t>
  </si>
  <si>
    <t>AR 19-3_08/14/2015</t>
  </si>
  <si>
    <t>GKMSE201_10282015</t>
  </si>
  <si>
    <t>Arsenic</t>
  </si>
  <si>
    <t>mg/kg</t>
  </si>
  <si>
    <t>Pre-Event Sample (mg/kg)</t>
  </si>
  <si>
    <t>Fall 2015 Average (mg/kg)</t>
  </si>
  <si>
    <t>Fall 2015</t>
  </si>
  <si>
    <t>Snowment 2016</t>
  </si>
  <si>
    <t>Snowmelt 2016 Average (mg/kg)</t>
  </si>
  <si>
    <t>Pre-Event Mean (mg/kg)</t>
  </si>
  <si>
    <t>STREAMBED</t>
  </si>
  <si>
    <t>Site doesn't see that flow again until April 13, 2016</t>
  </si>
  <si>
    <t>q (cfs)</t>
  </si>
  <si>
    <t>n=</t>
  </si>
  <si>
    <t>Bed Sediment Concentration</t>
  </si>
  <si>
    <t>CEMENT CREEK</t>
  </si>
  <si>
    <t>Animas River below Silverton (A72)</t>
  </si>
  <si>
    <t>Animas River at Farmington</t>
  </si>
  <si>
    <t xml:space="preserve">Bed Sediment Concentration              </t>
  </si>
  <si>
    <t xml:space="preserve">  Bakers Bridge (RK 64) </t>
  </si>
  <si>
    <r>
      <rPr>
        <b/>
        <sz val="11"/>
        <color theme="1"/>
        <rFont val="Calibri"/>
        <family val="2"/>
        <scheme val="minor"/>
      </rPr>
      <t xml:space="preserve">Bed Sediment Concentration      </t>
    </r>
    <r>
      <rPr>
        <sz val="11"/>
        <color theme="1"/>
        <rFont val="Calibri"/>
        <family val="2"/>
        <scheme val="minor"/>
      </rPr>
      <t xml:space="preserve">   </t>
    </r>
  </si>
  <si>
    <t>SE</t>
  </si>
  <si>
    <t>Mean</t>
  </si>
  <si>
    <t>Both p-values &lt; 0.05</t>
  </si>
  <si>
    <t>One p-value &lt; 0.05</t>
  </si>
  <si>
    <t>Neither p-value &lt; 0.05</t>
  </si>
  <si>
    <t>Post &gt; Pre</t>
  </si>
  <si>
    <t>Post &lt; Pre</t>
  </si>
  <si>
    <t>Post = Pre</t>
  </si>
  <si>
    <t>Bed Sediment Concentration     Fall 2015</t>
  </si>
  <si>
    <t>Bed Sediment Concentration     2016 Snowmelt</t>
  </si>
  <si>
    <t>Post-Event (mg/kg)</t>
  </si>
  <si>
    <t xml:space="preserve">Bed Sediment Concentration        2016 Snowmelt       </t>
  </si>
  <si>
    <t>Animas River at Farmington (RK 190)</t>
  </si>
  <si>
    <t>Upper San Juan</t>
  </si>
  <si>
    <t xml:space="preserve">Bed Sediment  Concentration     Fall 2015                                </t>
  </si>
  <si>
    <t xml:space="preserve">  Upper San Juan River</t>
  </si>
  <si>
    <t xml:space="preserve">Bed Sediment  Concentration     Snowmelt 2016                           </t>
  </si>
  <si>
    <t>Below Silverton (RK 16.4)</t>
  </si>
  <si>
    <t>Bakers Bridge (RK 64)</t>
  </si>
  <si>
    <t>Durango (RK 94)</t>
  </si>
  <si>
    <t>22 (21 for Fe)</t>
  </si>
  <si>
    <t>18 (16 for Fe)</t>
  </si>
  <si>
    <t>Date:Time</t>
  </si>
  <si>
    <t>Sediment Concentration (mg/kg)</t>
  </si>
  <si>
    <t>Period</t>
  </si>
  <si>
    <r>
      <t>Average Log</t>
    </r>
    <r>
      <rPr>
        <vertAlign val="subscript"/>
        <sz val="9"/>
        <color theme="1"/>
        <rFont val="Calibri"/>
        <family val="2"/>
        <scheme val="minor"/>
      </rPr>
      <t>10</t>
    </r>
    <r>
      <rPr>
        <sz val="9"/>
        <color theme="1"/>
        <rFont val="Calibri"/>
        <family val="2"/>
        <scheme val="minor"/>
      </rPr>
      <t xml:space="preserve"> Concentration</t>
    </r>
  </si>
  <si>
    <r>
      <t>SD Log</t>
    </r>
    <r>
      <rPr>
        <vertAlign val="subscript"/>
        <sz val="9"/>
        <color theme="1"/>
        <rFont val="Calibri"/>
        <family val="2"/>
        <scheme val="minor"/>
      </rPr>
      <t xml:space="preserve">10 </t>
    </r>
    <r>
      <rPr>
        <sz val="9"/>
        <color theme="1"/>
        <rFont val="Calibri"/>
        <family val="2"/>
        <scheme val="minor"/>
      </rPr>
      <t>Concentration</t>
    </r>
  </si>
  <si>
    <t>Note: only 1 sample</t>
  </si>
  <si>
    <t>2016 Snowmelt Sediment Composition (mg/kg)</t>
  </si>
  <si>
    <t>Pre GKM Event Sediment Composition (mg/kg)</t>
  </si>
  <si>
    <t>Post GKM Event Sediment Concentration (mg/kg)</t>
  </si>
  <si>
    <t>Standard Error</t>
  </si>
  <si>
    <t>Standard Units Lower Bound</t>
  </si>
  <si>
    <t>Standard Units Upper Bound</t>
  </si>
  <si>
    <t>Standard Units Standard Error</t>
  </si>
  <si>
    <r>
      <t>Post GKM Event Log</t>
    </r>
    <r>
      <rPr>
        <b/>
        <vertAlign val="subscript"/>
        <sz val="11"/>
        <color theme="1"/>
        <rFont val="Calibri"/>
        <family val="2"/>
        <scheme val="minor"/>
      </rPr>
      <t>10</t>
    </r>
    <r>
      <rPr>
        <b/>
        <sz val="11"/>
        <color theme="1"/>
        <rFont val="Calibri"/>
        <family val="2"/>
        <scheme val="minor"/>
      </rPr>
      <t xml:space="preserve"> Sediment Concentration (mg/kg)</t>
    </r>
  </si>
  <si>
    <t>2016 Snowmelt Statistics</t>
  </si>
  <si>
    <t>n=8</t>
  </si>
  <si>
    <t>n=22</t>
  </si>
  <si>
    <t>Fall 2015 Statistics</t>
  </si>
  <si>
    <t>Pre-Event Sample and Statistic</t>
  </si>
  <si>
    <t>Guide to This File</t>
  </si>
  <si>
    <t>Data was obtained from:</t>
  </si>
  <si>
    <t>CONSOLIDATED POST EVENT DATA.xls</t>
  </si>
  <si>
    <t>CONSOLIDATED PRE EVENT DATA.xls</t>
  </si>
  <si>
    <t>Worksheets that contain Figure or Table from Final Report are identified by this tab color</t>
  </si>
  <si>
    <t>Guide to Location of Final Report Figures and Tables Found in this File</t>
  </si>
  <si>
    <t>Report Figure Or Table</t>
  </si>
  <si>
    <t>Worksheet</t>
  </si>
  <si>
    <t>Table 9-8</t>
  </si>
  <si>
    <t xml:space="preserve">This file primarily presents statistical comparisons of pre- and post GKM metal concentrations in sediment at various locations in the Animas and San Juan Rivers. </t>
  </si>
  <si>
    <t>Table 9-3 continued</t>
  </si>
  <si>
    <t>Table 9-3</t>
  </si>
  <si>
    <t>Cement Creek</t>
  </si>
  <si>
    <t>This worksheet contains:     Table 9-3 (sediment)</t>
  </si>
  <si>
    <t>Pre Event</t>
  </si>
  <si>
    <t>Standard Deviation</t>
  </si>
  <si>
    <t>N</t>
  </si>
  <si>
    <t>Geometric Mean</t>
  </si>
  <si>
    <t>Pre GKM Event Sediment Concentration (mg/kg)</t>
  </si>
  <si>
    <r>
      <t>Pre GKM Event Log</t>
    </r>
    <r>
      <rPr>
        <b/>
        <vertAlign val="subscript"/>
        <sz val="11"/>
        <color theme="1"/>
        <rFont val="Calibri"/>
        <family val="2"/>
        <scheme val="minor"/>
      </rPr>
      <t>10</t>
    </r>
    <r>
      <rPr>
        <b/>
        <sz val="11"/>
        <color theme="1"/>
        <rFont val="Calibri"/>
        <family val="2"/>
        <scheme val="minor"/>
      </rPr>
      <t xml:space="preserve"> Sediment Concentration (mg/kg)</t>
    </r>
  </si>
  <si>
    <t>Pre Event Statistics</t>
  </si>
  <si>
    <t>2016 Snowmelt  Sediment Concentration (mg/kg)</t>
  </si>
  <si>
    <r>
      <t>2016 Snowmelt Log</t>
    </r>
    <r>
      <rPr>
        <b/>
        <vertAlign val="subscript"/>
        <sz val="11"/>
        <color theme="1"/>
        <rFont val="Calibri"/>
        <family val="2"/>
        <scheme val="minor"/>
      </rPr>
      <t>10</t>
    </r>
    <r>
      <rPr>
        <b/>
        <sz val="11"/>
        <color theme="1"/>
        <rFont val="Calibri"/>
        <family val="2"/>
        <scheme val="minor"/>
      </rPr>
      <t xml:space="preserve"> Sediment Concentration (mg/kg)</t>
    </r>
  </si>
  <si>
    <t>2016 Snowmelt Sediment Concentration (mg/kg)</t>
  </si>
  <si>
    <t>2016 Snowmelt (mg/kg)</t>
  </si>
  <si>
    <t>Pre-GKM Event Sediment Concentration (mg/kg)</t>
  </si>
  <si>
    <t>Post GKM Event Results</t>
  </si>
  <si>
    <t>2016 Snowmelt Results</t>
  </si>
  <si>
    <t>Pre GKM Results</t>
  </si>
  <si>
    <t>Table 9-4 Continued</t>
  </si>
  <si>
    <t>Fall 2015 Sediment Concentration (mg/kg)</t>
  </si>
  <si>
    <r>
      <t>Fall 2015  Log</t>
    </r>
    <r>
      <rPr>
        <b/>
        <vertAlign val="subscript"/>
        <sz val="11"/>
        <color theme="1"/>
        <rFont val="Calibri"/>
        <family val="2"/>
        <scheme val="minor"/>
      </rPr>
      <t>10</t>
    </r>
    <r>
      <rPr>
        <b/>
        <sz val="11"/>
        <color theme="1"/>
        <rFont val="Calibri"/>
        <family val="2"/>
        <scheme val="minor"/>
      </rPr>
      <t xml:space="preserve"> Sediment Concentration (mg/kg)</t>
    </r>
  </si>
  <si>
    <t>Fall 2015 (mg/kg)</t>
  </si>
  <si>
    <r>
      <rPr>
        <sz val="14"/>
        <color rgb="FF0033CC"/>
        <rFont val="Calibri"/>
        <family val="2"/>
        <scheme val="minor"/>
      </rPr>
      <t>F</t>
    </r>
    <r>
      <rPr>
        <b/>
        <sz val="14"/>
        <color rgb="FF0033CC"/>
        <rFont val="Calibri"/>
        <family val="2"/>
        <scheme val="minor"/>
      </rPr>
      <t>igure 9-13</t>
    </r>
  </si>
  <si>
    <t>For Graphing Sediment Metal Concentrations Through the Post GKM Period</t>
  </si>
  <si>
    <t>This worksheet contains:     Figure 9-13 and Table 9-4 (sediment)</t>
  </si>
  <si>
    <t>Figure 9-13</t>
  </si>
  <si>
    <t>Silverton</t>
  </si>
  <si>
    <t>Table 9-4</t>
  </si>
  <si>
    <t>Figure 9-16</t>
  </si>
  <si>
    <r>
      <t>Fall 2015 Log</t>
    </r>
    <r>
      <rPr>
        <b/>
        <vertAlign val="subscript"/>
        <sz val="11"/>
        <color theme="1"/>
        <rFont val="Calibri"/>
        <family val="2"/>
        <scheme val="minor"/>
      </rPr>
      <t>10</t>
    </r>
    <r>
      <rPr>
        <b/>
        <sz val="11"/>
        <color theme="1"/>
        <rFont val="Calibri"/>
        <family val="2"/>
        <scheme val="minor"/>
      </rPr>
      <t xml:space="preserve"> Sediment Concentration (mg/kg)</t>
    </r>
  </si>
  <si>
    <t>Table 9-5</t>
  </si>
  <si>
    <t>This worksheet contains:     Figure 9-16 and Table 9-5 (sediment)</t>
  </si>
  <si>
    <t>Statistical Table Color Coding For Significance</t>
  </si>
  <si>
    <t>Note:   There are no pre-GKM event bed sediment data available at this location</t>
  </si>
  <si>
    <t>Sample ID</t>
  </si>
  <si>
    <t>Distance from GKM (km)</t>
  </si>
  <si>
    <t>Animas River at Farmington (RK 190)--Sediment Metal Concentration and Statistical Comparison Pre and Post GKM Event</t>
  </si>
  <si>
    <t>Animas River at Durango (RK 88-103)--Sediment Metal Concentration</t>
  </si>
  <si>
    <t>Animas River at Bakers Bridge (RK 64)  Sediment Comparisons Pre and Post GKM Event</t>
  </si>
  <si>
    <t>Animas River Below Silverton (A72, River Distance 16.4)--Sediment Comparisons Pre and Post GKM Event</t>
  </si>
  <si>
    <t>Cement Creek (RK 12.5)-- Sediment Comparisons Pre and Post GKM Event</t>
  </si>
  <si>
    <t>Post Event Samples for Graphing</t>
  </si>
  <si>
    <t>Pre GKM Event Results</t>
  </si>
  <si>
    <t>Statistic</t>
  </si>
  <si>
    <t>Pre-Event Statistics</t>
  </si>
  <si>
    <r>
      <t>GKM Event and Fall 2015  Log</t>
    </r>
    <r>
      <rPr>
        <b/>
        <vertAlign val="subscript"/>
        <sz val="11"/>
        <color theme="1"/>
        <rFont val="Calibri"/>
        <family val="2"/>
        <scheme val="minor"/>
      </rPr>
      <t>10</t>
    </r>
    <r>
      <rPr>
        <b/>
        <sz val="11"/>
        <color theme="1"/>
        <rFont val="Calibri"/>
        <family val="2"/>
        <scheme val="minor"/>
      </rPr>
      <t xml:space="preserve"> Sediment Concentration (mg/kg)</t>
    </r>
  </si>
  <si>
    <t>GKM Event and Fall 2015 Sediment Concentration (mg/kg)</t>
  </si>
  <si>
    <t>ZSCORE</t>
  </si>
  <si>
    <t>NOTE: N=1</t>
  </si>
  <si>
    <t>Comparisons of Bed Sediments at Sites During 2016 Snowmelt--Upper Animas</t>
  </si>
  <si>
    <t>Sediment Metal Concentration (mg/kg)</t>
  </si>
  <si>
    <t>San Juan River--Sediment Metal Concentration and Statistical Comparison Pre and Post GKM Event</t>
  </si>
  <si>
    <t>For Graphing</t>
  </si>
  <si>
    <t>LVW020</t>
  </si>
  <si>
    <t>SJLP</t>
  </si>
  <si>
    <t>LVW 030</t>
  </si>
  <si>
    <t>TSB-SB023-150815-51</t>
  </si>
  <si>
    <t>TSB-SB022-150815-51</t>
  </si>
  <si>
    <t>TSB-SB019-150815-51</t>
  </si>
  <si>
    <t>TSB-SB021-150815-51</t>
  </si>
  <si>
    <t>TSB-SB020-150815-51</t>
  </si>
  <si>
    <t>SJFP</t>
  </si>
  <si>
    <t>SJHB</t>
  </si>
  <si>
    <t>SJSR</t>
  </si>
  <si>
    <t>SJDS</t>
  </si>
  <si>
    <t>SJ4C</t>
  </si>
  <si>
    <t>LVW 020</t>
  </si>
  <si>
    <t>SJMC</t>
  </si>
  <si>
    <t>SJMH</t>
  </si>
  <si>
    <t>Location</t>
  </si>
  <si>
    <t>2016 Snomelt</t>
  </si>
  <si>
    <t>Pre-Event Results</t>
  </si>
  <si>
    <t>Fall 2015 Statistics Upper San Juan (196 to 296 km)</t>
  </si>
  <si>
    <t>USGS Gage Number</t>
  </si>
  <si>
    <t>Labels</t>
  </si>
  <si>
    <t>Pre-Event Statistics  Upper San Juan (196 to 245 km)</t>
  </si>
  <si>
    <t>Figure 9-44</t>
  </si>
  <si>
    <t>This worksheet contains:     Figure 9-44 and Table 9-9 (sediment)</t>
  </si>
  <si>
    <t>Table 9-9</t>
  </si>
  <si>
    <t>Durango</t>
  </si>
  <si>
    <t>Bakers Bridge</t>
  </si>
  <si>
    <t>Farmington</t>
  </si>
  <si>
    <t>San Juan</t>
  </si>
  <si>
    <t>Figure 9-22</t>
  </si>
  <si>
    <t>Note: Looking at Tacoma Gage:  Aug 5 Gold King peak was 546 cfs.</t>
  </si>
  <si>
    <t>Figure 9-23</t>
  </si>
  <si>
    <t>Streamflow (cfs)</t>
  </si>
  <si>
    <t>Fig 9-23</t>
  </si>
  <si>
    <t>This is Figure 9-8 and it also found in the total water file.</t>
  </si>
  <si>
    <t>z-score &lt; -3</t>
  </si>
  <si>
    <t>z-score between (-2,2)</t>
  </si>
  <si>
    <t>z-score between (-3,-2)</t>
  </si>
  <si>
    <t>z-score &gt; 3</t>
  </si>
  <si>
    <t>z-score between (2,3)</t>
  </si>
  <si>
    <t>z-score = (PreConc - Average PostConcs)/(StDev PostConcs)</t>
  </si>
  <si>
    <t>T Test: Two Independent Samples</t>
  </si>
  <si>
    <t>SUMMARY</t>
  </si>
  <si>
    <t>Hyp Mean Diff</t>
  </si>
  <si>
    <t>Groups</t>
  </si>
  <si>
    <t>Count</t>
  </si>
  <si>
    <t>Variance</t>
  </si>
  <si>
    <t>Cohen d</t>
  </si>
  <si>
    <t>Group 1</t>
  </si>
  <si>
    <t>Group 2</t>
  </si>
  <si>
    <t>Pooled</t>
  </si>
  <si>
    <t>T TEST: Equal Variances</t>
  </si>
  <si>
    <t>Alpha</t>
  </si>
  <si>
    <t xml:space="preserve"> </t>
  </si>
  <si>
    <t>std err</t>
  </si>
  <si>
    <t>t-stat</t>
  </si>
  <si>
    <t>df</t>
  </si>
  <si>
    <t>p-value</t>
  </si>
  <si>
    <t>t-crit</t>
  </si>
  <si>
    <t>lower</t>
  </si>
  <si>
    <t>upper</t>
  </si>
  <si>
    <t>sig</t>
  </si>
  <si>
    <t>effect r</t>
  </si>
  <si>
    <t>One Tail</t>
  </si>
  <si>
    <t>Two Tail</t>
  </si>
  <si>
    <t>T TEST: Unequal Variances</t>
  </si>
  <si>
    <t>Mann-Whitney Test for Two Independent Samples</t>
  </si>
  <si>
    <t>Sample 1</t>
  </si>
  <si>
    <t>Sample 2</t>
  </si>
  <si>
    <t>count</t>
  </si>
  <si>
    <t>median</t>
  </si>
  <si>
    <t>rank sum</t>
  </si>
  <si>
    <t>U</t>
  </si>
  <si>
    <t>one tail</t>
  </si>
  <si>
    <t>two tail</t>
  </si>
  <si>
    <t>alpha</t>
  </si>
  <si>
    <t>mean</t>
  </si>
  <si>
    <t>std dev</t>
  </si>
  <si>
    <t>ties</t>
  </si>
  <si>
    <t>U-crit</t>
  </si>
  <si>
    <t>sig (norm)</t>
  </si>
  <si>
    <t>sig (exact)</t>
  </si>
  <si>
    <t>Aluminum Fall 2015 versus Pre</t>
  </si>
  <si>
    <t>Cadmium Fall 2015 versus Pre</t>
  </si>
  <si>
    <t>Copper Fall 2015 versus Pre</t>
  </si>
  <si>
    <t>Iron Fall 2015 versus Pre</t>
  </si>
  <si>
    <t>Lead Fall 2015 versus Pre</t>
  </si>
  <si>
    <t>Manganese Fall 2015 versus Pre</t>
  </si>
  <si>
    <t>Zinc Fall 2015 versus Pre</t>
  </si>
  <si>
    <t>sig (table)</t>
  </si>
  <si>
    <t>Aluminum Snowmelt 2016 versus Pre</t>
  </si>
  <si>
    <t>Cadmium Snowmelt 2016 versus Pre</t>
  </si>
  <si>
    <t>Copper Snowmelt 2016 versus Pre</t>
  </si>
  <si>
    <t>Iron Snowmelt 2016 versus Pre</t>
  </si>
  <si>
    <t>Lead Snowmelt 2016 versus Pre</t>
  </si>
  <si>
    <t>Manganese Snowmelt 2016 versus Pre</t>
  </si>
  <si>
    <t>Zinc Snowmelt 2016 versus Pre</t>
  </si>
  <si>
    <t>&lt;  0.0001</t>
  </si>
  <si>
    <t>Pre Event Statistics  n=1</t>
  </si>
  <si>
    <t>T-Test and Non Parametric Statistical Tests</t>
  </si>
  <si>
    <t>Geometric Mean Concentration</t>
  </si>
  <si>
    <t xml:space="preserve">Post Event Geometric Mean </t>
  </si>
  <si>
    <t>Aug-Oct 2015</t>
  </si>
  <si>
    <t>Aug only</t>
  </si>
  <si>
    <t>Sep Only</t>
  </si>
  <si>
    <t>Oct Only</t>
  </si>
  <si>
    <t>Snowmelt Period</t>
  </si>
  <si>
    <t>The file may also contain other worksheets with data or additional figures that did not make it into the report, for informational purposes.</t>
  </si>
  <si>
    <t>Aug 11-Aug 26</t>
  </si>
  <si>
    <t>After Aug 27</t>
  </si>
  <si>
    <t>Comparison of Pre and Post Event Divided by Post Event Time Periods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</si>
</sst>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000"/>
    <numFmt numFmtId="165" formatCode="0.0"/>
    <numFmt numFmtId="166" formatCode="0.0000"/>
    <numFmt numFmtId="167" formatCode="0.00000000000"/>
    <numFmt numFmtId="168" formatCode="0.00000"/>
    <numFmt numFmtId="169" formatCode="###0.0;###0.0"/>
    <numFmt numFmtId="170" formatCode="###0;###0"/>
    <numFmt numFmtId="171" formatCode="#,##0.0"/>
    <numFmt numFmtId="172" formatCode="m/d/yy\ h:mm;@"/>
    <numFmt numFmtId="173" formatCode="#,##0.000"/>
  </numFmts>
  <fonts count="34" x14ac:knownFonts="1">
    <font>
      <sz val="11"/>
      <color theme="1"/>
      <name val="Calibri"/>
      <family val="2"/>
      <scheme val="minor"/>
    </font>
    <font>
      <sz val="10"/>
      <color theme="1"/>
      <name val="Calibri"/>
      <family val="2"/>
      <scheme val="minor"/>
    </font>
    <font>
      <sz val="10"/>
      <color theme="1"/>
      <name val="Calibri"/>
      <family val="2"/>
      <scheme val="minor"/>
    </font>
    <font>
      <sz val="9"/>
      <color theme="1"/>
      <name val="Calibri"/>
      <family val="2"/>
      <scheme val="minor"/>
    </font>
    <font>
      <sz val="12"/>
      <color theme="1"/>
      <name val="Calibri"/>
      <family val="2"/>
      <scheme val="minor"/>
    </font>
    <font>
      <i/>
      <sz val="12"/>
      <color theme="1"/>
      <name val="Calibri"/>
      <family val="2"/>
      <scheme val="minor"/>
    </font>
    <font>
      <i/>
      <sz val="9"/>
      <color theme="1"/>
      <name val="Calibri"/>
      <family val="2"/>
      <scheme val="minor"/>
    </font>
    <font>
      <i/>
      <sz val="11"/>
      <color theme="1"/>
      <name val="Calibri"/>
      <family val="2"/>
      <scheme val="minor"/>
    </font>
    <font>
      <sz val="8"/>
      <color theme="1"/>
      <name val="Calibri"/>
      <family val="2"/>
      <scheme val="minor"/>
    </font>
    <font>
      <sz val="9"/>
      <name val="Calibri"/>
      <family val="2"/>
      <scheme val="minor"/>
    </font>
    <font>
      <sz val="9"/>
      <color rgb="FFFF0000"/>
      <name val="Calibri"/>
      <family val="2"/>
      <scheme val="minor"/>
    </font>
    <font>
      <sz val="8"/>
      <color rgb="FFFF0000"/>
      <name val="Calibri"/>
      <family val="2"/>
      <scheme val="minor"/>
    </font>
    <font>
      <b/>
      <sz val="10"/>
      <color theme="1"/>
      <name val="Calibri"/>
      <family val="2"/>
      <scheme val="minor"/>
    </font>
    <font>
      <b/>
      <sz val="11"/>
      <color theme="1"/>
      <name val="Calibri"/>
      <family val="2"/>
      <scheme val="minor"/>
    </font>
    <font>
      <b/>
      <sz val="14"/>
      <color theme="1"/>
      <name val="Calibri"/>
      <family val="2"/>
      <scheme val="minor"/>
    </font>
    <font>
      <sz val="9"/>
      <color indexed="81"/>
      <name val="Tahoma"/>
      <family val="2"/>
    </font>
    <font>
      <b/>
      <sz val="9"/>
      <color indexed="81"/>
      <name val="Tahoma"/>
      <family val="2"/>
    </font>
    <font>
      <sz val="9"/>
      <color rgb="FF000000"/>
      <name val="Calibri"/>
      <family val="2"/>
      <scheme val="minor"/>
    </font>
    <font>
      <b/>
      <sz val="16"/>
      <color theme="1"/>
      <name val="Calibri"/>
      <family val="2"/>
      <scheme val="minor"/>
    </font>
    <font>
      <b/>
      <sz val="9"/>
      <color theme="1"/>
      <name val="Calibri"/>
      <family val="2"/>
      <scheme val="minor"/>
    </font>
    <font>
      <b/>
      <sz val="20"/>
      <color theme="1"/>
      <name val="Calibri"/>
      <family val="2"/>
      <scheme val="minor"/>
    </font>
    <font>
      <b/>
      <sz val="10"/>
      <color rgb="FF000000"/>
      <name val="Calibri"/>
      <family val="2"/>
      <scheme val="minor"/>
    </font>
    <font>
      <b/>
      <sz val="12"/>
      <color theme="1"/>
      <name val="Calibri"/>
      <family val="2"/>
      <scheme val="minor"/>
    </font>
    <font>
      <sz val="11"/>
      <color theme="0"/>
      <name val="Calibri"/>
      <family val="2"/>
      <scheme val="minor"/>
    </font>
    <font>
      <vertAlign val="subscript"/>
      <sz val="9"/>
      <color theme="1"/>
      <name val="Calibri"/>
      <family val="2"/>
      <scheme val="minor"/>
    </font>
    <font>
      <b/>
      <vertAlign val="subscript"/>
      <sz val="11"/>
      <color theme="1"/>
      <name val="Calibri"/>
      <family val="2"/>
      <scheme val="minor"/>
    </font>
    <font>
      <b/>
      <sz val="12"/>
      <color rgb="FF0000FF"/>
      <name val="Calibri"/>
      <family val="2"/>
      <scheme val="minor"/>
    </font>
    <font>
      <b/>
      <sz val="14"/>
      <color rgb="FF0033CC"/>
      <name val="Calibri"/>
      <family val="2"/>
      <scheme val="minor"/>
    </font>
    <font>
      <b/>
      <sz val="11"/>
      <color rgb="FF0000FF"/>
      <name val="Calibri"/>
      <family val="2"/>
      <scheme val="minor"/>
    </font>
    <font>
      <sz val="14"/>
      <color rgb="FF0033CC"/>
      <name val="Calibri"/>
      <family val="2"/>
      <scheme val="minor"/>
    </font>
    <font>
      <b/>
      <sz val="11"/>
      <color rgb="FFFF0000"/>
      <name val="Calibri"/>
      <family val="2"/>
      <scheme val="minor"/>
    </font>
    <font>
      <b/>
      <sz val="12"/>
      <color rgb="FFFF0000"/>
      <name val="Calibri"/>
      <family val="2"/>
      <scheme val="minor"/>
    </font>
    <font>
      <sz val="10"/>
      <color rgb="FFFF0000"/>
      <name val="Calibri"/>
      <family val="2"/>
      <scheme val="minor"/>
    </font>
    <font>
      <b/>
      <sz val="14"/>
      <color theme="3" tint="-0.249977111117893"/>
      <name val="Calibri"/>
      <family val="2"/>
      <scheme val="minor"/>
    </font>
  </fonts>
  <fills count="19">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rgb="FFBFDCAC"/>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1" tint="0.499984740745262"/>
        <bgColor indexed="64"/>
      </patternFill>
    </fill>
    <fill>
      <patternFill patternType="solid">
        <fgColor theme="5" tint="-0.249977111117893"/>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00CC5C"/>
        <bgColor indexed="64"/>
      </patternFill>
    </fill>
    <fill>
      <patternFill patternType="solid">
        <fgColor theme="5" tint="0.39997558519241921"/>
        <bgColor indexed="64"/>
      </patternFill>
    </fill>
    <fill>
      <patternFill patternType="solid">
        <fgColor rgb="FFA8D08C"/>
        <bgColor indexed="64"/>
      </patternFill>
    </fill>
  </fills>
  <borders count="45">
    <border>
      <left/>
      <right/>
      <top/>
      <bottom/>
      <diagonal/>
    </border>
    <border>
      <left/>
      <right/>
      <top/>
      <bottom style="thin">
        <color indexed="64"/>
      </bottom>
      <diagonal/>
    </border>
    <border>
      <left/>
      <right style="thin">
        <color theme="0"/>
      </right>
      <top style="thin">
        <color indexed="64"/>
      </top>
      <bottom/>
      <diagonal/>
    </border>
    <border>
      <left style="thin">
        <color theme="0"/>
      </left>
      <right style="thin">
        <color theme="0"/>
      </right>
      <top style="thin">
        <color indexed="64"/>
      </top>
      <bottom/>
      <diagonal/>
    </border>
    <border>
      <left style="thin">
        <color theme="0"/>
      </left>
      <right/>
      <top style="thin">
        <color indexed="64"/>
      </top>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style="thin">
        <color theme="0" tint="-0.34998626667073579"/>
      </right>
      <top/>
      <bottom/>
      <diagonal/>
    </border>
    <border>
      <left/>
      <right style="thin">
        <color theme="0" tint="-0.34998626667073579"/>
      </right>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top/>
      <bottom style="thin">
        <color theme="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double">
        <color indexed="64"/>
      </top>
      <bottom style="thin">
        <color indexed="64"/>
      </bottom>
      <diagonal/>
    </border>
    <border>
      <left/>
      <right/>
      <top style="thin">
        <color indexed="64"/>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1">
    <xf numFmtId="0" fontId="0" fillId="0" borderId="0"/>
  </cellStyleXfs>
  <cellXfs count="455">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14" fontId="3" fillId="0" borderId="0" xfId="0" applyNumberFormat="1" applyFont="1" applyAlignment="1">
      <alignment horizontal="center" vertical="center"/>
    </xf>
    <xf numFmtId="165" fontId="3" fillId="0" borderId="0" xfId="0" applyNumberFormat="1" applyFont="1" applyAlignment="1">
      <alignment horizontal="center" vertical="center"/>
    </xf>
    <xf numFmtId="0" fontId="6" fillId="0" borderId="0" xfId="0" applyFont="1" applyBorder="1" applyAlignment="1">
      <alignment horizontal="center" vertical="center"/>
    </xf>
    <xf numFmtId="0" fontId="3" fillId="0" borderId="0" xfId="0" applyFont="1" applyBorder="1" applyAlignment="1">
      <alignment horizontal="right" vertical="center"/>
    </xf>
    <xf numFmtId="0" fontId="0" fillId="0" borderId="0" xfId="0" applyBorder="1"/>
    <xf numFmtId="0" fontId="7" fillId="0" borderId="0" xfId="0" applyFont="1" applyBorder="1" applyAlignment="1">
      <alignment horizontal="center"/>
    </xf>
    <xf numFmtId="0" fontId="0" fillId="0" borderId="0" xfId="0" applyBorder="1" applyAlignment="1">
      <alignment horizontal="center"/>
    </xf>
    <xf numFmtId="0" fontId="8" fillId="0" borderId="0" xfId="0" applyFont="1" applyAlignment="1">
      <alignment horizontal="center" vertical="center"/>
    </xf>
    <xf numFmtId="14" fontId="8" fillId="0" borderId="0" xfId="0" applyNumberFormat="1" applyFont="1" applyAlignment="1">
      <alignment horizontal="center" vertical="center"/>
    </xf>
    <xf numFmtId="0" fontId="0" fillId="0" borderId="0" xfId="0" applyFill="1" applyBorder="1"/>
    <xf numFmtId="0" fontId="7" fillId="0" borderId="0" xfId="0" applyFont="1" applyFill="1" applyBorder="1" applyAlignment="1">
      <alignment horizontal="center"/>
    </xf>
    <xf numFmtId="0" fontId="0" fillId="0" borderId="0" xfId="0" applyFill="1" applyBorder="1" applyAlignment="1">
      <alignment horizontal="center"/>
    </xf>
    <xf numFmtId="0" fontId="3" fillId="0" borderId="0" xfId="0" applyFont="1" applyFill="1" applyAlignment="1">
      <alignment horizontal="center" vertical="center"/>
    </xf>
    <xf numFmtId="14" fontId="3" fillId="0" borderId="0" xfId="0" applyNumberFormat="1" applyFont="1" applyBorder="1" applyAlignment="1">
      <alignment horizontal="center" vertical="center"/>
    </xf>
    <xf numFmtId="0" fontId="3" fillId="4" borderId="0" xfId="0" applyFont="1" applyFill="1" applyAlignment="1">
      <alignment horizontal="center" vertical="center"/>
    </xf>
    <xf numFmtId="0" fontId="3" fillId="5" borderId="0" xfId="0" applyFont="1" applyFill="1" applyAlignment="1">
      <alignment horizontal="center" vertical="center"/>
    </xf>
    <xf numFmtId="0" fontId="3" fillId="6" borderId="0" xfId="0" applyFont="1" applyFill="1" applyAlignment="1">
      <alignment horizontal="center" vertical="center"/>
    </xf>
    <xf numFmtId="0" fontId="4" fillId="0" borderId="0" xfId="0" applyFont="1"/>
    <xf numFmtId="0" fontId="4" fillId="0" borderId="0" xfId="0" applyFont="1" applyBorder="1"/>
    <xf numFmtId="0" fontId="5" fillId="0" borderId="0" xfId="0" applyFont="1" applyBorder="1" applyAlignment="1">
      <alignment horizontal="center"/>
    </xf>
    <xf numFmtId="0" fontId="8" fillId="0" borderId="0" xfId="0" applyFont="1" applyAlignment="1">
      <alignment horizontal="center"/>
    </xf>
    <xf numFmtId="14" fontId="8" fillId="0" borderId="0" xfId="0" applyNumberFormat="1" applyFont="1" applyAlignment="1">
      <alignment horizontal="center"/>
    </xf>
    <xf numFmtId="14" fontId="0" fillId="0" borderId="0" xfId="0" applyNumberFormat="1"/>
    <xf numFmtId="165" fontId="10" fillId="0" borderId="0" xfId="0" applyNumberFormat="1" applyFont="1" applyAlignment="1">
      <alignment horizontal="center" vertical="center"/>
    </xf>
    <xf numFmtId="0" fontId="3" fillId="0" borderId="0" xfId="0" applyFont="1" applyFill="1" applyBorder="1" applyAlignment="1">
      <alignment horizontal="center" vertical="center"/>
    </xf>
    <xf numFmtId="168" fontId="3" fillId="0" borderId="0" xfId="0" applyNumberFormat="1" applyFont="1" applyAlignment="1">
      <alignment horizontal="center" vertical="center"/>
    </xf>
    <xf numFmtId="1" fontId="8" fillId="0" borderId="0" xfId="0" applyNumberFormat="1" applyFont="1" applyAlignment="1">
      <alignment horizontal="center" vertical="center"/>
    </xf>
    <xf numFmtId="0" fontId="13" fillId="0" borderId="0" xfId="0" applyFont="1"/>
    <xf numFmtId="0" fontId="14" fillId="0" borderId="0" xfId="0" applyFont="1"/>
    <xf numFmtId="0" fontId="3" fillId="0" borderId="0" xfId="0" applyFont="1"/>
    <xf numFmtId="0" fontId="3" fillId="0" borderId="0" xfId="0" applyFont="1" applyAlignment="1">
      <alignment horizontal="center"/>
    </xf>
    <xf numFmtId="0" fontId="10" fillId="0" borderId="0" xfId="0" applyFont="1" applyAlignment="1">
      <alignment horizontal="center" vertical="center"/>
    </xf>
    <xf numFmtId="14" fontId="10" fillId="0" borderId="0" xfId="0" applyNumberFormat="1" applyFont="1" applyAlignment="1">
      <alignment horizontal="center" vertical="center"/>
    </xf>
    <xf numFmtId="1" fontId="11" fillId="0" borderId="0" xfId="0" applyNumberFormat="1" applyFont="1" applyAlignment="1">
      <alignment horizontal="center" vertical="center"/>
    </xf>
    <xf numFmtId="170" fontId="17" fillId="0" borderId="0" xfId="0" applyNumberFormat="1" applyFont="1" applyFill="1" applyBorder="1" applyAlignment="1">
      <alignment horizontal="center" wrapText="1"/>
    </xf>
    <xf numFmtId="169" fontId="17" fillId="0" borderId="0" xfId="0" applyNumberFormat="1" applyFont="1" applyFill="1" applyBorder="1" applyAlignment="1">
      <alignment horizontal="center" wrapText="1"/>
    </xf>
    <xf numFmtId="0" fontId="12" fillId="0" borderId="1" xfId="0" applyFont="1" applyBorder="1" applyAlignment="1">
      <alignment horizontal="center" vertical="center" wrapText="1"/>
    </xf>
    <xf numFmtId="0" fontId="13" fillId="0" borderId="0" xfId="0" applyFont="1" applyBorder="1" applyAlignment="1">
      <alignment horizontal="center" vertical="center"/>
    </xf>
    <xf numFmtId="0" fontId="13" fillId="0" borderId="0" xfId="0" applyFont="1" applyAlignment="1">
      <alignment horizontal="center" vertical="center"/>
    </xf>
    <xf numFmtId="0" fontId="12" fillId="0" borderId="1" xfId="0" applyFont="1" applyBorder="1" applyAlignment="1">
      <alignment horizontal="center" vertical="center"/>
    </xf>
    <xf numFmtId="0" fontId="12" fillId="0" borderId="0" xfId="0" applyFont="1" applyAlignment="1">
      <alignment horizontal="center" vertical="center"/>
    </xf>
    <xf numFmtId="1" fontId="12" fillId="0" borderId="0" xfId="0" applyNumberFormat="1" applyFont="1" applyAlignment="1">
      <alignment horizontal="center" vertical="center"/>
    </xf>
    <xf numFmtId="0" fontId="13" fillId="0" borderId="0" xfId="0" applyFont="1" applyAlignment="1">
      <alignment horizontal="left" vertical="center"/>
    </xf>
    <xf numFmtId="0" fontId="12" fillId="0" borderId="0" xfId="0" applyFont="1" applyBorder="1" applyAlignment="1">
      <alignment horizontal="center" vertical="center"/>
    </xf>
    <xf numFmtId="0" fontId="13" fillId="0" borderId="0" xfId="0" applyFont="1" applyBorder="1" applyAlignment="1">
      <alignment horizontal="left" vertical="center"/>
    </xf>
    <xf numFmtId="3" fontId="12" fillId="7" borderId="0" xfId="0" applyNumberFormat="1" applyFont="1" applyFill="1" applyAlignment="1">
      <alignment horizontal="center" vertical="center"/>
    </xf>
    <xf numFmtId="3" fontId="12" fillId="7" borderId="0" xfId="0" applyNumberFormat="1" applyFont="1" applyFill="1" applyBorder="1" applyAlignment="1">
      <alignment horizontal="center" vertical="center"/>
    </xf>
    <xf numFmtId="3" fontId="12" fillId="7" borderId="1" xfId="0" applyNumberFormat="1" applyFont="1" applyFill="1" applyBorder="1" applyAlignment="1">
      <alignment horizontal="center" vertical="center"/>
    </xf>
    <xf numFmtId="3" fontId="1" fillId="7" borderId="0" xfId="0" applyNumberFormat="1" applyFont="1" applyFill="1" applyAlignment="1">
      <alignment horizontal="center" vertical="center"/>
    </xf>
    <xf numFmtId="0" fontId="1" fillId="7" borderId="0" xfId="0" applyFont="1" applyFill="1" applyAlignment="1">
      <alignment horizontal="center" vertical="center"/>
    </xf>
    <xf numFmtId="3" fontId="1" fillId="7" borderId="0" xfId="0" applyNumberFormat="1" applyFont="1" applyFill="1" applyBorder="1" applyAlignment="1">
      <alignment horizontal="center" vertical="center"/>
    </xf>
    <xf numFmtId="1" fontId="1" fillId="7" borderId="0" xfId="0" applyNumberFormat="1" applyFont="1" applyFill="1" applyBorder="1" applyAlignment="1">
      <alignment horizontal="center" vertical="center"/>
    </xf>
    <xf numFmtId="0" fontId="1" fillId="7" borderId="0" xfId="0" applyFont="1" applyFill="1" applyBorder="1" applyAlignment="1">
      <alignment horizontal="center" vertical="center"/>
    </xf>
    <xf numFmtId="3" fontId="1" fillId="7" borderId="1" xfId="0" applyNumberFormat="1" applyFont="1" applyFill="1" applyBorder="1" applyAlignment="1">
      <alignment horizontal="center" vertical="center"/>
    </xf>
    <xf numFmtId="165" fontId="1" fillId="7" borderId="1" xfId="0" applyNumberFormat="1" applyFont="1" applyFill="1" applyBorder="1" applyAlignment="1">
      <alignment horizontal="center" vertical="center"/>
    </xf>
    <xf numFmtId="0" fontId="1" fillId="7" borderId="1" xfId="0" applyFont="1" applyFill="1" applyBorder="1" applyAlignment="1">
      <alignment horizontal="center" vertical="center"/>
    </xf>
    <xf numFmtId="0" fontId="19" fillId="0" borderId="0" xfId="0" applyFont="1" applyAlignment="1">
      <alignment horizontal="center" vertical="center"/>
    </xf>
    <xf numFmtId="0" fontId="1" fillId="0" borderId="0" xfId="0" applyFont="1" applyBorder="1" applyAlignment="1">
      <alignment horizontal="center" vertical="center"/>
    </xf>
    <xf numFmtId="4" fontId="1" fillId="7" borderId="0" xfId="0" applyNumberFormat="1" applyFont="1" applyFill="1" applyAlignment="1">
      <alignment horizontal="center" vertical="center"/>
    </xf>
    <xf numFmtId="4" fontId="1" fillId="7" borderId="0" xfId="0" applyNumberFormat="1" applyFont="1" applyFill="1" applyBorder="1" applyAlignment="1">
      <alignment horizontal="center" vertical="center"/>
    </xf>
    <xf numFmtId="4" fontId="1" fillId="7" borderId="1" xfId="0" applyNumberFormat="1" applyFont="1" applyFill="1" applyBorder="1" applyAlignment="1">
      <alignment horizontal="center" vertical="center"/>
    </xf>
    <xf numFmtId="166" fontId="3" fillId="0" borderId="0" xfId="0" applyNumberFormat="1" applyFont="1" applyAlignment="1">
      <alignment horizontal="center" vertical="center"/>
    </xf>
    <xf numFmtId="0" fontId="0" fillId="0" borderId="0" xfId="0" applyFont="1" applyAlignment="1">
      <alignment horizontal="left" vertical="center"/>
    </xf>
    <xf numFmtId="1" fontId="12" fillId="0" borderId="0" xfId="0" applyNumberFormat="1" applyFont="1" applyFill="1" applyBorder="1" applyAlignment="1">
      <alignment horizontal="center" vertical="center"/>
    </xf>
    <xf numFmtId="0" fontId="1" fillId="0" borderId="0" xfId="0" applyFont="1" applyAlignment="1">
      <alignment horizontal="center" vertical="center"/>
    </xf>
    <xf numFmtId="0" fontId="1" fillId="0" borderId="0" xfId="0" applyFont="1" applyFill="1" applyBorder="1" applyAlignment="1">
      <alignment horizontal="center" vertical="center"/>
    </xf>
    <xf numFmtId="0" fontId="2" fillId="7" borderId="0" xfId="0" applyFont="1" applyFill="1" applyBorder="1" applyAlignment="1">
      <alignment horizontal="center" vertical="center"/>
    </xf>
    <xf numFmtId="0" fontId="19" fillId="0" borderId="1" xfId="0" applyFont="1" applyBorder="1" applyAlignment="1">
      <alignment horizontal="center" vertical="center"/>
    </xf>
    <xf numFmtId="165" fontId="2" fillId="7" borderId="0" xfId="0" applyNumberFormat="1" applyFont="1" applyFill="1" applyBorder="1" applyAlignment="1">
      <alignment horizontal="center" vertical="center"/>
    </xf>
    <xf numFmtId="1" fontId="2" fillId="7" borderId="0" xfId="0" applyNumberFormat="1" applyFont="1" applyFill="1" applyBorder="1" applyAlignment="1">
      <alignment horizontal="center" vertical="center"/>
    </xf>
    <xf numFmtId="165" fontId="1" fillId="7" borderId="0" xfId="0" applyNumberFormat="1" applyFont="1" applyFill="1" applyBorder="1" applyAlignment="1">
      <alignment horizontal="center" vertical="center"/>
    </xf>
    <xf numFmtId="1" fontId="1" fillId="7" borderId="1" xfId="0" applyNumberFormat="1" applyFont="1" applyFill="1" applyBorder="1" applyAlignment="1">
      <alignment horizontal="center" vertical="center"/>
    </xf>
    <xf numFmtId="2" fontId="2" fillId="7" borderId="0" xfId="0" applyNumberFormat="1" applyFont="1" applyFill="1" applyBorder="1" applyAlignment="1">
      <alignment horizontal="center" vertical="center"/>
    </xf>
    <xf numFmtId="2" fontId="1" fillId="7" borderId="0" xfId="0" applyNumberFormat="1" applyFont="1" applyFill="1" applyBorder="1" applyAlignment="1">
      <alignment horizontal="center" vertical="center"/>
    </xf>
    <xf numFmtId="0" fontId="12" fillId="7" borderId="0" xfId="0" applyFont="1" applyFill="1" applyBorder="1" applyAlignment="1">
      <alignment horizontal="center" vertical="center"/>
    </xf>
    <xf numFmtId="0" fontId="12" fillId="0" borderId="0" xfId="0" applyFont="1" applyFill="1" applyBorder="1" applyAlignment="1">
      <alignment horizontal="center" vertical="center"/>
    </xf>
    <xf numFmtId="0" fontId="19" fillId="0" borderId="1" xfId="0" applyFont="1" applyFill="1" applyBorder="1" applyAlignment="1">
      <alignment horizontal="center" vertical="center"/>
    </xf>
    <xf numFmtId="0" fontId="12" fillId="0" borderId="1" xfId="0" applyFont="1" applyFill="1" applyBorder="1" applyAlignment="1">
      <alignment horizontal="center" vertical="center"/>
    </xf>
    <xf numFmtId="1" fontId="1" fillId="0" borderId="0" xfId="0" applyNumberFormat="1" applyFont="1" applyFill="1" applyBorder="1" applyAlignment="1">
      <alignment horizontal="center" vertical="center"/>
    </xf>
    <xf numFmtId="0" fontId="12" fillId="0" borderId="0" xfId="0" applyFont="1" applyFill="1" applyBorder="1" applyAlignment="1">
      <alignment horizontal="center" vertical="center" wrapText="1"/>
    </xf>
    <xf numFmtId="165" fontId="1" fillId="0" borderId="0" xfId="0" applyNumberFormat="1" applyFont="1" applyFill="1" applyBorder="1" applyAlignment="1">
      <alignment horizontal="center" vertical="center"/>
    </xf>
    <xf numFmtId="0" fontId="12" fillId="7" borderId="0" xfId="0" applyFont="1" applyFill="1" applyAlignment="1">
      <alignment horizontal="center" vertical="center"/>
    </xf>
    <xf numFmtId="0" fontId="12" fillId="7" borderId="1" xfId="0" applyFont="1" applyFill="1" applyBorder="1" applyAlignment="1">
      <alignment horizontal="center" vertical="center"/>
    </xf>
    <xf numFmtId="171" fontId="1" fillId="7"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1" fontId="2" fillId="0" borderId="0" xfId="0" applyNumberFormat="1" applyFont="1" applyFill="1" applyBorder="1" applyAlignment="1">
      <alignment horizontal="center" vertical="center"/>
    </xf>
    <xf numFmtId="0" fontId="2" fillId="7" borderId="1" xfId="0" applyFont="1" applyFill="1" applyBorder="1" applyAlignment="1">
      <alignment horizontal="center" vertical="center"/>
    </xf>
    <xf numFmtId="1" fontId="2" fillId="7" borderId="1" xfId="0" applyNumberFormat="1" applyFont="1" applyFill="1" applyBorder="1" applyAlignment="1">
      <alignment horizontal="center" vertical="center"/>
    </xf>
    <xf numFmtId="165" fontId="2" fillId="7" borderId="1" xfId="0" applyNumberFormat="1" applyFont="1" applyFill="1" applyBorder="1" applyAlignment="1">
      <alignment horizontal="center" vertical="center"/>
    </xf>
    <xf numFmtId="0" fontId="12" fillId="2" borderId="0" xfId="0" applyFont="1" applyFill="1" applyBorder="1" applyAlignment="1">
      <alignment horizontal="center" vertical="center"/>
    </xf>
    <xf numFmtId="165" fontId="1" fillId="2" borderId="0" xfId="0" applyNumberFormat="1" applyFont="1" applyFill="1" applyBorder="1" applyAlignment="1">
      <alignment horizontal="center" vertical="center"/>
    </xf>
    <xf numFmtId="0" fontId="1" fillId="2" borderId="0" xfId="0" applyFont="1" applyFill="1" applyBorder="1" applyAlignment="1">
      <alignment horizontal="center" vertical="center"/>
    </xf>
    <xf numFmtId="1" fontId="1" fillId="2" borderId="0" xfId="0" applyNumberFormat="1" applyFont="1" applyFill="1" applyBorder="1" applyAlignment="1">
      <alignment horizontal="center" vertical="center"/>
    </xf>
    <xf numFmtId="166" fontId="1" fillId="2" borderId="0" xfId="0" applyNumberFormat="1" applyFont="1" applyFill="1" applyBorder="1" applyAlignment="1">
      <alignment horizontal="center" vertical="center"/>
    </xf>
    <xf numFmtId="164" fontId="1" fillId="2" borderId="0" xfId="0" applyNumberFormat="1" applyFont="1" applyFill="1" applyBorder="1" applyAlignment="1">
      <alignment horizontal="center" vertical="center"/>
    </xf>
    <xf numFmtId="0" fontId="12" fillId="7" borderId="21" xfId="0" applyFont="1" applyFill="1" applyBorder="1" applyAlignment="1">
      <alignment horizontal="center" vertical="center"/>
    </xf>
    <xf numFmtId="0" fontId="12" fillId="3" borderId="21" xfId="0" applyFont="1" applyFill="1" applyBorder="1" applyAlignment="1">
      <alignment horizontal="center" vertical="center"/>
    </xf>
    <xf numFmtId="0" fontId="3" fillId="0" borderId="20" xfId="0" applyFont="1" applyBorder="1" applyAlignment="1">
      <alignment horizontal="center" vertical="center"/>
    </xf>
    <xf numFmtId="0" fontId="12" fillId="8" borderId="21" xfId="0" applyFont="1" applyFill="1" applyBorder="1" applyAlignment="1">
      <alignment horizontal="center" vertical="center"/>
    </xf>
    <xf numFmtId="0" fontId="12" fillId="2" borderId="23" xfId="0" applyFont="1" applyFill="1" applyBorder="1" applyAlignment="1">
      <alignment horizontal="center" vertical="center"/>
    </xf>
    <xf numFmtId="0" fontId="21" fillId="2" borderId="23" xfId="0" applyFont="1" applyFill="1" applyBorder="1" applyAlignment="1">
      <alignment horizontal="center" vertical="center" wrapText="1"/>
    </xf>
    <xf numFmtId="0" fontId="21" fillId="8" borderId="24" xfId="0" applyFont="1" applyFill="1" applyBorder="1" applyAlignment="1">
      <alignment horizontal="center" vertical="center" wrapText="1"/>
    </xf>
    <xf numFmtId="0" fontId="21" fillId="7" borderId="24" xfId="0" applyFont="1" applyFill="1" applyBorder="1" applyAlignment="1">
      <alignment horizontal="center" vertical="center" wrapText="1"/>
    </xf>
    <xf numFmtId="0" fontId="21" fillId="3" borderId="24" xfId="0" applyFont="1" applyFill="1" applyBorder="1" applyAlignment="1">
      <alignment horizontal="center" vertical="center" wrapText="1"/>
    </xf>
    <xf numFmtId="164" fontId="1" fillId="0" borderId="0" xfId="0" applyNumberFormat="1" applyFont="1" applyFill="1" applyBorder="1" applyAlignment="1">
      <alignment horizontal="center" vertical="center"/>
    </xf>
    <xf numFmtId="0" fontId="1" fillId="0" borderId="0" xfId="0" applyFont="1" applyAlignment="1">
      <alignment horizontal="center"/>
    </xf>
    <xf numFmtId="0" fontId="12" fillId="0" borderId="0" xfId="0" applyFont="1" applyBorder="1" applyAlignment="1">
      <alignment horizontal="center"/>
    </xf>
    <xf numFmtId="0" fontId="1" fillId="0" borderId="0" xfId="0" applyFont="1" applyBorder="1" applyAlignment="1">
      <alignment horizontal="center"/>
    </xf>
    <xf numFmtId="2" fontId="1" fillId="0" borderId="0" xfId="0" applyNumberFormat="1" applyFont="1" applyFill="1" applyBorder="1" applyAlignment="1">
      <alignment horizontal="center" vertical="center"/>
    </xf>
    <xf numFmtId="0" fontId="12" fillId="0" borderId="25" xfId="0" applyFont="1" applyBorder="1" applyAlignment="1">
      <alignment horizontal="center" vertical="center"/>
    </xf>
    <xf numFmtId="0" fontId="12" fillId="7" borderId="25" xfId="0" applyFont="1" applyFill="1" applyBorder="1" applyAlignment="1">
      <alignment horizontal="center" vertical="center"/>
    </xf>
    <xf numFmtId="1" fontId="1" fillId="7" borderId="25" xfId="0" applyNumberFormat="1" applyFont="1" applyFill="1" applyBorder="1" applyAlignment="1">
      <alignment horizontal="center" vertical="center"/>
    </xf>
    <xf numFmtId="0" fontId="1" fillId="7" borderId="25" xfId="0" applyFont="1" applyFill="1" applyBorder="1" applyAlignment="1">
      <alignment horizontal="center" vertical="center"/>
    </xf>
    <xf numFmtId="0" fontId="12" fillId="2" borderId="25" xfId="0" applyFont="1" applyFill="1" applyBorder="1" applyAlignment="1">
      <alignment horizontal="center" vertical="center"/>
    </xf>
    <xf numFmtId="166" fontId="1" fillId="2" borderId="25" xfId="0" applyNumberFormat="1" applyFont="1" applyFill="1" applyBorder="1" applyAlignment="1">
      <alignment horizontal="center" vertical="center"/>
    </xf>
    <xf numFmtId="49" fontId="12" fillId="0" borderId="25" xfId="0" applyNumberFormat="1" applyFont="1" applyBorder="1" applyAlignment="1">
      <alignment horizontal="center" vertical="center" wrapText="1"/>
    </xf>
    <xf numFmtId="2" fontId="1" fillId="0" borderId="0" xfId="0" applyNumberFormat="1" applyFont="1" applyBorder="1" applyAlignment="1">
      <alignment horizontal="center" vertical="center"/>
    </xf>
    <xf numFmtId="1" fontId="1" fillId="0" borderId="0" xfId="0" applyNumberFormat="1" applyFont="1" applyBorder="1" applyAlignment="1">
      <alignment horizontal="center" vertical="center"/>
    </xf>
    <xf numFmtId="165" fontId="1" fillId="7" borderId="25" xfId="0" applyNumberFormat="1" applyFont="1" applyFill="1" applyBorder="1" applyAlignment="1">
      <alignment horizontal="center" vertical="center"/>
    </xf>
    <xf numFmtId="16" fontId="3" fillId="0" borderId="0" xfId="0" applyNumberFormat="1" applyFont="1" applyFill="1" applyBorder="1" applyAlignment="1">
      <alignment horizontal="center" vertical="center"/>
    </xf>
    <xf numFmtId="1" fontId="3" fillId="0" borderId="0" xfId="0" applyNumberFormat="1" applyFont="1" applyFill="1" applyBorder="1" applyAlignment="1">
      <alignment horizontal="center" vertical="center"/>
    </xf>
    <xf numFmtId="17" fontId="3" fillId="0" borderId="0" xfId="0" applyNumberFormat="1" applyFont="1" applyAlignment="1">
      <alignment horizontal="center" vertical="center"/>
    </xf>
    <xf numFmtId="2" fontId="3" fillId="0" borderId="0" xfId="0" applyNumberFormat="1" applyFont="1" applyAlignment="1">
      <alignment horizontal="center" vertical="center"/>
    </xf>
    <xf numFmtId="3" fontId="1" fillId="2" borderId="0" xfId="0" applyNumberFormat="1" applyFont="1" applyFill="1" applyBorder="1" applyAlignment="1">
      <alignment horizontal="center" vertical="center"/>
    </xf>
    <xf numFmtId="0" fontId="13" fillId="0" borderId="0" xfId="0" applyFont="1" applyBorder="1"/>
    <xf numFmtId="0" fontId="0" fillId="0" borderId="0" xfId="0" applyFont="1" applyBorder="1"/>
    <xf numFmtId="0" fontId="0" fillId="0" borderId="0" xfId="0" applyFont="1"/>
    <xf numFmtId="3" fontId="12" fillId="2" borderId="0" xfId="0" applyNumberFormat="1" applyFont="1" applyFill="1" applyBorder="1" applyAlignment="1">
      <alignment horizontal="center" vertical="center"/>
    </xf>
    <xf numFmtId="3" fontId="12" fillId="2" borderId="25" xfId="0" applyNumberFormat="1" applyFont="1" applyFill="1" applyBorder="1" applyAlignment="1">
      <alignment horizontal="center" vertical="center"/>
    </xf>
    <xf numFmtId="0" fontId="22" fillId="0" borderId="0" xfId="0" applyFont="1" applyBorder="1" applyAlignment="1">
      <alignment horizontal="center" vertical="center"/>
    </xf>
    <xf numFmtId="0" fontId="12" fillId="0" borderId="0" xfId="0" applyFont="1" applyFill="1" applyBorder="1" applyAlignment="1">
      <alignment horizontal="center"/>
    </xf>
    <xf numFmtId="0" fontId="4" fillId="0" borderId="0" xfId="0" applyFont="1" applyFill="1" applyBorder="1" applyAlignment="1"/>
    <xf numFmtId="14" fontId="3" fillId="5" borderId="0" xfId="0" applyNumberFormat="1" applyFont="1" applyFill="1" applyAlignment="1">
      <alignment horizontal="center" vertical="center"/>
    </xf>
    <xf numFmtId="0" fontId="22" fillId="0" borderId="0" xfId="0" applyFont="1" applyAlignment="1">
      <alignment horizontal="center" vertical="center"/>
    </xf>
    <xf numFmtId="0" fontId="22" fillId="0" borderId="0" xfId="0" applyFont="1" applyBorder="1"/>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3" fillId="0" borderId="0" xfId="0" applyFont="1" applyFill="1" applyBorder="1"/>
    <xf numFmtId="165" fontId="3" fillId="0" borderId="0" xfId="0" applyNumberFormat="1" applyFont="1" applyFill="1" applyBorder="1" applyAlignment="1">
      <alignment horizontal="center" vertical="center"/>
    </xf>
    <xf numFmtId="0" fontId="19" fillId="0" borderId="0" xfId="0" applyFont="1" applyBorder="1" applyAlignment="1">
      <alignment horizontal="center" vertical="center"/>
    </xf>
    <xf numFmtId="0" fontId="19" fillId="0" borderId="0" xfId="0" applyFont="1" applyBorder="1"/>
    <xf numFmtId="0" fontId="3" fillId="0" borderId="0" xfId="0" applyFont="1" applyBorder="1"/>
    <xf numFmtId="0" fontId="19" fillId="0" borderId="1" xfId="0" applyFont="1" applyFill="1" applyBorder="1" applyAlignment="1">
      <alignment horizontal="center" vertical="center" wrapText="1"/>
    </xf>
    <xf numFmtId="0" fontId="19" fillId="0" borderId="1" xfId="0" applyFont="1" applyBorder="1" applyAlignment="1">
      <alignment horizontal="center" vertical="center" wrapText="1"/>
    </xf>
    <xf numFmtId="0" fontId="3" fillId="0" borderId="0" xfId="0" applyFont="1" applyBorder="1" applyAlignment="1">
      <alignment horizontal="center" vertical="center" wrapText="1"/>
    </xf>
    <xf numFmtId="0" fontId="3" fillId="7" borderId="2" xfId="0" applyFont="1" applyFill="1" applyBorder="1" applyAlignment="1">
      <alignment horizontal="center" vertical="center"/>
    </xf>
    <xf numFmtId="0" fontId="3" fillId="7" borderId="3" xfId="0" applyFont="1" applyFill="1" applyBorder="1" applyAlignment="1">
      <alignment horizontal="center" vertical="center"/>
    </xf>
    <xf numFmtId="1" fontId="3" fillId="7" borderId="3" xfId="0" applyNumberFormat="1" applyFont="1" applyFill="1" applyBorder="1" applyAlignment="1">
      <alignment horizontal="center" vertical="center"/>
    </xf>
    <xf numFmtId="1" fontId="3" fillId="7" borderId="4" xfId="0" applyNumberFormat="1" applyFont="1" applyFill="1" applyBorder="1" applyAlignment="1">
      <alignment horizontal="center" vertical="center"/>
    </xf>
    <xf numFmtId="165" fontId="3" fillId="7" borderId="4" xfId="0" applyNumberFormat="1"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165" fontId="3" fillId="2" borderId="6" xfId="0" applyNumberFormat="1" applyFont="1" applyFill="1" applyBorder="1" applyAlignment="1">
      <alignment horizontal="center" vertical="center"/>
    </xf>
    <xf numFmtId="2" fontId="3" fillId="2" borderId="7" xfId="0" applyNumberFormat="1" applyFont="1" applyFill="1" applyBorder="1" applyAlignment="1">
      <alignment horizontal="center" vertical="center"/>
    </xf>
    <xf numFmtId="165" fontId="3" fillId="2" borderId="7" xfId="0" applyNumberFormat="1" applyFont="1" applyFill="1" applyBorder="1" applyAlignment="1">
      <alignment horizontal="center" vertical="center"/>
    </xf>
    <xf numFmtId="1" fontId="3" fillId="2" borderId="6" xfId="0" applyNumberFormat="1" applyFont="1" applyFill="1" applyBorder="1" applyAlignment="1">
      <alignment horizontal="center" vertical="center"/>
    </xf>
    <xf numFmtId="0" fontId="3" fillId="9" borderId="5" xfId="0" applyFont="1" applyFill="1" applyBorder="1" applyAlignment="1">
      <alignment horizontal="center" vertical="center"/>
    </xf>
    <xf numFmtId="0" fontId="3" fillId="9" borderId="6" xfId="0" applyFont="1" applyFill="1" applyBorder="1" applyAlignment="1">
      <alignment horizontal="center" vertical="center"/>
    </xf>
    <xf numFmtId="1" fontId="3" fillId="9" borderId="6" xfId="0" applyNumberFormat="1" applyFont="1" applyFill="1" applyBorder="1" applyAlignment="1">
      <alignment horizontal="center" vertical="center"/>
    </xf>
    <xf numFmtId="1" fontId="3" fillId="9" borderId="7" xfId="0" applyNumberFormat="1" applyFont="1" applyFill="1" applyBorder="1" applyAlignment="1">
      <alignment horizontal="center" vertical="center"/>
    </xf>
    <xf numFmtId="165" fontId="3" fillId="9" borderId="7" xfId="0" applyNumberFormat="1" applyFont="1" applyFill="1" applyBorder="1" applyAlignment="1">
      <alignment horizontal="center" vertical="center"/>
    </xf>
    <xf numFmtId="1" fontId="3" fillId="2" borderId="7" xfId="0" applyNumberFormat="1" applyFont="1" applyFill="1" applyBorder="1" applyAlignment="1">
      <alignment horizontal="center" vertical="center"/>
    </xf>
    <xf numFmtId="0" fontId="3" fillId="7" borderId="5" xfId="0" applyFont="1" applyFill="1" applyBorder="1" applyAlignment="1">
      <alignment horizontal="center" vertical="center"/>
    </xf>
    <xf numFmtId="0" fontId="3" fillId="7" borderId="6" xfId="0" applyFont="1" applyFill="1" applyBorder="1" applyAlignment="1">
      <alignment horizontal="center" vertical="center"/>
    </xf>
    <xf numFmtId="1" fontId="3" fillId="7" borderId="6" xfId="0" applyNumberFormat="1" applyFont="1" applyFill="1" applyBorder="1" applyAlignment="1">
      <alignment horizontal="center" vertical="center"/>
    </xf>
    <xf numFmtId="1" fontId="3" fillId="7" borderId="7" xfId="0" applyNumberFormat="1" applyFont="1" applyFill="1" applyBorder="1" applyAlignment="1">
      <alignment horizontal="center" vertical="center"/>
    </xf>
    <xf numFmtId="165" fontId="3" fillId="7" borderId="7" xfId="0" applyNumberFormat="1" applyFont="1" applyFill="1" applyBorder="1" applyAlignment="1">
      <alignment horizontal="center" vertical="center"/>
    </xf>
    <xf numFmtId="0" fontId="3" fillId="7" borderId="8" xfId="0" applyFont="1" applyFill="1" applyBorder="1" applyAlignment="1">
      <alignment horizontal="center" vertical="center"/>
    </xf>
    <xf numFmtId="1" fontId="3" fillId="7" borderId="9" xfId="0" applyNumberFormat="1" applyFont="1" applyFill="1" applyBorder="1" applyAlignment="1">
      <alignment horizontal="center" vertical="center"/>
    </xf>
    <xf numFmtId="1" fontId="3" fillId="7" borderId="10" xfId="0" applyNumberFormat="1" applyFont="1" applyFill="1" applyBorder="1" applyAlignment="1">
      <alignment horizontal="center" vertical="center"/>
    </xf>
    <xf numFmtId="165" fontId="3" fillId="7" borderId="10" xfId="0" applyNumberFormat="1" applyFont="1" applyFill="1" applyBorder="1" applyAlignment="1">
      <alignment horizontal="center" vertical="center"/>
    </xf>
    <xf numFmtId="0" fontId="19" fillId="0" borderId="0" xfId="0" applyFont="1" applyAlignment="1">
      <alignment horizontal="center"/>
    </xf>
    <xf numFmtId="166" fontId="3" fillId="0" borderId="0" xfId="0" applyNumberFormat="1" applyFont="1" applyFill="1" applyBorder="1"/>
    <xf numFmtId="164" fontId="3" fillId="0" borderId="0" xfId="0" applyNumberFormat="1" applyFont="1" applyFill="1" applyBorder="1"/>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1" fontId="3" fillId="2" borderId="12" xfId="0" applyNumberFormat="1" applyFont="1" applyFill="1" applyBorder="1" applyAlignment="1">
      <alignment horizontal="center" vertical="center"/>
    </xf>
    <xf numFmtId="1" fontId="3" fillId="2" borderId="13" xfId="0" applyNumberFormat="1" applyFont="1" applyFill="1" applyBorder="1" applyAlignment="1">
      <alignment horizontal="center" vertical="center"/>
    </xf>
    <xf numFmtId="165" fontId="3" fillId="2" borderId="13" xfId="0" applyNumberFormat="1" applyFont="1" applyFill="1" applyBorder="1" applyAlignment="1">
      <alignment horizontal="center" vertical="center"/>
    </xf>
    <xf numFmtId="0" fontId="3" fillId="7" borderId="14" xfId="0" applyFont="1" applyFill="1" applyBorder="1" applyAlignment="1">
      <alignment horizontal="center" vertical="center"/>
    </xf>
    <xf numFmtId="0" fontId="3" fillId="7" borderId="15" xfId="0" applyFont="1" applyFill="1" applyBorder="1" applyAlignment="1">
      <alignment horizontal="center" vertical="center"/>
    </xf>
    <xf numFmtId="165" fontId="3" fillId="7" borderId="15" xfId="0" applyNumberFormat="1" applyFont="1" applyFill="1" applyBorder="1" applyAlignment="1">
      <alignment horizontal="center" vertical="center"/>
    </xf>
    <xf numFmtId="2" fontId="3" fillId="7" borderId="16" xfId="0" applyNumberFormat="1" applyFont="1" applyFill="1" applyBorder="1" applyAlignment="1">
      <alignment horizontal="center" vertical="center"/>
    </xf>
    <xf numFmtId="165" fontId="3" fillId="7" borderId="16" xfId="0" applyNumberFormat="1" applyFont="1" applyFill="1" applyBorder="1" applyAlignment="1">
      <alignment horizontal="center" vertical="center"/>
    </xf>
    <xf numFmtId="0" fontId="3" fillId="8" borderId="14" xfId="0" applyFont="1" applyFill="1" applyBorder="1" applyAlignment="1">
      <alignment horizontal="center" vertical="center"/>
    </xf>
    <xf numFmtId="1" fontId="3" fillId="8" borderId="15" xfId="0" applyNumberFormat="1" applyFont="1" applyFill="1" applyBorder="1" applyAlignment="1">
      <alignment horizontal="center" vertical="center"/>
    </xf>
    <xf numFmtId="165" fontId="3" fillId="8" borderId="16" xfId="0" applyNumberFormat="1" applyFont="1" applyFill="1" applyBorder="1" applyAlignment="1">
      <alignment horizontal="center" vertical="center"/>
    </xf>
    <xf numFmtId="0" fontId="3" fillId="9" borderId="14" xfId="0" applyFont="1" applyFill="1" applyBorder="1" applyAlignment="1">
      <alignment horizontal="center" vertical="center"/>
    </xf>
    <xf numFmtId="0" fontId="3" fillId="9" borderId="15" xfId="0" applyFont="1" applyFill="1" applyBorder="1" applyAlignment="1">
      <alignment horizontal="center" vertical="center"/>
    </xf>
    <xf numFmtId="1" fontId="3" fillId="9" borderId="15" xfId="0" applyNumberFormat="1" applyFont="1" applyFill="1" applyBorder="1" applyAlignment="1">
      <alignment horizontal="center" vertical="center"/>
    </xf>
    <xf numFmtId="1" fontId="3" fillId="9" borderId="16" xfId="0" applyNumberFormat="1" applyFont="1" applyFill="1" applyBorder="1" applyAlignment="1">
      <alignment horizontal="center" vertical="center"/>
    </xf>
    <xf numFmtId="165" fontId="3" fillId="9" borderId="16" xfId="0" applyNumberFormat="1" applyFont="1" applyFill="1" applyBorder="1" applyAlignment="1">
      <alignment horizontal="center" vertical="center"/>
    </xf>
    <xf numFmtId="1" fontId="3" fillId="7" borderId="15" xfId="0" applyNumberFormat="1" applyFont="1" applyFill="1" applyBorder="1" applyAlignment="1">
      <alignment horizontal="center" vertical="center"/>
    </xf>
    <xf numFmtId="1" fontId="3" fillId="7" borderId="16" xfId="0" applyNumberFormat="1" applyFont="1" applyFill="1" applyBorder="1" applyAlignment="1">
      <alignment horizontal="center" vertical="center"/>
    </xf>
    <xf numFmtId="0" fontId="3" fillId="0" borderId="0" xfId="0" applyFont="1" applyFill="1" applyBorder="1" applyAlignment="1">
      <alignment horizontal="right"/>
    </xf>
    <xf numFmtId="0" fontId="3" fillId="7" borderId="17" xfId="0" applyFont="1" applyFill="1" applyBorder="1" applyAlignment="1">
      <alignment horizontal="center" vertical="center"/>
    </xf>
    <xf numFmtId="0" fontId="3" fillId="7" borderId="18" xfId="0" applyFont="1" applyFill="1" applyBorder="1" applyAlignment="1">
      <alignment horizontal="center" vertical="center"/>
    </xf>
    <xf numFmtId="1" fontId="3" fillId="7" borderId="18" xfId="0" applyNumberFormat="1" applyFont="1" applyFill="1" applyBorder="1" applyAlignment="1">
      <alignment horizontal="center" vertical="center"/>
    </xf>
    <xf numFmtId="1" fontId="3" fillId="7" borderId="19" xfId="0" applyNumberFormat="1" applyFont="1" applyFill="1" applyBorder="1" applyAlignment="1">
      <alignment horizontal="center" vertical="center"/>
    </xf>
    <xf numFmtId="165" fontId="3" fillId="7" borderId="19" xfId="0" applyNumberFormat="1" applyFont="1" applyFill="1" applyBorder="1" applyAlignment="1">
      <alignment horizontal="center" vertical="center"/>
    </xf>
    <xf numFmtId="0" fontId="6" fillId="0" borderId="0" xfId="0" applyFont="1" applyFill="1" applyBorder="1" applyAlignment="1">
      <alignment horizontal="center"/>
    </xf>
    <xf numFmtId="0" fontId="6" fillId="0" borderId="0" xfId="0" applyFont="1" applyFill="1" applyBorder="1" applyAlignment="1">
      <alignment horizontal="center" vertical="center"/>
    </xf>
    <xf numFmtId="0" fontId="3" fillId="0" borderId="0" xfId="0" applyFont="1" applyFill="1" applyBorder="1" applyAlignment="1">
      <alignment horizontal="center"/>
    </xf>
    <xf numFmtId="14" fontId="3" fillId="10" borderId="0" xfId="0" applyNumberFormat="1" applyFont="1" applyFill="1" applyAlignment="1">
      <alignment horizontal="center" vertical="center"/>
    </xf>
    <xf numFmtId="14" fontId="3" fillId="6" borderId="0" xfId="0" applyNumberFormat="1" applyFont="1" applyFill="1" applyAlignment="1">
      <alignment horizontal="center" vertical="center"/>
    </xf>
    <xf numFmtId="1" fontId="3" fillId="0" borderId="0" xfId="0" applyNumberFormat="1" applyFont="1" applyBorder="1" applyAlignment="1">
      <alignment horizontal="center" vertical="center"/>
    </xf>
    <xf numFmtId="165" fontId="3" fillId="0" borderId="0" xfId="0" applyNumberFormat="1" applyFont="1" applyBorder="1" applyAlignment="1">
      <alignment horizontal="center" vertical="center"/>
    </xf>
    <xf numFmtId="14" fontId="3" fillId="0" borderId="0" xfId="0" applyNumberFormat="1" applyFont="1" applyFill="1" applyAlignment="1">
      <alignment horizontal="center" vertical="center"/>
    </xf>
    <xf numFmtId="166" fontId="3" fillId="6" borderId="0" xfId="0" applyNumberFormat="1" applyFont="1" applyFill="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xf numFmtId="2" fontId="1" fillId="0" borderId="0" xfId="0" applyNumberFormat="1" applyFont="1" applyFill="1" applyBorder="1" applyAlignment="1">
      <alignment horizontal="center"/>
    </xf>
    <xf numFmtId="2" fontId="3" fillId="0" borderId="0" xfId="0" applyNumberFormat="1" applyFont="1" applyFill="1" applyAlignment="1">
      <alignment horizontal="center" vertical="center"/>
    </xf>
    <xf numFmtId="2" fontId="3" fillId="0" borderId="0" xfId="0" applyNumberFormat="1" applyFont="1" applyFill="1" applyBorder="1" applyAlignment="1">
      <alignment horizontal="center" vertical="center"/>
    </xf>
    <xf numFmtId="1" fontId="8" fillId="0" borderId="0" xfId="0" applyNumberFormat="1" applyFont="1" applyFill="1" applyAlignment="1">
      <alignment horizontal="center" vertical="center"/>
    </xf>
    <xf numFmtId="0" fontId="1" fillId="3" borderId="0" xfId="0" applyFont="1" applyFill="1" applyBorder="1" applyAlignment="1">
      <alignment horizontal="center" vertical="center"/>
    </xf>
    <xf numFmtId="1" fontId="1" fillId="3" borderId="0" xfId="0" applyNumberFormat="1" applyFont="1" applyFill="1" applyBorder="1" applyAlignment="1">
      <alignment horizontal="center" vertical="center"/>
    </xf>
    <xf numFmtId="165" fontId="3" fillId="10" borderId="0" xfId="0" applyNumberFormat="1" applyFont="1" applyFill="1" applyAlignment="1">
      <alignment horizontal="center" vertical="center"/>
    </xf>
    <xf numFmtId="0" fontId="3" fillId="0" borderId="0" xfId="0" applyFont="1" applyFill="1" applyBorder="1" applyAlignment="1">
      <alignment horizontal="center" vertical="center"/>
    </xf>
    <xf numFmtId="14" fontId="13" fillId="0" borderId="0" xfId="0" applyNumberFormat="1" applyFont="1" applyAlignment="1">
      <alignment horizontal="left" vertical="center"/>
    </xf>
    <xf numFmtId="0" fontId="3" fillId="0" borderId="0" xfId="0" applyFont="1" applyAlignment="1">
      <alignment horizontal="center" vertical="center"/>
    </xf>
    <xf numFmtId="14" fontId="14" fillId="0" borderId="0" xfId="0" applyNumberFormat="1" applyFont="1" applyAlignment="1">
      <alignment horizontal="left" vertical="center"/>
    </xf>
    <xf numFmtId="0" fontId="3" fillId="11" borderId="0" xfId="0" applyFont="1" applyFill="1"/>
    <xf numFmtId="14" fontId="3" fillId="12" borderId="0" xfId="0" applyNumberFormat="1" applyFont="1" applyFill="1" applyAlignment="1">
      <alignment horizontal="center" vertical="center"/>
    </xf>
    <xf numFmtId="166" fontId="3" fillId="12" borderId="0" xfId="0" applyNumberFormat="1" applyFont="1" applyFill="1" applyAlignment="1">
      <alignment horizontal="center" vertical="center"/>
    </xf>
    <xf numFmtId="166" fontId="3" fillId="0" borderId="0" xfId="0" applyNumberFormat="1" applyFont="1" applyFill="1" applyAlignment="1">
      <alignment horizontal="center" vertical="center"/>
    </xf>
    <xf numFmtId="14" fontId="3" fillId="0" borderId="27" xfId="0" applyNumberFormat="1" applyFont="1" applyBorder="1" applyAlignment="1">
      <alignment horizontal="center" vertical="center"/>
    </xf>
    <xf numFmtId="164" fontId="3" fillId="0" borderId="0" xfId="0" applyNumberFormat="1" applyFont="1" applyBorder="1" applyAlignment="1">
      <alignment horizontal="center" vertical="center"/>
    </xf>
    <xf numFmtId="164" fontId="3" fillId="0" borderId="30" xfId="0" applyNumberFormat="1" applyFont="1" applyBorder="1" applyAlignment="1">
      <alignment horizontal="center" vertical="center"/>
    </xf>
    <xf numFmtId="167" fontId="3" fillId="0" borderId="0" xfId="0" applyNumberFormat="1" applyFont="1" applyBorder="1" applyAlignment="1">
      <alignment horizontal="center" vertical="center"/>
    </xf>
    <xf numFmtId="167" fontId="3" fillId="0" borderId="30" xfId="0" applyNumberFormat="1" applyFont="1" applyBorder="1" applyAlignment="1">
      <alignment horizontal="center" vertical="center"/>
    </xf>
    <xf numFmtId="1" fontId="3" fillId="0" borderId="30" xfId="0" applyNumberFormat="1" applyFont="1" applyBorder="1" applyAlignment="1">
      <alignment horizontal="center" vertical="center"/>
    </xf>
    <xf numFmtId="14" fontId="3" fillId="0" borderId="32" xfId="0" applyNumberFormat="1" applyFont="1" applyBorder="1" applyAlignment="1">
      <alignment horizontal="center" vertical="center"/>
    </xf>
    <xf numFmtId="0" fontId="22" fillId="0" borderId="0" xfId="0" applyFont="1"/>
    <xf numFmtId="166" fontId="3" fillId="0" borderId="0" xfId="0" applyNumberFormat="1"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166" fontId="3" fillId="0" borderId="30" xfId="0" applyNumberFormat="1" applyFont="1" applyBorder="1" applyAlignment="1">
      <alignment horizontal="center" vertical="center"/>
    </xf>
    <xf numFmtId="0" fontId="3" fillId="0" borderId="26" xfId="0" applyFont="1" applyBorder="1"/>
    <xf numFmtId="14" fontId="13" fillId="0" borderId="0" xfId="0" applyNumberFormat="1" applyFont="1" applyBorder="1" applyAlignment="1">
      <alignment horizontal="center" vertical="center"/>
    </xf>
    <xf numFmtId="0" fontId="3" fillId="0" borderId="30" xfId="0" applyFont="1" applyBorder="1" applyAlignment="1">
      <alignment horizontal="center" vertical="center"/>
    </xf>
    <xf numFmtId="14" fontId="3" fillId="6" borderId="0" xfId="0" applyNumberFormat="1" applyFont="1" applyFill="1" applyBorder="1" applyAlignment="1">
      <alignment horizontal="center" vertical="center"/>
    </xf>
    <xf numFmtId="2" fontId="3" fillId="0" borderId="32" xfId="0" applyNumberFormat="1" applyFont="1" applyBorder="1" applyAlignment="1">
      <alignment horizontal="center" vertical="center"/>
    </xf>
    <xf numFmtId="2" fontId="3" fillId="0" borderId="33" xfId="0" applyNumberFormat="1" applyFont="1" applyBorder="1" applyAlignment="1">
      <alignment horizontal="center" vertical="center"/>
    </xf>
    <xf numFmtId="14" fontId="3" fillId="0" borderId="0" xfId="0" applyNumberFormat="1" applyFont="1" applyFill="1" applyBorder="1" applyAlignment="1">
      <alignment horizontal="center" vertical="center"/>
    </xf>
    <xf numFmtId="0" fontId="3" fillId="0" borderId="30" xfId="0" applyFont="1" applyFill="1" applyBorder="1" applyAlignment="1">
      <alignment horizontal="center" vertical="center"/>
    </xf>
    <xf numFmtId="0" fontId="3" fillId="5" borderId="0" xfId="0" applyFont="1" applyFill="1" applyAlignment="1">
      <alignment horizontal="center"/>
    </xf>
    <xf numFmtId="172" fontId="3" fillId="0" borderId="0" xfId="0" applyNumberFormat="1" applyFont="1" applyFill="1" applyAlignment="1">
      <alignment horizontal="center" vertical="center"/>
    </xf>
    <xf numFmtId="0" fontId="13" fillId="0" borderId="0" xfId="0" applyFont="1" applyBorder="1" applyAlignment="1">
      <alignment vertical="center" wrapText="1"/>
    </xf>
    <xf numFmtId="0" fontId="13" fillId="0" borderId="32" xfId="0" applyFont="1" applyBorder="1" applyAlignment="1">
      <alignment vertical="center" wrapText="1"/>
    </xf>
    <xf numFmtId="164" fontId="3" fillId="0" borderId="0" xfId="0" applyNumberFormat="1" applyFont="1" applyFill="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14" fillId="0" borderId="0" xfId="0" applyFont="1" applyAlignment="1">
      <alignment wrapText="1"/>
    </xf>
    <xf numFmtId="0" fontId="0" fillId="0" borderId="0" xfId="0" applyAlignment="1">
      <alignment wrapText="1"/>
    </xf>
    <xf numFmtId="0" fontId="23" fillId="13" borderId="0" xfId="0" applyFont="1" applyFill="1" applyAlignment="1">
      <alignment wrapText="1"/>
    </xf>
    <xf numFmtId="0" fontId="0" fillId="0" borderId="0" xfId="0" applyAlignment="1"/>
    <xf numFmtId="0" fontId="13" fillId="0" borderId="1" xfId="0" applyFont="1" applyBorder="1" applyAlignment="1">
      <alignment horizontal="center"/>
    </xf>
    <xf numFmtId="0" fontId="26" fillId="0" borderId="0" xfId="0" applyFont="1"/>
    <xf numFmtId="0" fontId="1" fillId="0" borderId="0" xfId="0" applyFont="1" applyAlignment="1">
      <alignment wrapText="1"/>
    </xf>
    <xf numFmtId="0" fontId="27" fillId="0" borderId="0" xfId="0" applyFont="1"/>
    <xf numFmtId="0" fontId="28" fillId="0" borderId="0" xfId="0" applyFont="1" applyAlignment="1">
      <alignment horizontal="left"/>
    </xf>
    <xf numFmtId="14" fontId="20" fillId="0" borderId="0" xfId="0" applyNumberFormat="1" applyFont="1" applyBorder="1" applyAlignment="1">
      <alignment horizontal="left" vertical="center"/>
    </xf>
    <xf numFmtId="0" fontId="9" fillId="0" borderId="0" xfId="0" applyFont="1" applyFill="1" applyAlignment="1">
      <alignment horizontal="center" vertical="center"/>
    </xf>
    <xf numFmtId="168" fontId="9" fillId="0" borderId="0" xfId="0" applyNumberFormat="1" applyFont="1" applyFill="1" applyAlignment="1">
      <alignment horizontal="center" vertical="center"/>
    </xf>
    <xf numFmtId="166" fontId="9" fillId="0" borderId="0" xfId="0" applyNumberFormat="1" applyFont="1" applyFill="1" applyAlignment="1">
      <alignment horizontal="center" vertical="center"/>
    </xf>
    <xf numFmtId="14" fontId="14" fillId="0" borderId="0" xfId="0" applyNumberFormat="1" applyFont="1" applyBorder="1" applyAlignment="1">
      <alignment horizontal="left" vertical="center"/>
    </xf>
    <xf numFmtId="14" fontId="9" fillId="0" borderId="0" xfId="0" applyNumberFormat="1" applyFont="1" applyFill="1" applyAlignment="1">
      <alignment horizontal="center" vertical="center"/>
    </xf>
    <xf numFmtId="3" fontId="3" fillId="0" borderId="0" xfId="0" applyNumberFormat="1" applyFont="1" applyFill="1" applyAlignment="1">
      <alignment horizontal="center" vertical="center"/>
    </xf>
    <xf numFmtId="172" fontId="3" fillId="0" borderId="27" xfId="0" applyNumberFormat="1" applyFont="1" applyFill="1" applyBorder="1" applyAlignment="1">
      <alignment horizontal="center" vertical="center"/>
    </xf>
    <xf numFmtId="0" fontId="3" fillId="0" borderId="27" xfId="0" applyFont="1" applyFill="1" applyBorder="1" applyAlignment="1">
      <alignment horizontal="center" vertical="center"/>
    </xf>
    <xf numFmtId="172" fontId="3" fillId="0" borderId="0" xfId="0" applyNumberFormat="1" applyFont="1" applyFill="1" applyBorder="1" applyAlignment="1">
      <alignment horizontal="center" vertical="center"/>
    </xf>
    <xf numFmtId="2" fontId="3" fillId="0" borderId="30" xfId="0" applyNumberFormat="1" applyFont="1" applyFill="1" applyBorder="1" applyAlignment="1">
      <alignment horizontal="center" vertical="center"/>
    </xf>
    <xf numFmtId="171" fontId="3" fillId="0" borderId="0" xfId="0" applyNumberFormat="1" applyFont="1" applyFill="1" applyBorder="1" applyAlignment="1">
      <alignment horizontal="center" vertical="center"/>
    </xf>
    <xf numFmtId="0" fontId="3" fillId="0" borderId="32" xfId="0" applyFont="1" applyFill="1" applyBorder="1" applyAlignment="1">
      <alignment horizontal="center" vertical="center"/>
    </xf>
    <xf numFmtId="0" fontId="13" fillId="0" borderId="0" xfId="0" applyFont="1" applyFill="1" applyBorder="1" applyAlignment="1">
      <alignment horizontal="center" vertical="center" wrapText="1"/>
    </xf>
    <xf numFmtId="0" fontId="3" fillId="14" borderId="0" xfId="0" applyFont="1" applyFill="1" applyAlignment="1">
      <alignment horizontal="center" vertical="center"/>
    </xf>
    <xf numFmtId="14" fontId="3" fillId="14" borderId="0" xfId="0" applyNumberFormat="1" applyFont="1" applyFill="1" applyAlignment="1">
      <alignment horizontal="center" vertical="center"/>
    </xf>
    <xf numFmtId="0" fontId="13" fillId="14" borderId="0" xfId="0" applyFont="1" applyFill="1" applyBorder="1" applyAlignment="1">
      <alignment horizontal="center" vertical="center" wrapText="1"/>
    </xf>
    <xf numFmtId="14" fontId="3" fillId="14" borderId="0" xfId="0" applyNumberFormat="1" applyFont="1" applyFill="1" applyBorder="1" applyAlignment="1">
      <alignment horizontal="center" vertical="center"/>
    </xf>
    <xf numFmtId="0" fontId="3" fillId="14" borderId="0" xfId="0" applyFont="1" applyFill="1" applyBorder="1" applyAlignment="1">
      <alignment horizontal="center" vertical="center"/>
    </xf>
    <xf numFmtId="14" fontId="14" fillId="7" borderId="0" xfId="0" applyNumberFormat="1" applyFont="1" applyFill="1" applyAlignment="1">
      <alignment horizontal="center" vertical="center"/>
    </xf>
    <xf numFmtId="17" fontId="3" fillId="0" borderId="0" xfId="0" applyNumberFormat="1" applyFont="1" applyBorder="1" applyAlignment="1">
      <alignment horizontal="center" vertical="center"/>
    </xf>
    <xf numFmtId="0" fontId="27" fillId="0" borderId="0" xfId="0" applyFont="1" applyAlignment="1">
      <alignment horizontal="center" vertical="center"/>
    </xf>
    <xf numFmtId="0" fontId="29" fillId="0" borderId="0" xfId="0" applyFont="1" applyBorder="1" applyAlignment="1">
      <alignment horizontal="center" vertical="center"/>
    </xf>
    <xf numFmtId="14" fontId="18" fillId="0" borderId="0" xfId="0" applyNumberFormat="1" applyFont="1" applyBorder="1" applyAlignment="1">
      <alignment horizontal="left" vertical="center"/>
    </xf>
    <xf numFmtId="0" fontId="14" fillId="0" borderId="0" xfId="0" applyFont="1" applyBorder="1" applyAlignment="1">
      <alignment horizontal="center" vertical="center"/>
    </xf>
    <xf numFmtId="0" fontId="3" fillId="12" borderId="0" xfId="0" applyFont="1" applyFill="1" applyAlignment="1">
      <alignment horizontal="center" vertical="center"/>
    </xf>
    <xf numFmtId="0" fontId="27" fillId="0" borderId="0" xfId="0" applyFont="1" applyFill="1" applyBorder="1" applyAlignment="1">
      <alignment horizontal="center" vertical="center"/>
    </xf>
    <xf numFmtId="14" fontId="14" fillId="0" borderId="0" xfId="0" applyNumberFormat="1" applyFont="1" applyFill="1" applyAlignment="1">
      <alignment horizontal="center" vertical="center"/>
    </xf>
    <xf numFmtId="0" fontId="3" fillId="0" borderId="0" xfId="0" applyFont="1" applyAlignment="1">
      <alignment horizontal="left" vertical="center"/>
    </xf>
    <xf numFmtId="0" fontId="30" fillId="0" borderId="0" xfId="0" applyFont="1"/>
    <xf numFmtId="2" fontId="8" fillId="0" borderId="0" xfId="0" applyNumberFormat="1" applyFont="1" applyAlignment="1">
      <alignment horizontal="center"/>
    </xf>
    <xf numFmtId="14" fontId="1" fillId="0" borderId="0" xfId="0" applyNumberFormat="1" applyFont="1" applyBorder="1" applyAlignment="1">
      <alignment horizontal="center" vertical="center" wrapText="1"/>
    </xf>
    <xf numFmtId="0" fontId="1" fillId="0" borderId="0" xfId="0" applyFont="1" applyAlignment="1">
      <alignment horizontal="center" wrapText="1"/>
    </xf>
    <xf numFmtId="14" fontId="1" fillId="0" borderId="0" xfId="0" applyNumberFormat="1" applyFont="1" applyAlignment="1">
      <alignment horizontal="center" wrapText="1"/>
    </xf>
    <xf numFmtId="0" fontId="8" fillId="0" borderId="0" xfId="0" applyFont="1" applyAlignment="1">
      <alignment horizontal="center" wrapText="1"/>
    </xf>
    <xf numFmtId="0" fontId="3" fillId="10" borderId="0" xfId="0" applyFont="1" applyFill="1" applyAlignment="1">
      <alignment horizontal="center" vertical="center" wrapText="1"/>
    </xf>
    <xf numFmtId="14" fontId="3" fillId="0" borderId="0" xfId="0" applyNumberFormat="1" applyFont="1" applyFill="1" applyAlignment="1">
      <alignment vertical="center"/>
    </xf>
    <xf numFmtId="2" fontId="3" fillId="12" borderId="0" xfId="0" applyNumberFormat="1" applyFont="1" applyFill="1" applyAlignment="1">
      <alignment horizontal="center" vertical="center"/>
    </xf>
    <xf numFmtId="165" fontId="1" fillId="0" borderId="1" xfId="0" applyNumberFormat="1" applyFont="1" applyFill="1" applyBorder="1" applyAlignment="1">
      <alignment horizontal="center" vertical="center"/>
    </xf>
    <xf numFmtId="0" fontId="31" fillId="0" borderId="0" xfId="0" applyFont="1" applyAlignment="1">
      <alignment horizontal="center" vertical="center"/>
    </xf>
    <xf numFmtId="0" fontId="3" fillId="0" borderId="0" xfId="0" applyFont="1" applyAlignment="1">
      <alignment horizontal="center" vertical="center" wrapText="1"/>
    </xf>
    <xf numFmtId="165" fontId="3" fillId="0" borderId="0" xfId="0" applyNumberFormat="1" applyFont="1" applyFill="1" applyAlignment="1">
      <alignment horizontal="center" vertical="center"/>
    </xf>
    <xf numFmtId="0" fontId="13" fillId="0" borderId="0" xfId="0" applyFont="1" applyFill="1" applyBorder="1" applyAlignment="1">
      <alignment vertical="center" wrapText="1"/>
    </xf>
    <xf numFmtId="164" fontId="3" fillId="0" borderId="0" xfId="0" applyNumberFormat="1" applyFont="1" applyFill="1" applyBorder="1" applyAlignment="1">
      <alignment horizontal="center" vertical="center"/>
    </xf>
    <xf numFmtId="0" fontId="0" fillId="0" borderId="0" xfId="0" applyFill="1"/>
    <xf numFmtId="14" fontId="3" fillId="4" borderId="0" xfId="0" applyNumberFormat="1" applyFont="1" applyFill="1" applyAlignment="1">
      <alignment horizontal="center" vertical="center"/>
    </xf>
    <xf numFmtId="14" fontId="3" fillId="15" borderId="0" xfId="0" applyNumberFormat="1" applyFont="1" applyFill="1" applyAlignment="1">
      <alignment horizontal="center" vertical="center"/>
    </xf>
    <xf numFmtId="0" fontId="13" fillId="15" borderId="0" xfId="0" applyFont="1" applyFill="1" applyBorder="1" applyAlignment="1">
      <alignment horizontal="center" vertical="center" wrapText="1"/>
    </xf>
    <xf numFmtId="14" fontId="3" fillId="15" borderId="0" xfId="0" applyNumberFormat="1" applyFont="1" applyFill="1" applyBorder="1" applyAlignment="1">
      <alignment horizontal="center" vertical="center"/>
    </xf>
    <xf numFmtId="0" fontId="3" fillId="15" borderId="0" xfId="0" applyFont="1" applyFill="1" applyBorder="1" applyAlignment="1">
      <alignment horizontal="center" vertical="center"/>
    </xf>
    <xf numFmtId="0" fontId="0" fillId="15" borderId="0" xfId="0" applyFill="1"/>
    <xf numFmtId="165" fontId="3" fillId="15" borderId="0" xfId="0" applyNumberFormat="1" applyFont="1" applyFill="1" applyAlignment="1">
      <alignment horizontal="center" vertical="center"/>
    </xf>
    <xf numFmtId="2" fontId="3" fillId="15" borderId="0" xfId="0" applyNumberFormat="1" applyFont="1" applyFill="1" applyAlignment="1">
      <alignment horizontal="center" vertical="center"/>
    </xf>
    <xf numFmtId="0" fontId="3" fillId="15" borderId="0" xfId="0" applyFont="1" applyFill="1" applyAlignment="1">
      <alignment horizontal="center" vertical="center"/>
    </xf>
    <xf numFmtId="14" fontId="3" fillId="0" borderId="26" xfId="0" applyNumberFormat="1" applyFont="1" applyBorder="1" applyAlignment="1">
      <alignment horizontal="center" vertical="center"/>
    </xf>
    <xf numFmtId="164" fontId="3" fillId="0" borderId="30" xfId="0" applyNumberFormat="1" applyFont="1" applyFill="1" applyBorder="1" applyAlignment="1">
      <alignment horizontal="center" vertical="center"/>
    </xf>
    <xf numFmtId="0" fontId="13" fillId="0" borderId="32" xfId="0" applyFont="1" applyFill="1" applyBorder="1" applyAlignment="1">
      <alignment vertical="center" wrapText="1"/>
    </xf>
    <xf numFmtId="0" fontId="13" fillId="0" borderId="27" xfId="0" applyFont="1" applyFill="1" applyBorder="1" applyAlignment="1">
      <alignment vertical="center" wrapText="1"/>
    </xf>
    <xf numFmtId="14" fontId="19" fillId="0" borderId="0" xfId="0" applyNumberFormat="1" applyFont="1" applyFill="1" applyAlignment="1">
      <alignment horizontal="center" vertical="center"/>
    </xf>
    <xf numFmtId="0" fontId="8" fillId="0" borderId="0" xfId="0" applyFont="1" applyFill="1" applyAlignment="1">
      <alignment horizontal="center" vertical="center"/>
    </xf>
    <xf numFmtId="0" fontId="32" fillId="0" borderId="0" xfId="0" applyFont="1"/>
    <xf numFmtId="0" fontId="27" fillId="0" borderId="0" xfId="0" applyFont="1" applyFill="1"/>
    <xf numFmtId="0" fontId="3" fillId="0" borderId="0" xfId="0" applyFont="1" applyAlignment="1">
      <alignment horizontal="center" vertical="center"/>
    </xf>
    <xf numFmtId="0" fontId="3" fillId="2" borderId="0" xfId="0" applyFont="1" applyFill="1" applyBorder="1" applyAlignment="1">
      <alignment horizontal="center" vertical="center"/>
    </xf>
    <xf numFmtId="0" fontId="3" fillId="7" borderId="0" xfId="0" applyFont="1" applyFill="1" applyBorder="1" applyAlignment="1">
      <alignment horizontal="center" vertical="center"/>
    </xf>
    <xf numFmtId="0" fontId="3" fillId="6" borderId="0" xfId="0" applyFont="1" applyFill="1" applyBorder="1" applyAlignment="1">
      <alignment horizontal="center" vertical="center"/>
    </xf>
    <xf numFmtId="0" fontId="3" fillId="8" borderId="0" xfId="0" applyFont="1" applyFill="1" applyBorder="1" applyAlignment="1">
      <alignment horizontal="center" vertical="center"/>
    </xf>
    <xf numFmtId="0" fontId="6" fillId="0" borderId="34" xfId="0" applyFont="1" applyBorder="1" applyAlignment="1">
      <alignment horizontal="center" vertical="center"/>
    </xf>
    <xf numFmtId="14" fontId="6" fillId="0" borderId="34" xfId="0" applyNumberFormat="1" applyFont="1" applyBorder="1" applyAlignment="1">
      <alignment horizontal="center" vertical="center"/>
    </xf>
    <xf numFmtId="0" fontId="3" fillId="0" borderId="35" xfId="0" applyFont="1" applyBorder="1" applyAlignment="1">
      <alignment horizontal="center" vertical="center"/>
    </xf>
    <xf numFmtId="14" fontId="3" fillId="0" borderId="35" xfId="0" applyNumberFormat="1" applyFont="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166" fontId="3" fillId="0" borderId="38" xfId="0" applyNumberFormat="1" applyFont="1" applyBorder="1" applyAlignment="1">
      <alignment horizontal="center" vertical="center"/>
    </xf>
    <xf numFmtId="168" fontId="3" fillId="0" borderId="39" xfId="0" applyNumberFormat="1" applyFont="1" applyBorder="1" applyAlignment="1">
      <alignment horizontal="center" vertical="center"/>
    </xf>
    <xf numFmtId="0" fontId="3" fillId="0" borderId="38" xfId="0" applyFont="1" applyBorder="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3" fillId="0" borderId="0" xfId="0" applyFont="1" applyAlignment="1">
      <alignment horizontal="right"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3" fillId="0" borderId="44" xfId="0" applyFont="1" applyBorder="1" applyAlignment="1">
      <alignment horizontal="right" vertical="center"/>
    </xf>
    <xf numFmtId="0" fontId="3" fillId="0" borderId="41" xfId="0" applyFont="1" applyBorder="1" applyAlignment="1">
      <alignment horizontal="right" vertical="center"/>
    </xf>
    <xf numFmtId="168" fontId="3" fillId="0" borderId="0" xfId="0" applyNumberFormat="1" applyFont="1" applyAlignment="1">
      <alignment horizontal="left" vertical="center"/>
    </xf>
    <xf numFmtId="168" fontId="6" fillId="0" borderId="34" xfId="0" applyNumberFormat="1" applyFont="1" applyBorder="1" applyAlignment="1">
      <alignment horizontal="center" vertical="center"/>
    </xf>
    <xf numFmtId="168" fontId="3" fillId="0" borderId="36" xfId="0" applyNumberFormat="1" applyFont="1" applyBorder="1" applyAlignment="1">
      <alignment horizontal="center" vertical="center"/>
    </xf>
    <xf numFmtId="168" fontId="3" fillId="0" borderId="37" xfId="0" applyNumberFormat="1" applyFont="1" applyBorder="1" applyAlignment="1">
      <alignment horizontal="center" vertical="center"/>
    </xf>
    <xf numFmtId="168" fontId="3" fillId="0" borderId="38" xfId="0" applyNumberFormat="1" applyFont="1" applyBorder="1" applyAlignment="1">
      <alignment horizontal="center" vertical="center"/>
    </xf>
    <xf numFmtId="168" fontId="3" fillId="0" borderId="35" xfId="0" applyNumberFormat="1" applyFont="1" applyBorder="1" applyAlignment="1">
      <alignment horizontal="center" vertical="center"/>
    </xf>
    <xf numFmtId="168" fontId="3" fillId="0" borderId="40" xfId="0" applyNumberFormat="1" applyFont="1" applyBorder="1" applyAlignment="1">
      <alignment horizontal="center" vertical="center"/>
    </xf>
    <xf numFmtId="168" fontId="3" fillId="0" borderId="41" xfId="0" applyNumberFormat="1" applyFont="1" applyBorder="1" applyAlignment="1">
      <alignment horizontal="center" vertical="center"/>
    </xf>
    <xf numFmtId="168" fontId="3" fillId="0" borderId="0" xfId="0" applyNumberFormat="1" applyFont="1" applyAlignment="1">
      <alignment horizontal="right" vertical="center"/>
    </xf>
    <xf numFmtId="168" fontId="3" fillId="0" borderId="42" xfId="0" applyNumberFormat="1" applyFont="1" applyBorder="1" applyAlignment="1">
      <alignment horizontal="center" vertical="center"/>
    </xf>
    <xf numFmtId="168" fontId="3" fillId="0" borderId="43" xfId="0" applyNumberFormat="1" applyFont="1" applyBorder="1" applyAlignment="1">
      <alignment horizontal="center" vertical="center"/>
    </xf>
    <xf numFmtId="168" fontId="3" fillId="0" borderId="44" xfId="0" applyNumberFormat="1" applyFont="1" applyBorder="1" applyAlignment="1">
      <alignment horizontal="right" vertical="center"/>
    </xf>
    <xf numFmtId="168" fontId="3" fillId="0" borderId="41" xfId="0" applyNumberFormat="1" applyFont="1" applyBorder="1" applyAlignment="1">
      <alignment horizontal="right" vertical="center"/>
    </xf>
    <xf numFmtId="166" fontId="3" fillId="0" borderId="39" xfId="0" applyNumberFormat="1" applyFont="1" applyBorder="1" applyAlignment="1">
      <alignment horizontal="center" vertical="center"/>
    </xf>
    <xf numFmtId="173" fontId="1" fillId="7" borderId="1" xfId="0" applyNumberFormat="1" applyFont="1" applyFill="1" applyBorder="1" applyAlignment="1">
      <alignment horizontal="center" vertical="center"/>
    </xf>
    <xf numFmtId="2" fontId="1" fillId="7" borderId="0" xfId="0" applyNumberFormat="1" applyFont="1" applyFill="1" applyAlignment="1">
      <alignment horizontal="center" vertical="center"/>
    </xf>
    <xf numFmtId="0" fontId="12" fillId="6" borderId="1" xfId="0" applyFont="1" applyFill="1" applyBorder="1" applyAlignment="1">
      <alignment horizontal="center" vertical="center"/>
    </xf>
    <xf numFmtId="3" fontId="1" fillId="6" borderId="1" xfId="0" applyNumberFormat="1" applyFont="1" applyFill="1" applyBorder="1" applyAlignment="1">
      <alignment horizontal="center" vertical="center"/>
    </xf>
    <xf numFmtId="4" fontId="1" fillId="6" borderId="1" xfId="0" applyNumberFormat="1" applyFont="1" applyFill="1" applyBorder="1" applyAlignment="1">
      <alignment horizontal="center" vertical="center"/>
    </xf>
    <xf numFmtId="0" fontId="1" fillId="6" borderId="1" xfId="0" applyFont="1" applyFill="1" applyBorder="1" applyAlignment="1">
      <alignment horizontal="center" vertical="center"/>
    </xf>
    <xf numFmtId="168" fontId="3" fillId="0" borderId="0" xfId="0" applyNumberFormat="1" applyFont="1" applyBorder="1" applyAlignment="1">
      <alignment horizontal="center" vertical="center"/>
    </xf>
    <xf numFmtId="168" fontId="6" fillId="0" borderId="0" xfId="0" applyNumberFormat="1" applyFont="1" applyBorder="1" applyAlignment="1">
      <alignment horizontal="center" vertical="center"/>
    </xf>
    <xf numFmtId="0" fontId="2" fillId="8" borderId="0" xfId="0" applyFont="1" applyFill="1" applyBorder="1" applyAlignment="1">
      <alignment horizontal="center" vertical="center"/>
    </xf>
    <xf numFmtId="1" fontId="2" fillId="8" borderId="0" xfId="0" applyNumberFormat="1" applyFont="1" applyFill="1" applyBorder="1" applyAlignment="1">
      <alignment horizontal="center" vertical="center"/>
    </xf>
    <xf numFmtId="49" fontId="3" fillId="2" borderId="0" xfId="0" applyNumberFormat="1" applyFont="1" applyFill="1" applyAlignment="1">
      <alignment horizontal="center" vertical="center"/>
    </xf>
    <xf numFmtId="49" fontId="3" fillId="8" borderId="0" xfId="0" applyNumberFormat="1" applyFont="1" applyFill="1" applyAlignment="1">
      <alignment horizontal="center" vertical="center"/>
    </xf>
    <xf numFmtId="49" fontId="3" fillId="7" borderId="0" xfId="0" applyNumberFormat="1" applyFont="1" applyFill="1" applyAlignment="1">
      <alignment horizontal="center" vertical="center"/>
    </xf>
    <xf numFmtId="49" fontId="3" fillId="6" borderId="0" xfId="0" applyNumberFormat="1" applyFont="1" applyFill="1" applyAlignment="1">
      <alignment horizontal="center" vertical="center"/>
    </xf>
    <xf numFmtId="0" fontId="3" fillId="16" borderId="0" xfId="0" applyFont="1" applyFill="1" applyAlignment="1">
      <alignment horizontal="center" vertical="center"/>
    </xf>
    <xf numFmtId="49" fontId="3" fillId="16" borderId="0" xfId="0" applyNumberFormat="1" applyFont="1" applyFill="1" applyAlignment="1">
      <alignment horizontal="center" vertical="center"/>
    </xf>
    <xf numFmtId="164" fontId="3" fillId="0" borderId="0" xfId="0" applyNumberFormat="1" applyFont="1" applyAlignment="1">
      <alignment horizontal="center" vertical="center"/>
    </xf>
    <xf numFmtId="0" fontId="7" fillId="0" borderId="34" xfId="0" applyFont="1" applyBorder="1" applyAlignment="1">
      <alignment horizontal="center"/>
    </xf>
    <xf numFmtId="0" fontId="0" fillId="0" borderId="35" xfId="0" applyBorder="1"/>
    <xf numFmtId="0" fontId="0" fillId="0" borderId="36" xfId="0" applyBorder="1"/>
    <xf numFmtId="0" fontId="0" fillId="0" borderId="37" xfId="0" applyBorder="1"/>
    <xf numFmtId="164" fontId="0" fillId="0" borderId="38" xfId="0" applyNumberFormat="1" applyBorder="1"/>
    <xf numFmtId="164" fontId="0" fillId="0" borderId="39" xfId="0" applyNumberFormat="1" applyBorder="1"/>
    <xf numFmtId="0" fontId="0" fillId="0" borderId="38" xfId="0" applyBorder="1"/>
    <xf numFmtId="0" fontId="0" fillId="0" borderId="39" xfId="0" applyBorder="1"/>
    <xf numFmtId="0" fontId="0" fillId="0" borderId="40" xfId="0" applyBorder="1"/>
    <xf numFmtId="0" fontId="0" fillId="0" borderId="41" xfId="0" applyBorder="1"/>
    <xf numFmtId="0" fontId="0" fillId="0" borderId="0" xfId="0" applyAlignment="1">
      <alignment horizontal="right"/>
    </xf>
    <xf numFmtId="0" fontId="0" fillId="0" borderId="42" xfId="0" applyBorder="1"/>
    <xf numFmtId="0" fontId="0" fillId="0" borderId="43" xfId="0" applyBorder="1"/>
    <xf numFmtId="0" fontId="0" fillId="0" borderId="44" xfId="0" applyBorder="1" applyAlignment="1">
      <alignment horizontal="right"/>
    </xf>
    <xf numFmtId="0" fontId="0" fillId="0" borderId="41" xfId="0" applyBorder="1" applyAlignment="1">
      <alignment horizontal="right"/>
    </xf>
    <xf numFmtId="0" fontId="12" fillId="8" borderId="0" xfId="0" applyFont="1" applyFill="1" applyBorder="1" applyAlignment="1">
      <alignment horizontal="center" vertical="center"/>
    </xf>
    <xf numFmtId="1" fontId="1" fillId="8" borderId="0" xfId="0" applyNumberFormat="1" applyFont="1" applyFill="1" applyBorder="1" applyAlignment="1">
      <alignment horizontal="center" vertical="center"/>
    </xf>
    <xf numFmtId="165" fontId="1" fillId="8" borderId="0" xfId="0" applyNumberFormat="1" applyFont="1" applyFill="1" applyBorder="1" applyAlignment="1">
      <alignment horizontal="center" vertical="center"/>
    </xf>
    <xf numFmtId="0" fontId="1" fillId="8" borderId="0" xfId="0" applyFont="1" applyFill="1" applyBorder="1" applyAlignment="1">
      <alignment horizontal="center" vertical="center"/>
    </xf>
    <xf numFmtId="0" fontId="0" fillId="0" borderId="0" xfId="0" applyAlignment="1">
      <alignment horizontal="center" vertical="center"/>
    </xf>
    <xf numFmtId="0" fontId="0" fillId="0" borderId="0" xfId="0" applyFill="1" applyBorder="1" applyAlignment="1">
      <alignment horizontal="center" vertical="center"/>
    </xf>
    <xf numFmtId="166" fontId="1" fillId="2" borderId="1" xfId="0" applyNumberFormat="1" applyFont="1" applyFill="1" applyBorder="1" applyAlignment="1">
      <alignment horizontal="center" vertical="center"/>
    </xf>
    <xf numFmtId="171" fontId="12" fillId="2" borderId="0" xfId="0" applyNumberFormat="1" applyFont="1" applyFill="1" applyBorder="1" applyAlignment="1">
      <alignment horizontal="center" vertical="center"/>
    </xf>
    <xf numFmtId="171" fontId="1" fillId="2" borderId="0" xfId="0" applyNumberFormat="1" applyFont="1" applyFill="1" applyBorder="1" applyAlignment="1">
      <alignment horizontal="center" vertical="center"/>
    </xf>
    <xf numFmtId="171" fontId="1" fillId="2" borderId="25" xfId="0" applyNumberFormat="1" applyFont="1" applyFill="1" applyBorder="1" applyAlignment="1">
      <alignment horizontal="center" vertical="center"/>
    </xf>
    <xf numFmtId="165" fontId="1" fillId="2" borderId="25" xfId="0" applyNumberFormat="1" applyFont="1" applyFill="1" applyBorder="1" applyAlignment="1">
      <alignment horizontal="center" vertical="center"/>
    </xf>
    <xf numFmtId="2" fontId="3" fillId="2" borderId="6" xfId="0" applyNumberFormat="1" applyFont="1" applyFill="1" applyBorder="1" applyAlignment="1">
      <alignment horizontal="center" vertical="center"/>
    </xf>
    <xf numFmtId="2" fontId="3" fillId="7" borderId="15" xfId="0" applyNumberFormat="1" applyFont="1" applyFill="1" applyBorder="1" applyAlignment="1">
      <alignment horizontal="center" vertical="center"/>
    </xf>
    <xf numFmtId="166" fontId="3" fillId="0" borderId="32" xfId="0" applyNumberFormat="1" applyFont="1" applyBorder="1" applyAlignment="1">
      <alignment horizontal="center" vertical="center"/>
    </xf>
    <xf numFmtId="166" fontId="3" fillId="0" borderId="33" xfId="0" applyNumberFormat="1" applyFont="1" applyBorder="1" applyAlignment="1">
      <alignment horizontal="center" vertical="center"/>
    </xf>
    <xf numFmtId="0" fontId="33" fillId="0" borderId="0" xfId="0" applyFont="1" applyFill="1" applyAlignment="1">
      <alignment vertical="center"/>
    </xf>
    <xf numFmtId="14" fontId="3" fillId="0" borderId="0" xfId="0" applyNumberFormat="1" applyFont="1"/>
    <xf numFmtId="3" fontId="3" fillId="0" borderId="0" xfId="0" applyNumberFormat="1" applyFont="1" applyAlignment="1">
      <alignment horizontal="center"/>
    </xf>
    <xf numFmtId="0" fontId="3" fillId="0" borderId="0" xfId="0" applyFont="1" applyAlignment="1">
      <alignment horizontal="center" vertical="center"/>
    </xf>
    <xf numFmtId="4" fontId="3" fillId="0" borderId="0" xfId="0" applyNumberFormat="1" applyFont="1" applyAlignment="1">
      <alignment horizontal="center" vertical="center"/>
    </xf>
    <xf numFmtId="171" fontId="3" fillId="0" borderId="0" xfId="0" applyNumberFormat="1" applyFont="1" applyAlignment="1">
      <alignment horizontal="center" vertical="center"/>
    </xf>
    <xf numFmtId="3" fontId="3" fillId="0" borderId="0" xfId="0" applyNumberFormat="1" applyFont="1" applyAlignment="1">
      <alignment horizontal="center" vertical="center"/>
    </xf>
    <xf numFmtId="3" fontId="3" fillId="0" borderId="0" xfId="0" applyNumberFormat="1" applyFont="1" applyBorder="1" applyAlignment="1">
      <alignment horizontal="center" vertical="center"/>
    </xf>
    <xf numFmtId="0" fontId="13" fillId="0" borderId="0" xfId="0" applyFont="1" applyAlignment="1">
      <alignment horizontal="center" vertical="center" wrapText="1"/>
    </xf>
    <xf numFmtId="0" fontId="13" fillId="0" borderId="29" xfId="0" applyFont="1" applyBorder="1" applyAlignment="1">
      <alignment horizontal="center" wrapText="1"/>
    </xf>
    <xf numFmtId="0" fontId="13" fillId="0" borderId="31" xfId="0" applyFont="1" applyBorder="1" applyAlignment="1">
      <alignment horizontal="center" wrapText="1"/>
    </xf>
    <xf numFmtId="0" fontId="13" fillId="0" borderId="0" xfId="0" applyFont="1" applyAlignment="1">
      <alignment horizontal="center" vertical="center"/>
    </xf>
    <xf numFmtId="0" fontId="13" fillId="0" borderId="29"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Border="1" applyAlignment="1">
      <alignment horizontal="center" vertical="center" wrapText="1"/>
    </xf>
    <xf numFmtId="0" fontId="3" fillId="0" borderId="0" xfId="0" applyFont="1" applyAlignment="1">
      <alignment horizontal="center" vertical="center"/>
    </xf>
    <xf numFmtId="0" fontId="13" fillId="0" borderId="26" xfId="0" applyFont="1" applyFill="1" applyBorder="1" applyAlignment="1">
      <alignment horizontal="center" vertical="center" wrapText="1"/>
    </xf>
    <xf numFmtId="0" fontId="13" fillId="0" borderId="29" xfId="0" applyFont="1" applyFill="1" applyBorder="1" applyAlignment="1">
      <alignment horizontal="center" vertical="center" wrapText="1"/>
    </xf>
    <xf numFmtId="0" fontId="13" fillId="0" borderId="31" xfId="0" applyFont="1" applyFill="1" applyBorder="1" applyAlignment="1">
      <alignment horizontal="center" vertical="center" wrapText="1"/>
    </xf>
    <xf numFmtId="0" fontId="13" fillId="0" borderId="27" xfId="0" applyFont="1" applyBorder="1" applyAlignment="1">
      <alignment horizontal="center" vertical="center"/>
    </xf>
    <xf numFmtId="0" fontId="13" fillId="0" borderId="28" xfId="0" applyFont="1" applyBorder="1" applyAlignment="1">
      <alignment horizontal="center" vertical="center"/>
    </xf>
    <xf numFmtId="0" fontId="33" fillId="17" borderId="0" xfId="0" applyFont="1" applyFill="1" applyAlignment="1">
      <alignment horizontal="center" vertical="center"/>
    </xf>
    <xf numFmtId="14" fontId="14" fillId="7" borderId="0" xfId="0" applyNumberFormat="1" applyFont="1" applyFill="1" applyAlignment="1">
      <alignment horizontal="center" vertical="center"/>
    </xf>
    <xf numFmtId="0" fontId="1" fillId="0" borderId="0" xfId="0" applyFont="1" applyAlignment="1">
      <alignment horizontal="center" wrapText="1"/>
    </xf>
    <xf numFmtId="2" fontId="1" fillId="0" borderId="0" xfId="0" applyNumberFormat="1" applyFont="1" applyFill="1" applyBorder="1" applyAlignment="1">
      <alignment horizontal="center"/>
    </xf>
    <xf numFmtId="0" fontId="1" fillId="0" borderId="0" xfId="0" applyFont="1" applyFill="1" applyBorder="1" applyAlignment="1">
      <alignment horizontal="center"/>
    </xf>
    <xf numFmtId="0" fontId="12" fillId="0" borderId="26" xfId="0" applyFont="1" applyFill="1" applyBorder="1" applyAlignment="1">
      <alignment horizontal="center" vertical="center" wrapText="1"/>
    </xf>
    <xf numFmtId="0" fontId="12" fillId="0" borderId="29" xfId="0" applyFont="1" applyFill="1" applyBorder="1" applyAlignment="1">
      <alignment horizontal="center" vertical="center" wrapText="1"/>
    </xf>
    <xf numFmtId="0" fontId="12" fillId="0" borderId="31" xfId="0" applyFont="1" applyFill="1" applyBorder="1" applyAlignment="1">
      <alignment horizontal="center" vertical="center" wrapText="1"/>
    </xf>
    <xf numFmtId="0" fontId="0" fillId="0" borderId="0" xfId="0" applyAlignment="1">
      <alignment horizontal="center"/>
    </xf>
    <xf numFmtId="14" fontId="22" fillId="0" borderId="29" xfId="0" applyNumberFormat="1" applyFont="1" applyBorder="1" applyAlignment="1">
      <alignment horizontal="center" vertical="center" wrapText="1"/>
    </xf>
    <xf numFmtId="14" fontId="22" fillId="0" borderId="31" xfId="0" applyNumberFormat="1" applyFont="1" applyBorder="1" applyAlignment="1">
      <alignment horizontal="center" vertical="center" wrapText="1"/>
    </xf>
    <xf numFmtId="0" fontId="13" fillId="0" borderId="0" xfId="0" applyFont="1" applyAlignment="1">
      <alignment horizontal="center"/>
    </xf>
    <xf numFmtId="0" fontId="1" fillId="18" borderId="0" xfId="0" applyFont="1" applyFill="1" applyBorder="1" applyAlignment="1">
      <alignment horizontal="center" vertical="center"/>
    </xf>
    <xf numFmtId="1" fontId="1" fillId="18" borderId="0" xfId="0" applyNumberFormat="1" applyFont="1" applyFill="1" applyBorder="1" applyAlignment="1">
      <alignment horizontal="center" vertical="center"/>
    </xf>
    <xf numFmtId="165" fontId="1" fillId="18" borderId="0" xfId="0" applyNumberFormat="1" applyFont="1" applyFill="1" applyBorder="1" applyAlignment="1">
      <alignment horizontal="center" vertical="center"/>
    </xf>
    <xf numFmtId="2" fontId="1" fillId="18" borderId="0" xfId="0" applyNumberFormat="1" applyFont="1" applyFill="1" applyBorder="1" applyAlignment="1">
      <alignment horizontal="center" vertical="center"/>
    </xf>
    <xf numFmtId="0" fontId="1" fillId="18" borderId="1" xfId="0" applyFont="1" applyFill="1" applyBorder="1" applyAlignment="1">
      <alignment horizontal="center" vertical="center"/>
    </xf>
    <xf numFmtId="1" fontId="1" fillId="18" borderId="1" xfId="0" applyNumberFormat="1" applyFont="1" applyFill="1" applyBorder="1" applyAlignment="1">
      <alignment horizontal="center" vertical="center"/>
    </xf>
    <xf numFmtId="0" fontId="2" fillId="18" borderId="0" xfId="0" applyFont="1" applyFill="1" applyBorder="1" applyAlignment="1">
      <alignment horizontal="center" vertical="center"/>
    </xf>
    <xf numFmtId="165" fontId="2" fillId="18" borderId="0" xfId="0" applyNumberFormat="1" applyFont="1" applyFill="1" applyBorder="1" applyAlignment="1">
      <alignment horizontal="center" vertical="center"/>
    </xf>
    <xf numFmtId="2" fontId="2" fillId="18" borderId="0" xfId="0" applyNumberFormat="1" applyFont="1" applyFill="1" applyBorder="1" applyAlignment="1">
      <alignment horizontal="center" vertical="center"/>
    </xf>
    <xf numFmtId="0" fontId="12" fillId="18" borderId="22" xfId="0" applyFont="1" applyFill="1" applyBorder="1" applyAlignment="1">
      <alignment horizontal="center" vertical="center"/>
    </xf>
    <xf numFmtId="0" fontId="21" fillId="18" borderId="23" xfId="0" applyFont="1" applyFill="1" applyBorder="1" applyAlignment="1">
      <alignment horizontal="center" vertical="center" wrapText="1"/>
    </xf>
    <xf numFmtId="0" fontId="12" fillId="18" borderId="0"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A8D08C"/>
      <color rgb="FFCC0099"/>
      <color rgb="FF00CC5C"/>
      <color rgb="FF0033CC"/>
      <color rgb="FF5656F4"/>
      <color rgb="FF33CC33"/>
      <color rgb="FF350EA4"/>
      <color rgb="FFA2362E"/>
      <color rgb="FFDF6613"/>
      <color rgb="FFE2E2E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23.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4.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5.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6.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7.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8.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9.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31.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32.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33.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4.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5.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31.xml"/><Relationship Id="rId1" Type="http://schemas.microsoft.com/office/2011/relationships/chartStyle" Target="style31.xml"/></Relationships>
</file>

<file path=xl/charts/_rels/chart36.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32.xml"/><Relationship Id="rId1" Type="http://schemas.microsoft.com/office/2011/relationships/chartStyle" Target="style32.xml"/></Relationships>
</file>

<file path=xl/charts/_rels/chart37.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8.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34.xml"/><Relationship Id="rId1" Type="http://schemas.microsoft.com/office/2011/relationships/chartStyle" Target="style34.xml"/></Relationships>
</file>

<file path=xl/charts/_rels/chart39.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35.xml"/><Relationship Id="rId1" Type="http://schemas.microsoft.com/office/2011/relationships/chartStyle" Target="style35.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36.xml"/><Relationship Id="rId1" Type="http://schemas.microsoft.com/office/2011/relationships/chartStyle" Target="style36.xml"/></Relationships>
</file>

<file path=xl/charts/_rels/chart41.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37.xml"/><Relationship Id="rId1" Type="http://schemas.microsoft.com/office/2011/relationships/chartStyle" Target="style37.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a:t>Animas River at Silverton RK 16.4 </a:t>
            </a:r>
          </a:p>
          <a:p>
            <a:pPr>
              <a:defRPr/>
            </a:pPr>
            <a:r>
              <a:rPr lang="en-US"/>
              <a:t>Lead</a:t>
            </a:r>
          </a:p>
        </c:rich>
      </c:tx>
      <c:layout>
        <c:manualLayout>
          <c:xMode val="edge"/>
          <c:yMode val="edge"/>
          <c:x val="0.28658393025505652"/>
          <c:y val="5.0359069699620888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8069975628046495"/>
          <c:y val="0.20383237809559521"/>
          <c:w val="0.71744305399325081"/>
          <c:h val="0.57840055707322302"/>
        </c:manualLayout>
      </c:layout>
      <c:scatterChart>
        <c:scatterStyle val="lineMarker"/>
        <c:varyColors val="0"/>
        <c:ser>
          <c:idx val="0"/>
          <c:order val="0"/>
          <c:tx>
            <c:v>Lead</c:v>
          </c:tx>
          <c:spPr>
            <a:ln w="19050" cap="rnd">
              <a:solidFill>
                <a:schemeClr val="tx2">
                  <a:lumMod val="60000"/>
                  <a:lumOff val="40000"/>
                </a:schemeClr>
              </a:solidFill>
              <a:prstDash val="sysDash"/>
              <a:round/>
            </a:ln>
            <a:effectLst/>
          </c:spPr>
          <c:marker>
            <c:symbol val="circle"/>
            <c:size val="7"/>
            <c:spPr>
              <a:solidFill>
                <a:schemeClr val="accent3">
                  <a:lumMod val="60000"/>
                  <a:lumOff val="40000"/>
                </a:schemeClr>
              </a:solidFill>
              <a:ln w="9525">
                <a:solidFill>
                  <a:schemeClr val="tx1">
                    <a:lumMod val="50000"/>
                    <a:lumOff val="50000"/>
                  </a:schemeClr>
                </a:solidFill>
              </a:ln>
              <a:effectLst/>
            </c:spPr>
          </c:marker>
          <c:dPt>
            <c:idx val="22"/>
            <c:marker>
              <c:symbol val="circle"/>
              <c:size val="7"/>
              <c:spPr>
                <a:solidFill>
                  <a:schemeClr val="accent3">
                    <a:lumMod val="60000"/>
                    <a:lumOff val="40000"/>
                  </a:schemeClr>
                </a:solidFill>
                <a:ln w="9525">
                  <a:solidFill>
                    <a:schemeClr val="tx1">
                      <a:lumMod val="50000"/>
                      <a:lumOff val="50000"/>
                    </a:schemeClr>
                  </a:solidFill>
                </a:ln>
                <a:effectLst/>
              </c:spPr>
            </c:marker>
            <c:bubble3D val="0"/>
            <c:spPr>
              <a:ln w="19050" cap="rnd">
                <a:noFill/>
                <a:prstDash val="sysDash"/>
                <a:round/>
              </a:ln>
              <a:effectLst/>
            </c:spPr>
            <c:extLst>
              <c:ext xmlns:c16="http://schemas.microsoft.com/office/drawing/2014/chart" uri="{C3380CC4-5D6E-409C-BE32-E72D297353CC}">
                <c16:uniqueId val="{00000000-6215-4692-B50E-569968ADAC3C}"/>
              </c:ext>
            </c:extLst>
          </c:dPt>
          <c:xVal>
            <c:numRef>
              <c:f>Silverton!$AC$7:$AC$36</c:f>
              <c:numCache>
                <c:formatCode>m/d/yy\ h:mm;@</c:formatCode>
                <c:ptCount val="30"/>
                <c:pt idx="0">
                  <c:v>42227.548611111109</c:v>
                </c:pt>
                <c:pt idx="1">
                  <c:v>42243.625</c:v>
                </c:pt>
                <c:pt idx="2">
                  <c:v>42247.590277777781</c:v>
                </c:pt>
                <c:pt idx="3">
                  <c:v>42263.541666666664</c:v>
                </c:pt>
                <c:pt idx="4">
                  <c:v>42263.541666666664</c:v>
                </c:pt>
                <c:pt idx="5">
                  <c:v>42264.559027777781</c:v>
                </c:pt>
                <c:pt idx="6">
                  <c:v>42264.559027777781</c:v>
                </c:pt>
                <c:pt idx="7">
                  <c:v>42266.635416666664</c:v>
                </c:pt>
                <c:pt idx="8">
                  <c:v>42266.635416666664</c:v>
                </c:pt>
                <c:pt idx="9">
                  <c:v>42267.579861111109</c:v>
                </c:pt>
                <c:pt idx="10">
                  <c:v>42267.579861111109</c:v>
                </c:pt>
                <c:pt idx="11">
                  <c:v>42268.555555555555</c:v>
                </c:pt>
                <c:pt idx="12">
                  <c:v>42268.555555555555</c:v>
                </c:pt>
                <c:pt idx="13">
                  <c:v>42271.590277777781</c:v>
                </c:pt>
                <c:pt idx="14">
                  <c:v>42271.590277777781</c:v>
                </c:pt>
                <c:pt idx="15">
                  <c:v>42275.586805555555</c:v>
                </c:pt>
                <c:pt idx="16">
                  <c:v>42275.586805555555</c:v>
                </c:pt>
                <c:pt idx="17">
                  <c:v>42278.590277777781</c:v>
                </c:pt>
                <c:pt idx="18">
                  <c:v>42278.590277777781</c:v>
                </c:pt>
                <c:pt idx="19">
                  <c:v>42278.590277777781</c:v>
                </c:pt>
                <c:pt idx="20">
                  <c:v>42278.590277777781</c:v>
                </c:pt>
                <c:pt idx="21">
                  <c:v>42303.575694444444</c:v>
                </c:pt>
                <c:pt idx="22" formatCode="m/d/yyyy">
                  <c:v>42493</c:v>
                </c:pt>
                <c:pt idx="23" formatCode="m/d/yyyy">
                  <c:v>42501</c:v>
                </c:pt>
                <c:pt idx="24" formatCode="m/d/yyyy">
                  <c:v>42509</c:v>
                </c:pt>
                <c:pt idx="25" formatCode="m/d/yyyy">
                  <c:v>42516</c:v>
                </c:pt>
                <c:pt idx="26" formatCode="m/d/yyyy">
                  <c:v>42522</c:v>
                </c:pt>
                <c:pt idx="27" formatCode="m/d/yyyy">
                  <c:v>42527.527777777781</c:v>
                </c:pt>
                <c:pt idx="28" formatCode="m/d/yyyy">
                  <c:v>42528</c:v>
                </c:pt>
                <c:pt idx="29" formatCode="m/d/yyyy">
                  <c:v>42536</c:v>
                </c:pt>
              </c:numCache>
            </c:numRef>
          </c:xVal>
          <c:yVal>
            <c:numRef>
              <c:f>Silverton!$AH$7:$AH$36</c:f>
              <c:numCache>
                <c:formatCode>#,##0</c:formatCode>
                <c:ptCount val="30"/>
                <c:pt idx="0">
                  <c:v>220</c:v>
                </c:pt>
                <c:pt idx="1">
                  <c:v>160</c:v>
                </c:pt>
                <c:pt idx="2">
                  <c:v>700</c:v>
                </c:pt>
                <c:pt idx="3">
                  <c:v>540</c:v>
                </c:pt>
                <c:pt idx="4">
                  <c:v>540</c:v>
                </c:pt>
                <c:pt idx="5">
                  <c:v>580</c:v>
                </c:pt>
                <c:pt idx="6">
                  <c:v>580</c:v>
                </c:pt>
                <c:pt idx="7">
                  <c:v>200</c:v>
                </c:pt>
                <c:pt idx="8">
                  <c:v>200</c:v>
                </c:pt>
                <c:pt idx="9">
                  <c:v>190</c:v>
                </c:pt>
                <c:pt idx="10">
                  <c:v>190</c:v>
                </c:pt>
                <c:pt idx="11">
                  <c:v>270</c:v>
                </c:pt>
                <c:pt idx="12">
                  <c:v>270</c:v>
                </c:pt>
                <c:pt idx="13">
                  <c:v>300</c:v>
                </c:pt>
                <c:pt idx="14">
                  <c:v>300</c:v>
                </c:pt>
                <c:pt idx="15">
                  <c:v>310</c:v>
                </c:pt>
                <c:pt idx="16">
                  <c:v>310</c:v>
                </c:pt>
                <c:pt idx="17">
                  <c:v>220</c:v>
                </c:pt>
                <c:pt idx="18">
                  <c:v>310</c:v>
                </c:pt>
                <c:pt idx="19">
                  <c:v>220</c:v>
                </c:pt>
                <c:pt idx="20">
                  <c:v>310</c:v>
                </c:pt>
                <c:pt idx="21">
                  <c:v>610</c:v>
                </c:pt>
                <c:pt idx="22" formatCode="General">
                  <c:v>140</c:v>
                </c:pt>
                <c:pt idx="23" formatCode="General">
                  <c:v>78</c:v>
                </c:pt>
                <c:pt idx="24" formatCode="General">
                  <c:v>330</c:v>
                </c:pt>
                <c:pt idx="25" formatCode="General">
                  <c:v>130</c:v>
                </c:pt>
                <c:pt idx="26" formatCode="General">
                  <c:v>490</c:v>
                </c:pt>
                <c:pt idx="27" formatCode="General">
                  <c:v>740</c:v>
                </c:pt>
                <c:pt idx="28" formatCode="General">
                  <c:v>6400</c:v>
                </c:pt>
                <c:pt idx="29" formatCode="General">
                  <c:v>700</c:v>
                </c:pt>
              </c:numCache>
            </c:numRef>
          </c:yVal>
          <c:smooth val="0"/>
          <c:extLst>
            <c:ext xmlns:c16="http://schemas.microsoft.com/office/drawing/2014/chart" uri="{C3380CC4-5D6E-409C-BE32-E72D297353CC}">
              <c16:uniqueId val="{00000000-0A80-4CCA-8C7D-D7940AC72DF5}"/>
            </c:ext>
          </c:extLst>
        </c:ser>
        <c:dLbls>
          <c:showLegendKey val="0"/>
          <c:showVal val="0"/>
          <c:showCatName val="0"/>
          <c:showSerName val="0"/>
          <c:showPercent val="0"/>
          <c:showBubbleSize val="0"/>
        </c:dLbls>
        <c:axId val="1172658112"/>
        <c:axId val="1172658504"/>
      </c:scatterChart>
      <c:valAx>
        <c:axId val="1172658112"/>
        <c:scaling>
          <c:orientation val="minMax"/>
        </c:scaling>
        <c:delete val="0"/>
        <c:axPos val="b"/>
        <c:majorGridlines>
          <c:spPr>
            <a:ln w="9525" cap="flat" cmpd="sng" algn="ctr">
              <a:noFill/>
              <a:round/>
            </a:ln>
            <a:effectLst/>
          </c:spPr>
        </c:majorGridlines>
        <c:numFmt formatCode="m/d/yy\ h:mm;@" sourceLinked="1"/>
        <c:majorTickMark val="none"/>
        <c:minorTickMark val="none"/>
        <c:tickLblPos val="nextTo"/>
        <c:spPr>
          <a:noFill/>
          <a:ln w="9525" cap="flat" cmpd="sng" algn="ctr">
            <a:solidFill>
              <a:schemeClr val="tx1">
                <a:lumMod val="25000"/>
                <a:lumOff val="75000"/>
              </a:schemeClr>
            </a:solidFill>
            <a:round/>
          </a:ln>
          <a:effectLst/>
        </c:spPr>
        <c:txPr>
          <a:bodyPr rot="2700000" spcFirstLastPara="1" vertOverflow="ellipsis"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172658504"/>
        <c:crosses val="autoZero"/>
        <c:crossBetween val="midCat"/>
      </c:valAx>
      <c:valAx>
        <c:axId val="117265850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a:t>Sediment Concentration mg/kg</a:t>
                </a:r>
              </a:p>
            </c:rich>
          </c:tx>
          <c:layout>
            <c:manualLayout>
              <c:xMode val="edge"/>
              <c:yMode val="edge"/>
              <c:x val="2.448162729658792E-3"/>
              <c:y val="0.14959281131525226"/>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crossAx val="1172658112"/>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000" b="1"/>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Bakers Bridge (RK 64) </a:t>
            </a:r>
          </a:p>
        </c:rich>
      </c:tx>
      <c:layout>
        <c:manualLayout>
          <c:xMode val="edge"/>
          <c:yMode val="edge"/>
          <c:x val="0.33697090346776631"/>
          <c:y val="2.5931933099696373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9008639545056868"/>
          <c:y val="0.12813199558136196"/>
          <c:w val="0.70051159230096238"/>
          <c:h val="0.62611699589785397"/>
        </c:manualLayout>
      </c:layout>
      <c:scatterChart>
        <c:scatterStyle val="lineMarker"/>
        <c:varyColors val="0"/>
        <c:ser>
          <c:idx val="0"/>
          <c:order val="0"/>
          <c:tx>
            <c:v>Aluminum</c:v>
          </c:tx>
          <c:spPr>
            <a:ln w="12700" cap="rnd">
              <a:solidFill>
                <a:srgbClr val="350EA4"/>
              </a:solidFill>
              <a:prstDash val="sysDash"/>
              <a:round/>
            </a:ln>
            <a:effectLst/>
          </c:spPr>
          <c:marker>
            <c:symbol val="circle"/>
            <c:size val="8"/>
            <c:spPr>
              <a:solidFill>
                <a:srgbClr val="0033CC"/>
              </a:solidFill>
              <a:ln w="9525">
                <a:solidFill>
                  <a:srgbClr val="350EA4"/>
                </a:solidFill>
              </a:ln>
              <a:effectLst/>
            </c:spPr>
          </c:marker>
          <c:xVal>
            <c:numRef>
              <c:f>'Bakers Bridge'!$B$36:$B$43</c:f>
              <c:numCache>
                <c:formatCode>m/d/yy\ h:mm;@</c:formatCode>
                <c:ptCount val="8"/>
                <c:pt idx="0">
                  <c:v>42493.618055555555</c:v>
                </c:pt>
                <c:pt idx="1">
                  <c:v>42501.469444444447</c:v>
                </c:pt>
                <c:pt idx="2">
                  <c:v>42509.559027777781</c:v>
                </c:pt>
                <c:pt idx="3">
                  <c:v>42516.538194444445</c:v>
                </c:pt>
                <c:pt idx="4">
                  <c:v>42522.538194444445</c:v>
                </c:pt>
                <c:pt idx="5">
                  <c:v>42527.642361111109</c:v>
                </c:pt>
                <c:pt idx="6">
                  <c:v>42528.395833333336</c:v>
                </c:pt>
                <c:pt idx="7">
                  <c:v>42536.5625</c:v>
                </c:pt>
              </c:numCache>
            </c:numRef>
          </c:xVal>
          <c:yVal>
            <c:numRef>
              <c:f>'Bakers Bridge'!$C$36:$C$43</c:f>
              <c:numCache>
                <c:formatCode>General</c:formatCode>
                <c:ptCount val="8"/>
                <c:pt idx="0">
                  <c:v>33000</c:v>
                </c:pt>
                <c:pt idx="1">
                  <c:v>18000</c:v>
                </c:pt>
                <c:pt idx="2">
                  <c:v>9100</c:v>
                </c:pt>
                <c:pt idx="3">
                  <c:v>9700</c:v>
                </c:pt>
                <c:pt idx="4">
                  <c:v>11000</c:v>
                </c:pt>
                <c:pt idx="5">
                  <c:v>7500</c:v>
                </c:pt>
                <c:pt idx="6">
                  <c:v>7200</c:v>
                </c:pt>
                <c:pt idx="7">
                  <c:v>6100</c:v>
                </c:pt>
              </c:numCache>
            </c:numRef>
          </c:yVal>
          <c:smooth val="0"/>
          <c:extLst>
            <c:ext xmlns:c16="http://schemas.microsoft.com/office/drawing/2014/chart" uri="{C3380CC4-5D6E-409C-BE32-E72D297353CC}">
              <c16:uniqueId val="{00000000-0F72-4521-AC48-C232AECB4DFB}"/>
            </c:ext>
          </c:extLst>
        </c:ser>
        <c:ser>
          <c:idx val="1"/>
          <c:order val="1"/>
          <c:tx>
            <c:v>Iron</c:v>
          </c:tx>
          <c:spPr>
            <a:ln w="12700" cap="rnd">
              <a:solidFill>
                <a:schemeClr val="tx1">
                  <a:lumMod val="65000"/>
                  <a:lumOff val="35000"/>
                </a:schemeClr>
              </a:solidFill>
              <a:prstDash val="sysDash"/>
              <a:round/>
            </a:ln>
            <a:effectLst/>
          </c:spPr>
          <c:marker>
            <c:symbol val="triangle"/>
            <c:size val="8"/>
            <c:spPr>
              <a:solidFill>
                <a:schemeClr val="accent2">
                  <a:lumMod val="60000"/>
                  <a:lumOff val="40000"/>
                </a:schemeClr>
              </a:solidFill>
              <a:ln w="9525">
                <a:solidFill>
                  <a:srgbClr val="350EA4"/>
                </a:solidFill>
              </a:ln>
              <a:effectLst/>
            </c:spPr>
          </c:marker>
          <c:xVal>
            <c:numRef>
              <c:f>'Bakers Bridge'!$B$36:$B$43</c:f>
              <c:numCache>
                <c:formatCode>m/d/yy\ h:mm;@</c:formatCode>
                <c:ptCount val="8"/>
                <c:pt idx="0">
                  <c:v>42493.618055555555</c:v>
                </c:pt>
                <c:pt idx="1">
                  <c:v>42501.469444444447</c:v>
                </c:pt>
                <c:pt idx="2">
                  <c:v>42509.559027777781</c:v>
                </c:pt>
                <c:pt idx="3">
                  <c:v>42516.538194444445</c:v>
                </c:pt>
                <c:pt idx="4">
                  <c:v>42522.538194444445</c:v>
                </c:pt>
                <c:pt idx="5">
                  <c:v>42527.642361111109</c:v>
                </c:pt>
                <c:pt idx="6">
                  <c:v>42528.395833333336</c:v>
                </c:pt>
                <c:pt idx="7">
                  <c:v>42536.5625</c:v>
                </c:pt>
              </c:numCache>
            </c:numRef>
          </c:xVal>
          <c:yVal>
            <c:numRef>
              <c:f>'Bakers Bridge'!$F$36:$F$43</c:f>
              <c:numCache>
                <c:formatCode>General</c:formatCode>
                <c:ptCount val="8"/>
                <c:pt idx="0">
                  <c:v>79000</c:v>
                </c:pt>
                <c:pt idx="1">
                  <c:v>51000</c:v>
                </c:pt>
                <c:pt idx="2">
                  <c:v>35000</c:v>
                </c:pt>
                <c:pt idx="3">
                  <c:v>39000</c:v>
                </c:pt>
                <c:pt idx="4">
                  <c:v>37000</c:v>
                </c:pt>
                <c:pt idx="5">
                  <c:v>28000</c:v>
                </c:pt>
                <c:pt idx="6">
                  <c:v>35000</c:v>
                </c:pt>
                <c:pt idx="7">
                  <c:v>29000</c:v>
                </c:pt>
              </c:numCache>
            </c:numRef>
          </c:yVal>
          <c:smooth val="0"/>
          <c:extLst>
            <c:ext xmlns:c16="http://schemas.microsoft.com/office/drawing/2014/chart" uri="{C3380CC4-5D6E-409C-BE32-E72D297353CC}">
              <c16:uniqueId val="{00000001-0F72-4521-AC48-C232AECB4DFB}"/>
            </c:ext>
          </c:extLst>
        </c:ser>
        <c:dLbls>
          <c:showLegendKey val="0"/>
          <c:showVal val="0"/>
          <c:showCatName val="0"/>
          <c:showSerName val="0"/>
          <c:showPercent val="0"/>
          <c:showBubbleSize val="0"/>
        </c:dLbls>
        <c:axId val="1026421904"/>
        <c:axId val="1026422296"/>
      </c:scatterChart>
      <c:valAx>
        <c:axId val="1026421904"/>
        <c:scaling>
          <c:orientation val="minMax"/>
        </c:scaling>
        <c:delete val="0"/>
        <c:axPos val="b"/>
        <c:numFmt formatCode="m/d/yy\ h:mm;@" sourceLinked="1"/>
        <c:majorTickMark val="out"/>
        <c:minorTickMark val="out"/>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1050" b="1" i="0" u="none" strike="noStrike" kern="1200" baseline="0">
                <a:solidFill>
                  <a:sysClr val="windowText" lastClr="000000"/>
                </a:solidFill>
                <a:latin typeface="+mn-lt"/>
                <a:ea typeface="+mn-ea"/>
                <a:cs typeface="+mn-cs"/>
              </a:defRPr>
            </a:pPr>
            <a:endParaRPr lang="en-US"/>
          </a:p>
        </c:txPr>
        <c:crossAx val="1026422296"/>
        <c:crosses val="autoZero"/>
        <c:crossBetween val="midCat"/>
      </c:valAx>
      <c:valAx>
        <c:axId val="1026422296"/>
        <c:scaling>
          <c:orientation val="minMax"/>
        </c:scaling>
        <c:delete val="0"/>
        <c:axPos val="l"/>
        <c:majorGridlines>
          <c:spPr>
            <a:ln w="9525" cap="flat" cmpd="sng" algn="ctr">
              <a:solidFill>
                <a:srgbClr val="E2E2E2"/>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Concentration (mg/kg)</a:t>
                </a:r>
              </a:p>
            </c:rich>
          </c:tx>
          <c:layout>
            <c:manualLayout>
              <c:xMode val="edge"/>
              <c:yMode val="edge"/>
              <c:x val="2.5457540155110403E-3"/>
              <c:y val="0.18662007539998815"/>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1026421904"/>
        <c:crosses val="autoZero"/>
        <c:crossBetween val="midCat"/>
        <c:majorUnit val="20000"/>
        <c:minorUnit val="5000"/>
      </c:valAx>
      <c:spPr>
        <a:noFill/>
        <a:ln>
          <a:solidFill>
            <a:schemeClr val="tx1">
              <a:lumMod val="50000"/>
              <a:lumOff val="50000"/>
            </a:schemeClr>
          </a:solidFill>
        </a:ln>
        <a:effectLst/>
      </c:spPr>
    </c:plotArea>
    <c:legend>
      <c:legendPos val="r"/>
      <c:layout>
        <c:manualLayout>
          <c:xMode val="edge"/>
          <c:yMode val="edge"/>
          <c:x val="0.50795779195772084"/>
          <c:y val="0.18763931607759432"/>
          <c:w val="0.32259789196779298"/>
          <c:h val="0.17440552234468237"/>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a:t>Bakers Bridge (RK 64)-- Cadmium in Sediment</a:t>
            </a:r>
          </a:p>
        </c:rich>
      </c:tx>
      <c:layout>
        <c:manualLayout>
          <c:xMode val="edge"/>
          <c:yMode val="edge"/>
          <c:x val="0.20797150356205474"/>
          <c:y val="4.1099810440361623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7300346456692914"/>
          <c:y val="0.18712671332750075"/>
          <c:w val="0.71996262467191596"/>
          <c:h val="0.59228929717118695"/>
        </c:manualLayout>
      </c:layout>
      <c:scatterChart>
        <c:scatterStyle val="lineMarker"/>
        <c:varyColors val="0"/>
        <c:ser>
          <c:idx val="0"/>
          <c:order val="0"/>
          <c:tx>
            <c:v>Cadmium</c:v>
          </c:tx>
          <c:spPr>
            <a:ln w="19050" cap="rnd">
              <a:solidFill>
                <a:schemeClr val="tx1">
                  <a:lumMod val="50000"/>
                  <a:lumOff val="50000"/>
                </a:schemeClr>
              </a:solidFill>
              <a:prstDash val="sysDash"/>
              <a:round/>
            </a:ln>
            <a:effectLst/>
          </c:spPr>
          <c:marker>
            <c:symbol val="circle"/>
            <c:size val="7"/>
            <c:spPr>
              <a:solidFill>
                <a:schemeClr val="tx2">
                  <a:lumMod val="40000"/>
                  <a:lumOff val="60000"/>
                </a:schemeClr>
              </a:solidFill>
              <a:ln w="9525">
                <a:solidFill>
                  <a:schemeClr val="tx1">
                    <a:lumMod val="75000"/>
                    <a:lumOff val="25000"/>
                  </a:schemeClr>
                </a:solidFill>
              </a:ln>
              <a:effectLst/>
            </c:spPr>
          </c:marker>
          <c:dPt>
            <c:idx val="18"/>
            <c:marker>
              <c:symbol val="circle"/>
              <c:size val="7"/>
              <c:spPr>
                <a:solidFill>
                  <a:schemeClr val="tx2">
                    <a:lumMod val="40000"/>
                    <a:lumOff val="60000"/>
                  </a:schemeClr>
                </a:solidFill>
                <a:ln w="9525">
                  <a:solidFill>
                    <a:schemeClr val="tx1">
                      <a:lumMod val="75000"/>
                      <a:lumOff val="25000"/>
                    </a:schemeClr>
                  </a:solidFill>
                </a:ln>
                <a:effectLst/>
              </c:spPr>
            </c:marker>
            <c:bubble3D val="0"/>
            <c:spPr>
              <a:ln w="19050" cap="rnd">
                <a:noFill/>
                <a:prstDash val="sysDash"/>
                <a:round/>
              </a:ln>
              <a:effectLst/>
            </c:spPr>
            <c:extLst>
              <c:ext xmlns:c16="http://schemas.microsoft.com/office/drawing/2014/chart" uri="{C3380CC4-5D6E-409C-BE32-E72D297353CC}">
                <c16:uniqueId val="{00000000-7203-4457-945B-D78A3B7769C4}"/>
              </c:ext>
            </c:extLst>
          </c:dPt>
          <c:xVal>
            <c:numRef>
              <c:f>'Bakers Bridge'!$AE$6:$AE$32</c:f>
              <c:numCache>
                <c:formatCode>m/d/yy\ h:mm;@</c:formatCode>
                <c:ptCount val="27"/>
                <c:pt idx="0">
                  <c:v>42227.513888888891</c:v>
                </c:pt>
                <c:pt idx="1">
                  <c:v>42227.513888888891</c:v>
                </c:pt>
                <c:pt idx="2">
                  <c:v>42228.580555555556</c:v>
                </c:pt>
                <c:pt idx="3">
                  <c:v>42234.597222222219</c:v>
                </c:pt>
                <c:pt idx="4">
                  <c:v>42243.684027777781</c:v>
                </c:pt>
                <c:pt idx="5">
                  <c:v>42243.684027777781</c:v>
                </c:pt>
                <c:pt idx="6">
                  <c:v>42247.663194444445</c:v>
                </c:pt>
                <c:pt idx="7">
                  <c:v>42265.409722222219</c:v>
                </c:pt>
                <c:pt idx="8">
                  <c:v>42265.409722222219</c:v>
                </c:pt>
                <c:pt idx="9">
                  <c:v>42267.454861111109</c:v>
                </c:pt>
                <c:pt idx="10">
                  <c:v>42267.454861111109</c:v>
                </c:pt>
                <c:pt idx="11">
                  <c:v>42268.402777777781</c:v>
                </c:pt>
                <c:pt idx="12">
                  <c:v>42268.402777777781</c:v>
                </c:pt>
                <c:pt idx="13">
                  <c:v>42271.454861111109</c:v>
                </c:pt>
                <c:pt idx="14">
                  <c:v>42271.454861111109</c:v>
                </c:pt>
                <c:pt idx="15">
                  <c:v>42275.465277777781</c:v>
                </c:pt>
                <c:pt idx="16">
                  <c:v>42275.465277777781</c:v>
                </c:pt>
                <c:pt idx="17">
                  <c:v>42303.652083333334</c:v>
                </c:pt>
                <c:pt idx="18" formatCode="m/d/yyyy">
                  <c:v>42493.618055555555</c:v>
                </c:pt>
                <c:pt idx="19" formatCode="m/d/yyyy">
                  <c:v>42501.469444444447</c:v>
                </c:pt>
                <c:pt idx="20" formatCode="m/d/yyyy">
                  <c:v>42509.559027777781</c:v>
                </c:pt>
                <c:pt idx="21" formatCode="m/d/yyyy">
                  <c:v>42516.538194444445</c:v>
                </c:pt>
                <c:pt idx="22" formatCode="m/d/yyyy">
                  <c:v>42522.538194444445</c:v>
                </c:pt>
                <c:pt idx="23" formatCode="m/d/yyyy">
                  <c:v>42527.642361111109</c:v>
                </c:pt>
                <c:pt idx="24" formatCode="m/d/yyyy">
                  <c:v>42528.395833333336</c:v>
                </c:pt>
                <c:pt idx="25" formatCode="m/d/yyyy">
                  <c:v>42536.5625</c:v>
                </c:pt>
              </c:numCache>
            </c:numRef>
          </c:xVal>
          <c:yVal>
            <c:numRef>
              <c:f>'Bakers Bridge'!$AG$6:$AG$32</c:f>
              <c:numCache>
                <c:formatCode>General</c:formatCode>
                <c:ptCount val="27"/>
                <c:pt idx="0">
                  <c:v>2.08</c:v>
                </c:pt>
                <c:pt idx="1">
                  <c:v>2.08</c:v>
                </c:pt>
                <c:pt idx="2">
                  <c:v>2.6</c:v>
                </c:pt>
                <c:pt idx="3">
                  <c:v>4</c:v>
                </c:pt>
                <c:pt idx="4">
                  <c:v>6.4</c:v>
                </c:pt>
                <c:pt idx="5">
                  <c:v>6.8</c:v>
                </c:pt>
                <c:pt idx="6">
                  <c:v>3.5</c:v>
                </c:pt>
                <c:pt idx="7">
                  <c:v>6.9</c:v>
                </c:pt>
                <c:pt idx="8">
                  <c:v>6.9</c:v>
                </c:pt>
                <c:pt idx="9">
                  <c:v>4</c:v>
                </c:pt>
                <c:pt idx="10">
                  <c:v>4</c:v>
                </c:pt>
                <c:pt idx="11">
                  <c:v>3.8</c:v>
                </c:pt>
                <c:pt idx="12">
                  <c:v>3.8</c:v>
                </c:pt>
                <c:pt idx="13">
                  <c:v>4.2</c:v>
                </c:pt>
                <c:pt idx="14">
                  <c:v>4.2</c:v>
                </c:pt>
                <c:pt idx="15">
                  <c:v>2.8</c:v>
                </c:pt>
                <c:pt idx="16">
                  <c:v>2.8</c:v>
                </c:pt>
                <c:pt idx="17">
                  <c:v>2.5</c:v>
                </c:pt>
                <c:pt idx="18">
                  <c:v>13</c:v>
                </c:pt>
                <c:pt idx="19">
                  <c:v>6.6</c:v>
                </c:pt>
                <c:pt idx="20">
                  <c:v>3.9</c:v>
                </c:pt>
                <c:pt idx="21">
                  <c:v>3.4</c:v>
                </c:pt>
                <c:pt idx="22">
                  <c:v>3.4</c:v>
                </c:pt>
                <c:pt idx="23">
                  <c:v>2.6</c:v>
                </c:pt>
                <c:pt idx="24">
                  <c:v>3.2</c:v>
                </c:pt>
                <c:pt idx="25">
                  <c:v>3.2</c:v>
                </c:pt>
              </c:numCache>
            </c:numRef>
          </c:yVal>
          <c:smooth val="0"/>
          <c:extLst>
            <c:ext xmlns:c16="http://schemas.microsoft.com/office/drawing/2014/chart" uri="{C3380CC4-5D6E-409C-BE32-E72D297353CC}">
              <c16:uniqueId val="{00000000-4D00-43CB-9979-6965D159D1EA}"/>
            </c:ext>
          </c:extLst>
        </c:ser>
        <c:dLbls>
          <c:showLegendKey val="0"/>
          <c:showVal val="0"/>
          <c:showCatName val="0"/>
          <c:showSerName val="0"/>
          <c:showPercent val="0"/>
          <c:showBubbleSize val="0"/>
        </c:dLbls>
        <c:axId val="1026413672"/>
        <c:axId val="1026414064"/>
      </c:scatterChart>
      <c:valAx>
        <c:axId val="1026413672"/>
        <c:scaling>
          <c:orientation val="minMax"/>
          <c:max val="42550"/>
          <c:min val="42220"/>
        </c:scaling>
        <c:delete val="0"/>
        <c:axPos val="b"/>
        <c:majorGridlines>
          <c:spPr>
            <a:ln w="9525" cap="flat" cmpd="sng" algn="ctr">
              <a:noFill/>
              <a:round/>
            </a:ln>
            <a:effectLst/>
          </c:spPr>
        </c:majorGridlines>
        <c:numFmt formatCode="m/d/yy\ h:mm;@" sourceLinked="1"/>
        <c:majorTickMark val="out"/>
        <c:minorTickMark val="out"/>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1" i="0" u="none" strike="noStrike" kern="1200" baseline="0">
                <a:solidFill>
                  <a:sysClr val="windowText" lastClr="000000"/>
                </a:solidFill>
                <a:latin typeface="+mn-lt"/>
                <a:ea typeface="+mn-ea"/>
                <a:cs typeface="+mn-cs"/>
              </a:defRPr>
            </a:pPr>
            <a:endParaRPr lang="en-US"/>
          </a:p>
        </c:txPr>
        <c:crossAx val="1026414064"/>
        <c:crosses val="autoZero"/>
        <c:crossBetween val="midCat"/>
        <c:majorUnit val="30"/>
      </c:valAx>
      <c:valAx>
        <c:axId val="10264140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t> Concentration (mg/kg)</a:t>
                </a:r>
              </a:p>
            </c:rich>
          </c:tx>
          <c:layout>
            <c:manualLayout>
              <c:xMode val="edge"/>
              <c:yMode val="edge"/>
              <c:x val="3.2084171296769722E-2"/>
              <c:y val="0.22366688538932633"/>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26413672"/>
        <c:crosses val="autoZero"/>
        <c:crossBetween val="midCat"/>
        <c:minorUnit val="0.5"/>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000" b="1">
          <a:solidFill>
            <a:sysClr val="windowText" lastClr="000000"/>
          </a:solidFill>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a:t>Bakers Bridge (RK 64)-- Copper in Sediment</a:t>
            </a:r>
          </a:p>
        </c:rich>
      </c:tx>
      <c:layout>
        <c:manualLayout>
          <c:xMode val="edge"/>
          <c:yMode val="edge"/>
          <c:x val="0.20797150356205474"/>
          <c:y val="4.1099810440361623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7300346456692914"/>
          <c:y val="0.18712671332750075"/>
          <c:w val="0.71996262467191596"/>
          <c:h val="0.59228929717118695"/>
        </c:manualLayout>
      </c:layout>
      <c:scatterChart>
        <c:scatterStyle val="lineMarker"/>
        <c:varyColors val="0"/>
        <c:ser>
          <c:idx val="0"/>
          <c:order val="0"/>
          <c:tx>
            <c:v>Copper</c:v>
          </c:tx>
          <c:spPr>
            <a:ln w="19050" cap="rnd">
              <a:solidFill>
                <a:schemeClr val="tx1">
                  <a:lumMod val="50000"/>
                  <a:lumOff val="50000"/>
                </a:schemeClr>
              </a:solidFill>
              <a:prstDash val="sysDash"/>
              <a:round/>
            </a:ln>
            <a:effectLst/>
          </c:spPr>
          <c:marker>
            <c:symbol val="circle"/>
            <c:size val="7"/>
            <c:spPr>
              <a:solidFill>
                <a:schemeClr val="tx2">
                  <a:lumMod val="40000"/>
                  <a:lumOff val="60000"/>
                </a:schemeClr>
              </a:solidFill>
              <a:ln w="9525">
                <a:solidFill>
                  <a:schemeClr val="tx1">
                    <a:lumMod val="75000"/>
                    <a:lumOff val="25000"/>
                  </a:schemeClr>
                </a:solidFill>
              </a:ln>
              <a:effectLst/>
            </c:spPr>
          </c:marker>
          <c:dPt>
            <c:idx val="18"/>
            <c:marker>
              <c:symbol val="circle"/>
              <c:size val="7"/>
              <c:spPr>
                <a:solidFill>
                  <a:schemeClr val="tx2">
                    <a:lumMod val="40000"/>
                    <a:lumOff val="60000"/>
                  </a:schemeClr>
                </a:solidFill>
                <a:ln w="9525">
                  <a:solidFill>
                    <a:schemeClr val="tx1">
                      <a:lumMod val="75000"/>
                      <a:lumOff val="25000"/>
                    </a:schemeClr>
                  </a:solidFill>
                </a:ln>
                <a:effectLst/>
              </c:spPr>
            </c:marker>
            <c:bubble3D val="0"/>
            <c:spPr>
              <a:ln w="19050" cap="rnd">
                <a:noFill/>
                <a:prstDash val="sysDash"/>
                <a:round/>
              </a:ln>
              <a:effectLst/>
            </c:spPr>
            <c:extLst>
              <c:ext xmlns:c16="http://schemas.microsoft.com/office/drawing/2014/chart" uri="{C3380CC4-5D6E-409C-BE32-E72D297353CC}">
                <c16:uniqueId val="{00000002-2401-4C60-9F62-C5E07648E8E3}"/>
              </c:ext>
            </c:extLst>
          </c:dPt>
          <c:xVal>
            <c:numRef>
              <c:f>'Bakers Bridge'!$AE$6:$AE$32</c:f>
              <c:numCache>
                <c:formatCode>m/d/yy\ h:mm;@</c:formatCode>
                <c:ptCount val="27"/>
                <c:pt idx="0">
                  <c:v>42227.513888888891</c:v>
                </c:pt>
                <c:pt idx="1">
                  <c:v>42227.513888888891</c:v>
                </c:pt>
                <c:pt idx="2">
                  <c:v>42228.580555555556</c:v>
                </c:pt>
                <c:pt idx="3">
                  <c:v>42234.597222222219</c:v>
                </c:pt>
                <c:pt idx="4">
                  <c:v>42243.684027777781</c:v>
                </c:pt>
                <c:pt idx="5">
                  <c:v>42243.684027777781</c:v>
                </c:pt>
                <c:pt idx="6">
                  <c:v>42247.663194444445</c:v>
                </c:pt>
                <c:pt idx="7">
                  <c:v>42265.409722222219</c:v>
                </c:pt>
                <c:pt idx="8">
                  <c:v>42265.409722222219</c:v>
                </c:pt>
                <c:pt idx="9">
                  <c:v>42267.454861111109</c:v>
                </c:pt>
                <c:pt idx="10">
                  <c:v>42267.454861111109</c:v>
                </c:pt>
                <c:pt idx="11">
                  <c:v>42268.402777777781</c:v>
                </c:pt>
                <c:pt idx="12">
                  <c:v>42268.402777777781</c:v>
                </c:pt>
                <c:pt idx="13">
                  <c:v>42271.454861111109</c:v>
                </c:pt>
                <c:pt idx="14">
                  <c:v>42271.454861111109</c:v>
                </c:pt>
                <c:pt idx="15">
                  <c:v>42275.465277777781</c:v>
                </c:pt>
                <c:pt idx="16">
                  <c:v>42275.465277777781</c:v>
                </c:pt>
                <c:pt idx="17">
                  <c:v>42303.652083333334</c:v>
                </c:pt>
                <c:pt idx="18" formatCode="m/d/yyyy">
                  <c:v>42493.618055555555</c:v>
                </c:pt>
                <c:pt idx="19" formatCode="m/d/yyyy">
                  <c:v>42501.469444444447</c:v>
                </c:pt>
                <c:pt idx="20" formatCode="m/d/yyyy">
                  <c:v>42509.559027777781</c:v>
                </c:pt>
                <c:pt idx="21" formatCode="m/d/yyyy">
                  <c:v>42516.538194444445</c:v>
                </c:pt>
                <c:pt idx="22" formatCode="m/d/yyyy">
                  <c:v>42522.538194444445</c:v>
                </c:pt>
                <c:pt idx="23" formatCode="m/d/yyyy">
                  <c:v>42527.642361111109</c:v>
                </c:pt>
                <c:pt idx="24" formatCode="m/d/yyyy">
                  <c:v>42528.395833333336</c:v>
                </c:pt>
                <c:pt idx="25" formatCode="m/d/yyyy">
                  <c:v>42536.5625</c:v>
                </c:pt>
              </c:numCache>
            </c:numRef>
          </c:xVal>
          <c:yVal>
            <c:numRef>
              <c:f>'Bakers Bridge'!$AH$6:$AH$32</c:f>
              <c:numCache>
                <c:formatCode>General</c:formatCode>
                <c:ptCount val="27"/>
                <c:pt idx="0">
                  <c:v>118</c:v>
                </c:pt>
                <c:pt idx="1">
                  <c:v>118</c:v>
                </c:pt>
                <c:pt idx="2">
                  <c:v>92</c:v>
                </c:pt>
                <c:pt idx="3">
                  <c:v>490</c:v>
                </c:pt>
                <c:pt idx="4">
                  <c:v>200</c:v>
                </c:pt>
                <c:pt idx="5">
                  <c:v>210</c:v>
                </c:pt>
                <c:pt idx="6">
                  <c:v>100</c:v>
                </c:pt>
                <c:pt idx="7">
                  <c:v>190</c:v>
                </c:pt>
                <c:pt idx="8">
                  <c:v>190</c:v>
                </c:pt>
                <c:pt idx="9">
                  <c:v>120</c:v>
                </c:pt>
                <c:pt idx="10">
                  <c:v>120</c:v>
                </c:pt>
                <c:pt idx="11">
                  <c:v>100</c:v>
                </c:pt>
                <c:pt idx="12">
                  <c:v>100</c:v>
                </c:pt>
                <c:pt idx="13">
                  <c:v>140</c:v>
                </c:pt>
                <c:pt idx="14">
                  <c:v>140</c:v>
                </c:pt>
                <c:pt idx="15">
                  <c:v>100</c:v>
                </c:pt>
                <c:pt idx="16">
                  <c:v>100</c:v>
                </c:pt>
                <c:pt idx="17">
                  <c:v>78</c:v>
                </c:pt>
                <c:pt idx="18">
                  <c:v>510</c:v>
                </c:pt>
                <c:pt idx="19">
                  <c:v>270</c:v>
                </c:pt>
                <c:pt idx="20">
                  <c:v>130</c:v>
                </c:pt>
                <c:pt idx="21">
                  <c:v>130</c:v>
                </c:pt>
                <c:pt idx="22">
                  <c:v>140</c:v>
                </c:pt>
                <c:pt idx="23">
                  <c:v>110</c:v>
                </c:pt>
                <c:pt idx="24">
                  <c:v>100</c:v>
                </c:pt>
                <c:pt idx="25">
                  <c:v>120</c:v>
                </c:pt>
              </c:numCache>
            </c:numRef>
          </c:yVal>
          <c:smooth val="0"/>
          <c:extLst>
            <c:ext xmlns:c16="http://schemas.microsoft.com/office/drawing/2014/chart" uri="{C3380CC4-5D6E-409C-BE32-E72D297353CC}">
              <c16:uniqueId val="{00000003-2401-4C60-9F62-C5E07648E8E3}"/>
            </c:ext>
          </c:extLst>
        </c:ser>
        <c:dLbls>
          <c:showLegendKey val="0"/>
          <c:showVal val="0"/>
          <c:showCatName val="0"/>
          <c:showSerName val="0"/>
          <c:showPercent val="0"/>
          <c:showBubbleSize val="0"/>
        </c:dLbls>
        <c:axId val="1026413672"/>
        <c:axId val="1026414064"/>
      </c:scatterChart>
      <c:valAx>
        <c:axId val="1026413672"/>
        <c:scaling>
          <c:orientation val="minMax"/>
          <c:max val="42550"/>
          <c:min val="42220"/>
        </c:scaling>
        <c:delete val="0"/>
        <c:axPos val="b"/>
        <c:majorGridlines>
          <c:spPr>
            <a:ln w="9525" cap="flat" cmpd="sng" algn="ctr">
              <a:noFill/>
              <a:round/>
            </a:ln>
            <a:effectLst/>
          </c:spPr>
        </c:majorGridlines>
        <c:numFmt formatCode="m/d/yy\ h:mm;@" sourceLinked="1"/>
        <c:majorTickMark val="out"/>
        <c:minorTickMark val="out"/>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1" i="0" u="none" strike="noStrike" kern="1200" baseline="0">
                <a:solidFill>
                  <a:sysClr val="windowText" lastClr="000000"/>
                </a:solidFill>
                <a:latin typeface="+mn-lt"/>
                <a:ea typeface="+mn-ea"/>
                <a:cs typeface="+mn-cs"/>
              </a:defRPr>
            </a:pPr>
            <a:endParaRPr lang="en-US"/>
          </a:p>
        </c:txPr>
        <c:crossAx val="1026414064"/>
        <c:crosses val="autoZero"/>
        <c:crossBetween val="midCat"/>
        <c:majorUnit val="30"/>
      </c:valAx>
      <c:valAx>
        <c:axId val="10264140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t> Concentration (mg/kg)</a:t>
                </a:r>
              </a:p>
            </c:rich>
          </c:tx>
          <c:layout>
            <c:manualLayout>
              <c:xMode val="edge"/>
              <c:yMode val="edge"/>
              <c:x val="3.2084171296769722E-2"/>
              <c:y val="0.22366688538932633"/>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26413672"/>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000" b="1">
          <a:solidFill>
            <a:sysClr val="windowText" lastClr="000000"/>
          </a:solidFill>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a:t>Bakers Bridge-- Manganese in Sediment</a:t>
            </a:r>
          </a:p>
        </c:rich>
      </c:tx>
      <c:layout>
        <c:manualLayout>
          <c:xMode val="edge"/>
          <c:yMode val="edge"/>
          <c:x val="0.24665891468145346"/>
          <c:y val="4.1099984453162867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9628419862455776"/>
          <c:y val="0.20570989601909517"/>
          <c:w val="0.69422878580952108"/>
          <c:h val="0.57370609161659669"/>
        </c:manualLayout>
      </c:layout>
      <c:scatterChart>
        <c:scatterStyle val="lineMarker"/>
        <c:varyColors val="0"/>
        <c:ser>
          <c:idx val="0"/>
          <c:order val="0"/>
          <c:tx>
            <c:v>Manganese</c:v>
          </c:tx>
          <c:spPr>
            <a:ln w="19050" cap="rnd">
              <a:solidFill>
                <a:schemeClr val="bg1">
                  <a:lumMod val="50000"/>
                </a:schemeClr>
              </a:solidFill>
              <a:prstDash val="sysDash"/>
              <a:round/>
            </a:ln>
            <a:effectLst/>
          </c:spPr>
          <c:marker>
            <c:symbol val="circle"/>
            <c:size val="7"/>
            <c:spPr>
              <a:solidFill>
                <a:schemeClr val="tx2">
                  <a:lumMod val="40000"/>
                  <a:lumOff val="60000"/>
                </a:schemeClr>
              </a:solidFill>
              <a:ln w="9525">
                <a:solidFill>
                  <a:schemeClr val="tx1">
                    <a:lumMod val="75000"/>
                    <a:lumOff val="25000"/>
                  </a:schemeClr>
                </a:solidFill>
              </a:ln>
              <a:effectLst/>
            </c:spPr>
          </c:marker>
          <c:dPt>
            <c:idx val="18"/>
            <c:marker>
              <c:symbol val="circle"/>
              <c:size val="7"/>
              <c:spPr>
                <a:solidFill>
                  <a:schemeClr val="tx2">
                    <a:lumMod val="40000"/>
                    <a:lumOff val="60000"/>
                  </a:schemeClr>
                </a:solidFill>
                <a:ln w="9525">
                  <a:solidFill>
                    <a:schemeClr val="tx1">
                      <a:lumMod val="75000"/>
                      <a:lumOff val="25000"/>
                    </a:schemeClr>
                  </a:solidFill>
                </a:ln>
                <a:effectLst/>
              </c:spPr>
            </c:marker>
            <c:bubble3D val="0"/>
            <c:spPr>
              <a:ln w="19050" cap="rnd">
                <a:noFill/>
                <a:prstDash val="sysDash"/>
                <a:round/>
              </a:ln>
              <a:effectLst/>
            </c:spPr>
            <c:extLst>
              <c:ext xmlns:c16="http://schemas.microsoft.com/office/drawing/2014/chart" uri="{C3380CC4-5D6E-409C-BE32-E72D297353CC}">
                <c16:uniqueId val="{00000002-1A87-4939-BB73-53EAA17B2F39}"/>
              </c:ext>
            </c:extLst>
          </c:dPt>
          <c:xVal>
            <c:numRef>
              <c:f>'Bakers Bridge'!$AE$6:$AE$32</c:f>
              <c:numCache>
                <c:formatCode>m/d/yy\ h:mm;@</c:formatCode>
                <c:ptCount val="27"/>
                <c:pt idx="0">
                  <c:v>42227.513888888891</c:v>
                </c:pt>
                <c:pt idx="1">
                  <c:v>42227.513888888891</c:v>
                </c:pt>
                <c:pt idx="2">
                  <c:v>42228.580555555556</c:v>
                </c:pt>
                <c:pt idx="3">
                  <c:v>42234.597222222219</c:v>
                </c:pt>
                <c:pt idx="4">
                  <c:v>42243.684027777781</c:v>
                </c:pt>
                <c:pt idx="5">
                  <c:v>42243.684027777781</c:v>
                </c:pt>
                <c:pt idx="6">
                  <c:v>42247.663194444445</c:v>
                </c:pt>
                <c:pt idx="7">
                  <c:v>42265.409722222219</c:v>
                </c:pt>
                <c:pt idx="8">
                  <c:v>42265.409722222219</c:v>
                </c:pt>
                <c:pt idx="9">
                  <c:v>42267.454861111109</c:v>
                </c:pt>
                <c:pt idx="10">
                  <c:v>42267.454861111109</c:v>
                </c:pt>
                <c:pt idx="11">
                  <c:v>42268.402777777781</c:v>
                </c:pt>
                <c:pt idx="12">
                  <c:v>42268.402777777781</c:v>
                </c:pt>
                <c:pt idx="13">
                  <c:v>42271.454861111109</c:v>
                </c:pt>
                <c:pt idx="14">
                  <c:v>42271.454861111109</c:v>
                </c:pt>
                <c:pt idx="15">
                  <c:v>42275.465277777781</c:v>
                </c:pt>
                <c:pt idx="16">
                  <c:v>42275.465277777781</c:v>
                </c:pt>
                <c:pt idx="17">
                  <c:v>42303.652083333334</c:v>
                </c:pt>
                <c:pt idx="18" formatCode="m/d/yyyy">
                  <c:v>42493.618055555555</c:v>
                </c:pt>
                <c:pt idx="19" formatCode="m/d/yyyy">
                  <c:v>42501.469444444447</c:v>
                </c:pt>
                <c:pt idx="20" formatCode="m/d/yyyy">
                  <c:v>42509.559027777781</c:v>
                </c:pt>
                <c:pt idx="21" formatCode="m/d/yyyy">
                  <c:v>42516.538194444445</c:v>
                </c:pt>
                <c:pt idx="22" formatCode="m/d/yyyy">
                  <c:v>42522.538194444445</c:v>
                </c:pt>
                <c:pt idx="23" formatCode="m/d/yyyy">
                  <c:v>42527.642361111109</c:v>
                </c:pt>
                <c:pt idx="24" formatCode="m/d/yyyy">
                  <c:v>42528.395833333336</c:v>
                </c:pt>
                <c:pt idx="25" formatCode="m/d/yyyy">
                  <c:v>42536.5625</c:v>
                </c:pt>
              </c:numCache>
            </c:numRef>
          </c:xVal>
          <c:yVal>
            <c:numRef>
              <c:f>'Bakers Bridge'!$AK$6:$AK$32</c:f>
              <c:numCache>
                <c:formatCode>General</c:formatCode>
                <c:ptCount val="27"/>
                <c:pt idx="0">
                  <c:v>2180</c:v>
                </c:pt>
                <c:pt idx="1">
                  <c:v>2180</c:v>
                </c:pt>
                <c:pt idx="2">
                  <c:v>1900</c:v>
                </c:pt>
                <c:pt idx="3">
                  <c:v>890</c:v>
                </c:pt>
                <c:pt idx="4">
                  <c:v>5000</c:v>
                </c:pt>
                <c:pt idx="5">
                  <c:v>5200</c:v>
                </c:pt>
                <c:pt idx="6">
                  <c:v>2900</c:v>
                </c:pt>
                <c:pt idx="7">
                  <c:v>7000</c:v>
                </c:pt>
                <c:pt idx="8">
                  <c:v>7000</c:v>
                </c:pt>
                <c:pt idx="9">
                  <c:v>3600</c:v>
                </c:pt>
                <c:pt idx="10">
                  <c:v>3600</c:v>
                </c:pt>
                <c:pt idx="11">
                  <c:v>5100</c:v>
                </c:pt>
                <c:pt idx="12">
                  <c:v>5100</c:v>
                </c:pt>
                <c:pt idx="13">
                  <c:v>3500</c:v>
                </c:pt>
                <c:pt idx="14">
                  <c:v>3500</c:v>
                </c:pt>
                <c:pt idx="15">
                  <c:v>3300</c:v>
                </c:pt>
                <c:pt idx="16">
                  <c:v>3300</c:v>
                </c:pt>
                <c:pt idx="17">
                  <c:v>6500</c:v>
                </c:pt>
                <c:pt idx="18">
                  <c:v>12000</c:v>
                </c:pt>
                <c:pt idx="19">
                  <c:v>6900</c:v>
                </c:pt>
                <c:pt idx="20">
                  <c:v>4300</c:v>
                </c:pt>
                <c:pt idx="21">
                  <c:v>3400</c:v>
                </c:pt>
                <c:pt idx="22">
                  <c:v>3700</c:v>
                </c:pt>
                <c:pt idx="23">
                  <c:v>2000</c:v>
                </c:pt>
                <c:pt idx="24">
                  <c:v>3100</c:v>
                </c:pt>
                <c:pt idx="25">
                  <c:v>3100</c:v>
                </c:pt>
              </c:numCache>
            </c:numRef>
          </c:yVal>
          <c:smooth val="0"/>
          <c:extLst>
            <c:ext xmlns:c16="http://schemas.microsoft.com/office/drawing/2014/chart" uri="{C3380CC4-5D6E-409C-BE32-E72D297353CC}">
              <c16:uniqueId val="{00000003-1A87-4939-BB73-53EAA17B2F39}"/>
            </c:ext>
          </c:extLst>
        </c:ser>
        <c:dLbls>
          <c:showLegendKey val="0"/>
          <c:showVal val="0"/>
          <c:showCatName val="0"/>
          <c:showSerName val="0"/>
          <c:showPercent val="0"/>
          <c:showBubbleSize val="0"/>
        </c:dLbls>
        <c:axId val="1026413672"/>
        <c:axId val="1026414064"/>
      </c:scatterChart>
      <c:valAx>
        <c:axId val="1026413672"/>
        <c:scaling>
          <c:orientation val="minMax"/>
          <c:max val="42550"/>
          <c:min val="42220"/>
        </c:scaling>
        <c:delete val="0"/>
        <c:axPos val="b"/>
        <c:majorGridlines>
          <c:spPr>
            <a:ln w="9525" cap="flat" cmpd="sng" algn="ctr">
              <a:noFill/>
              <a:round/>
            </a:ln>
            <a:effectLst/>
          </c:spPr>
        </c:majorGridlines>
        <c:numFmt formatCode="m/d/yy\ h:mm;@" sourceLinked="1"/>
        <c:majorTickMark val="out"/>
        <c:minorTickMark val="out"/>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1" i="0" u="none" strike="noStrike" kern="1200" baseline="0">
                <a:solidFill>
                  <a:sysClr val="windowText" lastClr="000000"/>
                </a:solidFill>
                <a:latin typeface="+mn-lt"/>
                <a:ea typeface="+mn-ea"/>
                <a:cs typeface="+mn-cs"/>
              </a:defRPr>
            </a:pPr>
            <a:endParaRPr lang="en-US"/>
          </a:p>
        </c:txPr>
        <c:crossAx val="1026414064"/>
        <c:crosses val="autoZero"/>
        <c:crossBetween val="midCat"/>
        <c:majorUnit val="30"/>
      </c:valAx>
      <c:valAx>
        <c:axId val="10264140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t> Concentration (mg/kg)</a:t>
                </a:r>
              </a:p>
            </c:rich>
          </c:tx>
          <c:layout>
            <c:manualLayout>
              <c:xMode val="edge"/>
              <c:yMode val="edge"/>
              <c:x val="3.2084171296769722E-2"/>
              <c:y val="0.22366688538932633"/>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26413672"/>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000" b="1">
          <a:solidFill>
            <a:sysClr val="windowText" lastClr="000000"/>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a:t>Bakers Bridge (RK 64)-- Zinc in Sediment</a:t>
            </a:r>
          </a:p>
        </c:rich>
      </c:tx>
      <c:layout>
        <c:manualLayout>
          <c:xMode val="edge"/>
          <c:yMode val="edge"/>
          <c:x val="0.24665891468145346"/>
          <c:y val="4.1099984453162867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9628427136860624"/>
          <c:y val="0.19741324001166524"/>
          <c:w val="0.69422878580952108"/>
          <c:h val="0.57370609161659669"/>
        </c:manualLayout>
      </c:layout>
      <c:scatterChart>
        <c:scatterStyle val="lineMarker"/>
        <c:varyColors val="0"/>
        <c:ser>
          <c:idx val="0"/>
          <c:order val="0"/>
          <c:tx>
            <c:v>Zinc</c:v>
          </c:tx>
          <c:spPr>
            <a:ln w="19050" cap="rnd">
              <a:solidFill>
                <a:schemeClr val="bg1">
                  <a:lumMod val="50000"/>
                </a:schemeClr>
              </a:solidFill>
              <a:prstDash val="sysDash"/>
              <a:round/>
            </a:ln>
            <a:effectLst/>
          </c:spPr>
          <c:marker>
            <c:symbol val="circle"/>
            <c:size val="7"/>
            <c:spPr>
              <a:solidFill>
                <a:schemeClr val="tx2">
                  <a:lumMod val="40000"/>
                  <a:lumOff val="60000"/>
                </a:schemeClr>
              </a:solidFill>
              <a:ln w="9525">
                <a:solidFill>
                  <a:schemeClr val="tx1">
                    <a:lumMod val="75000"/>
                    <a:lumOff val="25000"/>
                  </a:schemeClr>
                </a:solidFill>
              </a:ln>
              <a:effectLst/>
            </c:spPr>
          </c:marker>
          <c:dPt>
            <c:idx val="18"/>
            <c:marker>
              <c:symbol val="circle"/>
              <c:size val="7"/>
              <c:spPr>
                <a:solidFill>
                  <a:schemeClr val="tx2">
                    <a:lumMod val="40000"/>
                    <a:lumOff val="60000"/>
                  </a:schemeClr>
                </a:solidFill>
                <a:ln w="9525">
                  <a:solidFill>
                    <a:schemeClr val="tx1">
                      <a:lumMod val="75000"/>
                      <a:lumOff val="25000"/>
                    </a:schemeClr>
                  </a:solidFill>
                </a:ln>
                <a:effectLst/>
              </c:spPr>
            </c:marker>
            <c:bubble3D val="0"/>
            <c:spPr>
              <a:ln w="19050" cap="rnd">
                <a:noFill/>
                <a:prstDash val="sysDash"/>
                <a:round/>
              </a:ln>
              <a:effectLst/>
            </c:spPr>
            <c:extLst>
              <c:ext xmlns:c16="http://schemas.microsoft.com/office/drawing/2014/chart" uri="{C3380CC4-5D6E-409C-BE32-E72D297353CC}">
                <c16:uniqueId val="{00000002-0354-4D55-8EB0-C512F68D8C07}"/>
              </c:ext>
            </c:extLst>
          </c:dPt>
          <c:xVal>
            <c:numRef>
              <c:f>'Bakers Bridge'!$AE$6:$AE$32</c:f>
              <c:numCache>
                <c:formatCode>m/d/yy\ h:mm;@</c:formatCode>
                <c:ptCount val="27"/>
                <c:pt idx="0">
                  <c:v>42227.513888888891</c:v>
                </c:pt>
                <c:pt idx="1">
                  <c:v>42227.513888888891</c:v>
                </c:pt>
                <c:pt idx="2">
                  <c:v>42228.580555555556</c:v>
                </c:pt>
                <c:pt idx="3">
                  <c:v>42234.597222222219</c:v>
                </c:pt>
                <c:pt idx="4">
                  <c:v>42243.684027777781</c:v>
                </c:pt>
                <c:pt idx="5">
                  <c:v>42243.684027777781</c:v>
                </c:pt>
                <c:pt idx="6">
                  <c:v>42247.663194444445</c:v>
                </c:pt>
                <c:pt idx="7">
                  <c:v>42265.409722222219</c:v>
                </c:pt>
                <c:pt idx="8">
                  <c:v>42265.409722222219</c:v>
                </c:pt>
                <c:pt idx="9">
                  <c:v>42267.454861111109</c:v>
                </c:pt>
                <c:pt idx="10">
                  <c:v>42267.454861111109</c:v>
                </c:pt>
                <c:pt idx="11">
                  <c:v>42268.402777777781</c:v>
                </c:pt>
                <c:pt idx="12">
                  <c:v>42268.402777777781</c:v>
                </c:pt>
                <c:pt idx="13">
                  <c:v>42271.454861111109</c:v>
                </c:pt>
                <c:pt idx="14">
                  <c:v>42271.454861111109</c:v>
                </c:pt>
                <c:pt idx="15">
                  <c:v>42275.465277777781</c:v>
                </c:pt>
                <c:pt idx="16">
                  <c:v>42275.465277777781</c:v>
                </c:pt>
                <c:pt idx="17">
                  <c:v>42303.652083333334</c:v>
                </c:pt>
                <c:pt idx="18" formatCode="m/d/yyyy">
                  <c:v>42493.618055555555</c:v>
                </c:pt>
                <c:pt idx="19" formatCode="m/d/yyyy">
                  <c:v>42501.469444444447</c:v>
                </c:pt>
                <c:pt idx="20" formatCode="m/d/yyyy">
                  <c:v>42509.559027777781</c:v>
                </c:pt>
                <c:pt idx="21" formatCode="m/d/yyyy">
                  <c:v>42516.538194444445</c:v>
                </c:pt>
                <c:pt idx="22" formatCode="m/d/yyyy">
                  <c:v>42522.538194444445</c:v>
                </c:pt>
                <c:pt idx="23" formatCode="m/d/yyyy">
                  <c:v>42527.642361111109</c:v>
                </c:pt>
                <c:pt idx="24" formatCode="m/d/yyyy">
                  <c:v>42528.395833333336</c:v>
                </c:pt>
                <c:pt idx="25" formatCode="m/d/yyyy">
                  <c:v>42536.5625</c:v>
                </c:pt>
              </c:numCache>
            </c:numRef>
          </c:xVal>
          <c:yVal>
            <c:numRef>
              <c:f>'Bakers Bridge'!$AL$6:$AL$32</c:f>
              <c:numCache>
                <c:formatCode>General</c:formatCode>
                <c:ptCount val="27"/>
                <c:pt idx="0">
                  <c:v>738</c:v>
                </c:pt>
                <c:pt idx="1">
                  <c:v>738</c:v>
                </c:pt>
                <c:pt idx="2">
                  <c:v>580</c:v>
                </c:pt>
                <c:pt idx="3">
                  <c:v>370</c:v>
                </c:pt>
                <c:pt idx="4">
                  <c:v>1900</c:v>
                </c:pt>
                <c:pt idx="5">
                  <c:v>2200</c:v>
                </c:pt>
                <c:pt idx="6">
                  <c:v>1000</c:v>
                </c:pt>
                <c:pt idx="7">
                  <c:v>3300</c:v>
                </c:pt>
                <c:pt idx="8">
                  <c:v>3300</c:v>
                </c:pt>
                <c:pt idx="9">
                  <c:v>1500</c:v>
                </c:pt>
                <c:pt idx="10">
                  <c:v>1500</c:v>
                </c:pt>
                <c:pt idx="11">
                  <c:v>2100</c:v>
                </c:pt>
                <c:pt idx="12">
                  <c:v>2100</c:v>
                </c:pt>
                <c:pt idx="13">
                  <c:v>1400</c:v>
                </c:pt>
                <c:pt idx="14">
                  <c:v>1400</c:v>
                </c:pt>
                <c:pt idx="15">
                  <c:v>1300</c:v>
                </c:pt>
                <c:pt idx="16">
                  <c:v>1300</c:v>
                </c:pt>
                <c:pt idx="17">
                  <c:v>2800</c:v>
                </c:pt>
                <c:pt idx="18">
                  <c:v>5200</c:v>
                </c:pt>
                <c:pt idx="19">
                  <c:v>2200</c:v>
                </c:pt>
                <c:pt idx="20">
                  <c:v>1300</c:v>
                </c:pt>
                <c:pt idx="21">
                  <c:v>1100</c:v>
                </c:pt>
                <c:pt idx="22">
                  <c:v>1000</c:v>
                </c:pt>
                <c:pt idx="23">
                  <c:v>750</c:v>
                </c:pt>
                <c:pt idx="24">
                  <c:v>760</c:v>
                </c:pt>
                <c:pt idx="25">
                  <c:v>760</c:v>
                </c:pt>
              </c:numCache>
            </c:numRef>
          </c:yVal>
          <c:smooth val="0"/>
          <c:extLst>
            <c:ext xmlns:c16="http://schemas.microsoft.com/office/drawing/2014/chart" uri="{C3380CC4-5D6E-409C-BE32-E72D297353CC}">
              <c16:uniqueId val="{00000003-0354-4D55-8EB0-C512F68D8C07}"/>
            </c:ext>
          </c:extLst>
        </c:ser>
        <c:dLbls>
          <c:showLegendKey val="0"/>
          <c:showVal val="0"/>
          <c:showCatName val="0"/>
          <c:showSerName val="0"/>
          <c:showPercent val="0"/>
          <c:showBubbleSize val="0"/>
        </c:dLbls>
        <c:axId val="1026413672"/>
        <c:axId val="1026414064"/>
      </c:scatterChart>
      <c:valAx>
        <c:axId val="1026413672"/>
        <c:scaling>
          <c:orientation val="minMax"/>
          <c:max val="42550"/>
          <c:min val="42220"/>
        </c:scaling>
        <c:delete val="0"/>
        <c:axPos val="b"/>
        <c:majorGridlines>
          <c:spPr>
            <a:ln w="9525" cap="flat" cmpd="sng" algn="ctr">
              <a:noFill/>
              <a:round/>
            </a:ln>
            <a:effectLst/>
          </c:spPr>
        </c:majorGridlines>
        <c:numFmt formatCode="m/d/yy\ h:mm;@" sourceLinked="1"/>
        <c:majorTickMark val="out"/>
        <c:minorTickMark val="out"/>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1" i="0" u="none" strike="noStrike" kern="1200" baseline="0">
                <a:solidFill>
                  <a:sysClr val="windowText" lastClr="000000"/>
                </a:solidFill>
                <a:latin typeface="+mn-lt"/>
                <a:ea typeface="+mn-ea"/>
                <a:cs typeface="+mn-cs"/>
              </a:defRPr>
            </a:pPr>
            <a:endParaRPr lang="en-US"/>
          </a:p>
        </c:txPr>
        <c:crossAx val="1026414064"/>
        <c:crosses val="autoZero"/>
        <c:crossBetween val="midCat"/>
        <c:majorUnit val="30"/>
      </c:valAx>
      <c:valAx>
        <c:axId val="10264140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t> Concentration (mg/kg)</a:t>
                </a:r>
              </a:p>
            </c:rich>
          </c:tx>
          <c:layout>
            <c:manualLayout>
              <c:xMode val="edge"/>
              <c:yMode val="edge"/>
              <c:x val="3.2084171296769722E-2"/>
              <c:y val="0.22366688538932633"/>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26413672"/>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000" b="1">
          <a:solidFill>
            <a:sysClr val="windowText" lastClr="000000"/>
          </a:solidFill>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Bakers Bridge (RK 64) </a:t>
            </a:r>
          </a:p>
        </c:rich>
      </c:tx>
      <c:layout>
        <c:manualLayout>
          <c:xMode val="edge"/>
          <c:yMode val="edge"/>
          <c:x val="0.35872900262467189"/>
          <c:y val="2.160994424974697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9008639545056868"/>
          <c:y val="0.12813199558136196"/>
          <c:w val="0.70051159230096238"/>
          <c:h val="0.62611699589785397"/>
        </c:manualLayout>
      </c:layout>
      <c:scatterChart>
        <c:scatterStyle val="lineMarker"/>
        <c:varyColors val="0"/>
        <c:ser>
          <c:idx val="0"/>
          <c:order val="0"/>
          <c:tx>
            <c:strRef>
              <c:f>'Bakers Bridge'!$I$5</c:f>
              <c:strCache>
                <c:ptCount val="1"/>
                <c:pt idx="0">
                  <c:v>Zinc</c:v>
                </c:pt>
              </c:strCache>
            </c:strRef>
          </c:tx>
          <c:spPr>
            <a:ln w="12700" cap="rnd">
              <a:solidFill>
                <a:srgbClr val="350EA4"/>
              </a:solidFill>
              <a:prstDash val="sysDash"/>
              <a:round/>
            </a:ln>
            <a:effectLst/>
          </c:spPr>
          <c:marker>
            <c:symbol val="circle"/>
            <c:size val="8"/>
            <c:spPr>
              <a:solidFill>
                <a:srgbClr val="0033CC"/>
              </a:solidFill>
              <a:ln w="9525">
                <a:solidFill>
                  <a:srgbClr val="350EA4"/>
                </a:solidFill>
              </a:ln>
              <a:effectLst/>
            </c:spPr>
          </c:marker>
          <c:xVal>
            <c:numRef>
              <c:f>'Bakers Bridge'!$B$36:$B$43</c:f>
              <c:numCache>
                <c:formatCode>m/d/yy\ h:mm;@</c:formatCode>
                <c:ptCount val="8"/>
                <c:pt idx="0">
                  <c:v>42493.618055555555</c:v>
                </c:pt>
                <c:pt idx="1">
                  <c:v>42501.469444444447</c:v>
                </c:pt>
                <c:pt idx="2">
                  <c:v>42509.559027777781</c:v>
                </c:pt>
                <c:pt idx="3">
                  <c:v>42516.538194444445</c:v>
                </c:pt>
                <c:pt idx="4">
                  <c:v>42522.538194444445</c:v>
                </c:pt>
                <c:pt idx="5">
                  <c:v>42527.642361111109</c:v>
                </c:pt>
                <c:pt idx="6">
                  <c:v>42528.395833333336</c:v>
                </c:pt>
                <c:pt idx="7">
                  <c:v>42536.5625</c:v>
                </c:pt>
              </c:numCache>
            </c:numRef>
          </c:xVal>
          <c:yVal>
            <c:numRef>
              <c:f>'Bakers Bridge'!$I$36:$I$43</c:f>
              <c:numCache>
                <c:formatCode>General</c:formatCode>
                <c:ptCount val="8"/>
                <c:pt idx="0">
                  <c:v>5200</c:v>
                </c:pt>
                <c:pt idx="1">
                  <c:v>2200</c:v>
                </c:pt>
                <c:pt idx="2">
                  <c:v>1300</c:v>
                </c:pt>
                <c:pt idx="3">
                  <c:v>1100</c:v>
                </c:pt>
                <c:pt idx="4">
                  <c:v>1000</c:v>
                </c:pt>
                <c:pt idx="5">
                  <c:v>750</c:v>
                </c:pt>
                <c:pt idx="6">
                  <c:v>760</c:v>
                </c:pt>
                <c:pt idx="7">
                  <c:v>760</c:v>
                </c:pt>
              </c:numCache>
            </c:numRef>
          </c:yVal>
          <c:smooth val="0"/>
          <c:extLst>
            <c:ext xmlns:c16="http://schemas.microsoft.com/office/drawing/2014/chart" uri="{C3380CC4-5D6E-409C-BE32-E72D297353CC}">
              <c16:uniqueId val="{00000000-AA98-4A2F-B6BB-B6287D19A386}"/>
            </c:ext>
          </c:extLst>
        </c:ser>
        <c:ser>
          <c:idx val="1"/>
          <c:order val="1"/>
          <c:tx>
            <c:strRef>
              <c:f>'Bakers Bridge'!$G$5</c:f>
              <c:strCache>
                <c:ptCount val="1"/>
                <c:pt idx="0">
                  <c:v>Lead</c:v>
                </c:pt>
              </c:strCache>
            </c:strRef>
          </c:tx>
          <c:spPr>
            <a:ln w="12700" cap="rnd">
              <a:solidFill>
                <a:schemeClr val="tx1">
                  <a:lumMod val="65000"/>
                  <a:lumOff val="35000"/>
                </a:schemeClr>
              </a:solidFill>
              <a:prstDash val="sysDash"/>
              <a:round/>
            </a:ln>
            <a:effectLst/>
          </c:spPr>
          <c:marker>
            <c:symbol val="triangle"/>
            <c:size val="8"/>
            <c:spPr>
              <a:solidFill>
                <a:schemeClr val="accent2">
                  <a:lumMod val="60000"/>
                  <a:lumOff val="40000"/>
                </a:schemeClr>
              </a:solidFill>
              <a:ln w="9525">
                <a:solidFill>
                  <a:srgbClr val="350EA4"/>
                </a:solidFill>
              </a:ln>
              <a:effectLst/>
            </c:spPr>
          </c:marker>
          <c:xVal>
            <c:numRef>
              <c:f>'Bakers Bridge'!$B$36:$B$43</c:f>
              <c:numCache>
                <c:formatCode>m/d/yy\ h:mm;@</c:formatCode>
                <c:ptCount val="8"/>
                <c:pt idx="0">
                  <c:v>42493.618055555555</c:v>
                </c:pt>
                <c:pt idx="1">
                  <c:v>42501.469444444447</c:v>
                </c:pt>
                <c:pt idx="2">
                  <c:v>42509.559027777781</c:v>
                </c:pt>
                <c:pt idx="3">
                  <c:v>42516.538194444445</c:v>
                </c:pt>
                <c:pt idx="4">
                  <c:v>42522.538194444445</c:v>
                </c:pt>
                <c:pt idx="5">
                  <c:v>42527.642361111109</c:v>
                </c:pt>
                <c:pt idx="6">
                  <c:v>42528.395833333336</c:v>
                </c:pt>
                <c:pt idx="7">
                  <c:v>42536.5625</c:v>
                </c:pt>
              </c:numCache>
            </c:numRef>
          </c:xVal>
          <c:yVal>
            <c:numRef>
              <c:f>'Bakers Bridge'!$G$36:$G$43</c:f>
              <c:numCache>
                <c:formatCode>General</c:formatCode>
                <c:ptCount val="8"/>
                <c:pt idx="0">
                  <c:v>400</c:v>
                </c:pt>
                <c:pt idx="1">
                  <c:v>340</c:v>
                </c:pt>
                <c:pt idx="2">
                  <c:v>360</c:v>
                </c:pt>
                <c:pt idx="3">
                  <c:v>340</c:v>
                </c:pt>
                <c:pt idx="4">
                  <c:v>320</c:v>
                </c:pt>
                <c:pt idx="5">
                  <c:v>320</c:v>
                </c:pt>
                <c:pt idx="6">
                  <c:v>360</c:v>
                </c:pt>
                <c:pt idx="7">
                  <c:v>400</c:v>
                </c:pt>
              </c:numCache>
            </c:numRef>
          </c:yVal>
          <c:smooth val="0"/>
          <c:extLst>
            <c:ext xmlns:c16="http://schemas.microsoft.com/office/drawing/2014/chart" uri="{C3380CC4-5D6E-409C-BE32-E72D297353CC}">
              <c16:uniqueId val="{00000001-AA98-4A2F-B6BB-B6287D19A386}"/>
            </c:ext>
          </c:extLst>
        </c:ser>
        <c:dLbls>
          <c:showLegendKey val="0"/>
          <c:showVal val="0"/>
          <c:showCatName val="0"/>
          <c:showSerName val="0"/>
          <c:showPercent val="0"/>
          <c:showBubbleSize val="0"/>
        </c:dLbls>
        <c:axId val="1026421904"/>
        <c:axId val="1026422296"/>
      </c:scatterChart>
      <c:valAx>
        <c:axId val="1026421904"/>
        <c:scaling>
          <c:orientation val="minMax"/>
        </c:scaling>
        <c:delete val="0"/>
        <c:axPos val="b"/>
        <c:numFmt formatCode="m/d/yy\ h:mm;@" sourceLinked="1"/>
        <c:majorTickMark val="out"/>
        <c:minorTickMark val="out"/>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1050" b="1" i="0" u="none" strike="noStrike" kern="1200" baseline="0">
                <a:solidFill>
                  <a:sysClr val="windowText" lastClr="000000"/>
                </a:solidFill>
                <a:latin typeface="+mn-lt"/>
                <a:ea typeface="+mn-ea"/>
                <a:cs typeface="+mn-cs"/>
              </a:defRPr>
            </a:pPr>
            <a:endParaRPr lang="en-US"/>
          </a:p>
        </c:txPr>
        <c:crossAx val="1026422296"/>
        <c:crosses val="autoZero"/>
        <c:crossBetween val="midCat"/>
      </c:valAx>
      <c:valAx>
        <c:axId val="1026422296"/>
        <c:scaling>
          <c:orientation val="minMax"/>
          <c:max val="6000"/>
          <c:min val="0"/>
        </c:scaling>
        <c:delete val="0"/>
        <c:axPos val="l"/>
        <c:majorGridlines>
          <c:spPr>
            <a:ln w="9525" cap="flat" cmpd="sng" algn="ctr">
              <a:solidFill>
                <a:srgbClr val="E2E2E2"/>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Concentration (mg/kg)</a:t>
                </a:r>
              </a:p>
            </c:rich>
          </c:tx>
          <c:layout>
            <c:manualLayout>
              <c:xMode val="edge"/>
              <c:yMode val="edge"/>
              <c:x val="5.5555555555555558E-3"/>
              <c:y val="0.16501013115024118"/>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1026421904"/>
        <c:crosses val="autoZero"/>
        <c:crossBetween val="midCat"/>
        <c:minorUnit val="500"/>
      </c:valAx>
      <c:spPr>
        <a:noFill/>
        <a:ln>
          <a:solidFill>
            <a:schemeClr val="tx1">
              <a:lumMod val="50000"/>
              <a:lumOff val="50000"/>
            </a:schemeClr>
          </a:solidFill>
        </a:ln>
        <a:effectLst/>
      </c:spPr>
    </c:plotArea>
    <c:legend>
      <c:legendPos val="r"/>
      <c:layout>
        <c:manualLayout>
          <c:xMode val="edge"/>
          <c:yMode val="edge"/>
          <c:x val="0.59223162729658796"/>
          <c:y val="0.18763931607759432"/>
          <c:w val="0.23832392825896762"/>
          <c:h val="0.17440552234468237"/>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a:t>Bakers Bridge-- Zinc in Sediment</a:t>
            </a:r>
          </a:p>
        </c:rich>
      </c:tx>
      <c:layout>
        <c:manualLayout>
          <c:xMode val="edge"/>
          <c:yMode val="edge"/>
          <c:x val="0.26685664291963507"/>
          <c:y val="3.1921478565179351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8264648737089684"/>
          <c:y val="0.13901757072032661"/>
          <c:w val="0.71549624478758334"/>
          <c:h val="0.64321522309711288"/>
        </c:manualLayout>
      </c:layout>
      <c:scatterChart>
        <c:scatterStyle val="lineMarker"/>
        <c:varyColors val="0"/>
        <c:ser>
          <c:idx val="0"/>
          <c:order val="0"/>
          <c:tx>
            <c:v>Zinc</c:v>
          </c:tx>
          <c:spPr>
            <a:ln w="19050" cap="rnd">
              <a:solidFill>
                <a:schemeClr val="bg1">
                  <a:lumMod val="50000"/>
                </a:schemeClr>
              </a:solidFill>
              <a:prstDash val="sysDash"/>
              <a:round/>
            </a:ln>
            <a:effectLst/>
          </c:spPr>
          <c:marker>
            <c:symbol val="circle"/>
            <c:size val="7"/>
            <c:spPr>
              <a:solidFill>
                <a:schemeClr val="tx2">
                  <a:lumMod val="40000"/>
                  <a:lumOff val="60000"/>
                </a:schemeClr>
              </a:solidFill>
              <a:ln w="9525">
                <a:solidFill>
                  <a:schemeClr val="tx1">
                    <a:lumMod val="50000"/>
                    <a:lumOff val="50000"/>
                  </a:schemeClr>
                </a:solidFill>
              </a:ln>
              <a:effectLst/>
            </c:spPr>
          </c:marker>
          <c:xVal>
            <c:numRef>
              <c:f>'Bakers Bridge'!$B$6:$B$23</c:f>
              <c:numCache>
                <c:formatCode>m/d/yy\ h:mm;@</c:formatCode>
                <c:ptCount val="18"/>
                <c:pt idx="0">
                  <c:v>42227.513888888891</c:v>
                </c:pt>
                <c:pt idx="1">
                  <c:v>42227.513888888891</c:v>
                </c:pt>
                <c:pt idx="2">
                  <c:v>42228.580555555556</c:v>
                </c:pt>
                <c:pt idx="3">
                  <c:v>42234.597222222219</c:v>
                </c:pt>
                <c:pt idx="4">
                  <c:v>42243.684027777781</c:v>
                </c:pt>
                <c:pt idx="5">
                  <c:v>42243.684027777781</c:v>
                </c:pt>
                <c:pt idx="6">
                  <c:v>42247.663194444445</c:v>
                </c:pt>
                <c:pt idx="7">
                  <c:v>42265.409722222219</c:v>
                </c:pt>
                <c:pt idx="8">
                  <c:v>42265.409722222219</c:v>
                </c:pt>
                <c:pt idx="9">
                  <c:v>42267.454861111109</c:v>
                </c:pt>
                <c:pt idx="10">
                  <c:v>42267.454861111109</c:v>
                </c:pt>
                <c:pt idx="11">
                  <c:v>42268.402777777781</c:v>
                </c:pt>
                <c:pt idx="12">
                  <c:v>42268.402777777781</c:v>
                </c:pt>
                <c:pt idx="13">
                  <c:v>42271.454861111109</c:v>
                </c:pt>
                <c:pt idx="14">
                  <c:v>42271.454861111109</c:v>
                </c:pt>
                <c:pt idx="15">
                  <c:v>42275.465277777781</c:v>
                </c:pt>
                <c:pt idx="16">
                  <c:v>42275.465277777781</c:v>
                </c:pt>
                <c:pt idx="17">
                  <c:v>42303.652083333334</c:v>
                </c:pt>
              </c:numCache>
            </c:numRef>
          </c:xVal>
          <c:yVal>
            <c:numRef>
              <c:f>'Bakers Bridge'!$I$6:$I$23</c:f>
              <c:numCache>
                <c:formatCode>General</c:formatCode>
                <c:ptCount val="18"/>
                <c:pt idx="0">
                  <c:v>738</c:v>
                </c:pt>
                <c:pt idx="1">
                  <c:v>738</c:v>
                </c:pt>
                <c:pt idx="2">
                  <c:v>580</c:v>
                </c:pt>
                <c:pt idx="3">
                  <c:v>370</c:v>
                </c:pt>
                <c:pt idx="4">
                  <c:v>1900</c:v>
                </c:pt>
                <c:pt idx="5">
                  <c:v>2200</c:v>
                </c:pt>
                <c:pt idx="6">
                  <c:v>1000</c:v>
                </c:pt>
                <c:pt idx="7">
                  <c:v>3300</c:v>
                </c:pt>
                <c:pt idx="8">
                  <c:v>3300</c:v>
                </c:pt>
                <c:pt idx="9">
                  <c:v>1500</c:v>
                </c:pt>
                <c:pt idx="10">
                  <c:v>1500</c:v>
                </c:pt>
                <c:pt idx="11">
                  <c:v>2100</c:v>
                </c:pt>
                <c:pt idx="12">
                  <c:v>2100</c:v>
                </c:pt>
                <c:pt idx="13">
                  <c:v>1400</c:v>
                </c:pt>
                <c:pt idx="14">
                  <c:v>1400</c:v>
                </c:pt>
                <c:pt idx="15">
                  <c:v>1300</c:v>
                </c:pt>
                <c:pt idx="16">
                  <c:v>1300</c:v>
                </c:pt>
                <c:pt idx="17">
                  <c:v>2800</c:v>
                </c:pt>
              </c:numCache>
            </c:numRef>
          </c:yVal>
          <c:smooth val="0"/>
          <c:extLst>
            <c:ext xmlns:c16="http://schemas.microsoft.com/office/drawing/2014/chart" uri="{C3380CC4-5D6E-409C-BE32-E72D297353CC}">
              <c16:uniqueId val="{00000000-E130-4BA4-8020-762F8CA82694}"/>
            </c:ext>
          </c:extLst>
        </c:ser>
        <c:dLbls>
          <c:showLegendKey val="0"/>
          <c:showVal val="0"/>
          <c:showCatName val="0"/>
          <c:showSerName val="0"/>
          <c:showPercent val="0"/>
          <c:showBubbleSize val="0"/>
        </c:dLbls>
        <c:axId val="1026431312"/>
        <c:axId val="1026431704"/>
      </c:scatterChart>
      <c:valAx>
        <c:axId val="1026431312"/>
        <c:scaling>
          <c:orientation val="minMax"/>
          <c:max val="42325"/>
          <c:min val="42220"/>
        </c:scaling>
        <c:delete val="0"/>
        <c:axPos val="b"/>
        <c:majorGridlines>
          <c:spPr>
            <a:ln w="9525" cap="flat" cmpd="sng" algn="ctr">
              <a:noFill/>
              <a:round/>
            </a:ln>
            <a:effectLst/>
          </c:spPr>
        </c:majorGridlines>
        <c:numFmt formatCode="m/d/yy\ h:mm;@" sourceLinked="1"/>
        <c:majorTickMark val="out"/>
        <c:minorTickMark val="out"/>
        <c:tickLblPos val="nextTo"/>
        <c:spPr>
          <a:noFill/>
          <a:ln w="9525" cap="flat" cmpd="sng" algn="ctr">
            <a:solidFill>
              <a:schemeClr val="tx1">
                <a:lumMod val="25000"/>
                <a:lumOff val="75000"/>
              </a:schemeClr>
            </a:solidFill>
            <a:round/>
          </a:ln>
          <a:effectLst/>
        </c:spPr>
        <c:txPr>
          <a:bodyPr rot="2700000" spcFirstLastPara="1" vertOverflow="ellipsis"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026431704"/>
        <c:crosses val="autoZero"/>
        <c:crossBetween val="midCat"/>
        <c:majorUnit val="14"/>
        <c:minorUnit val="7"/>
      </c:valAx>
      <c:valAx>
        <c:axId val="102643170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a:t> Concentration mg/kg</a:t>
                </a:r>
              </a:p>
            </c:rich>
          </c:tx>
          <c:layout>
            <c:manualLayout>
              <c:xMode val="edge"/>
              <c:yMode val="edge"/>
              <c:x val="1.6674279351444707E-2"/>
              <c:y val="0.2050674394867308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crossAx val="1026431312"/>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000" b="1"/>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a:t>Bakers Bridge-- Copper in Sediment</a:t>
            </a:r>
          </a:p>
        </c:rich>
      </c:tx>
      <c:layout>
        <c:manualLayout>
          <c:xMode val="edge"/>
          <c:yMode val="edge"/>
          <c:x val="0.26685664291963507"/>
          <c:y val="3.1921478565179351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8264648737089684"/>
          <c:y val="0.13901757072032661"/>
          <c:w val="0.71549624478758334"/>
          <c:h val="0.64321522309711288"/>
        </c:manualLayout>
      </c:layout>
      <c:scatterChart>
        <c:scatterStyle val="lineMarker"/>
        <c:varyColors val="0"/>
        <c:ser>
          <c:idx val="0"/>
          <c:order val="0"/>
          <c:tx>
            <c:v>Copper</c:v>
          </c:tx>
          <c:spPr>
            <a:ln w="19050" cap="rnd">
              <a:solidFill>
                <a:schemeClr val="bg1">
                  <a:lumMod val="50000"/>
                </a:schemeClr>
              </a:solidFill>
              <a:prstDash val="sysDash"/>
              <a:round/>
            </a:ln>
            <a:effectLst/>
          </c:spPr>
          <c:marker>
            <c:symbol val="circle"/>
            <c:size val="7"/>
            <c:spPr>
              <a:solidFill>
                <a:schemeClr val="tx2">
                  <a:lumMod val="40000"/>
                  <a:lumOff val="60000"/>
                </a:schemeClr>
              </a:solidFill>
              <a:ln w="9525">
                <a:solidFill>
                  <a:schemeClr val="tx1"/>
                </a:solidFill>
              </a:ln>
              <a:effectLst/>
            </c:spPr>
          </c:marker>
          <c:xVal>
            <c:numRef>
              <c:f>'Bakers Bridge'!$B$6:$B$23</c:f>
              <c:numCache>
                <c:formatCode>m/d/yy\ h:mm;@</c:formatCode>
                <c:ptCount val="18"/>
                <c:pt idx="0">
                  <c:v>42227.513888888891</c:v>
                </c:pt>
                <c:pt idx="1">
                  <c:v>42227.513888888891</c:v>
                </c:pt>
                <c:pt idx="2">
                  <c:v>42228.580555555556</c:v>
                </c:pt>
                <c:pt idx="3">
                  <c:v>42234.597222222219</c:v>
                </c:pt>
                <c:pt idx="4">
                  <c:v>42243.684027777781</c:v>
                </c:pt>
                <c:pt idx="5">
                  <c:v>42243.684027777781</c:v>
                </c:pt>
                <c:pt idx="6">
                  <c:v>42247.663194444445</c:v>
                </c:pt>
                <c:pt idx="7">
                  <c:v>42265.409722222219</c:v>
                </c:pt>
                <c:pt idx="8">
                  <c:v>42265.409722222219</c:v>
                </c:pt>
                <c:pt idx="9">
                  <c:v>42267.454861111109</c:v>
                </c:pt>
                <c:pt idx="10">
                  <c:v>42267.454861111109</c:v>
                </c:pt>
                <c:pt idx="11">
                  <c:v>42268.402777777781</c:v>
                </c:pt>
                <c:pt idx="12">
                  <c:v>42268.402777777781</c:v>
                </c:pt>
                <c:pt idx="13">
                  <c:v>42271.454861111109</c:v>
                </c:pt>
                <c:pt idx="14">
                  <c:v>42271.454861111109</c:v>
                </c:pt>
                <c:pt idx="15">
                  <c:v>42275.465277777781</c:v>
                </c:pt>
                <c:pt idx="16">
                  <c:v>42275.465277777781</c:v>
                </c:pt>
                <c:pt idx="17">
                  <c:v>42303.652083333334</c:v>
                </c:pt>
              </c:numCache>
            </c:numRef>
          </c:xVal>
          <c:yVal>
            <c:numRef>
              <c:f>'Bakers Bridge'!$E$6:$E$23</c:f>
              <c:numCache>
                <c:formatCode>General</c:formatCode>
                <c:ptCount val="18"/>
                <c:pt idx="0">
                  <c:v>118</c:v>
                </c:pt>
                <c:pt idx="1">
                  <c:v>118</c:v>
                </c:pt>
                <c:pt idx="2">
                  <c:v>92</c:v>
                </c:pt>
                <c:pt idx="3">
                  <c:v>490</c:v>
                </c:pt>
                <c:pt idx="4">
                  <c:v>200</c:v>
                </c:pt>
                <c:pt idx="5">
                  <c:v>210</c:v>
                </c:pt>
                <c:pt idx="6">
                  <c:v>100</c:v>
                </c:pt>
                <c:pt idx="7">
                  <c:v>190</c:v>
                </c:pt>
                <c:pt idx="8">
                  <c:v>190</c:v>
                </c:pt>
                <c:pt idx="9">
                  <c:v>120</c:v>
                </c:pt>
                <c:pt idx="10">
                  <c:v>120</c:v>
                </c:pt>
                <c:pt idx="11">
                  <c:v>100</c:v>
                </c:pt>
                <c:pt idx="12">
                  <c:v>100</c:v>
                </c:pt>
                <c:pt idx="13">
                  <c:v>140</c:v>
                </c:pt>
                <c:pt idx="14">
                  <c:v>140</c:v>
                </c:pt>
                <c:pt idx="15">
                  <c:v>100</c:v>
                </c:pt>
                <c:pt idx="16">
                  <c:v>100</c:v>
                </c:pt>
                <c:pt idx="17">
                  <c:v>78</c:v>
                </c:pt>
              </c:numCache>
            </c:numRef>
          </c:yVal>
          <c:smooth val="0"/>
          <c:extLst>
            <c:ext xmlns:c16="http://schemas.microsoft.com/office/drawing/2014/chart" uri="{C3380CC4-5D6E-409C-BE32-E72D297353CC}">
              <c16:uniqueId val="{00000000-C84F-4D44-8297-71A27C178C7F}"/>
            </c:ext>
          </c:extLst>
        </c:ser>
        <c:dLbls>
          <c:showLegendKey val="0"/>
          <c:showVal val="0"/>
          <c:showCatName val="0"/>
          <c:showSerName val="0"/>
          <c:showPercent val="0"/>
          <c:showBubbleSize val="0"/>
        </c:dLbls>
        <c:axId val="1026433664"/>
        <c:axId val="1026434056"/>
      </c:scatterChart>
      <c:valAx>
        <c:axId val="1026433664"/>
        <c:scaling>
          <c:orientation val="minMax"/>
          <c:max val="42325"/>
          <c:min val="42220"/>
        </c:scaling>
        <c:delete val="0"/>
        <c:axPos val="b"/>
        <c:majorGridlines>
          <c:spPr>
            <a:ln w="9525" cap="flat" cmpd="sng" algn="ctr">
              <a:noFill/>
              <a:round/>
            </a:ln>
            <a:effectLst/>
          </c:spPr>
        </c:majorGridlines>
        <c:numFmt formatCode="m/d/yy\ h:mm;@" sourceLinked="1"/>
        <c:majorTickMark val="out"/>
        <c:minorTickMark val="out"/>
        <c:tickLblPos val="nextTo"/>
        <c:spPr>
          <a:noFill/>
          <a:ln w="9525" cap="flat" cmpd="sng" algn="ctr">
            <a:solidFill>
              <a:schemeClr val="tx1">
                <a:lumMod val="25000"/>
                <a:lumOff val="75000"/>
              </a:schemeClr>
            </a:solidFill>
            <a:round/>
          </a:ln>
          <a:effectLst/>
        </c:spPr>
        <c:txPr>
          <a:bodyPr rot="2700000" spcFirstLastPara="1" vertOverflow="ellipsis"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026434056"/>
        <c:crosses val="autoZero"/>
        <c:crossBetween val="midCat"/>
        <c:majorUnit val="28.014000000000003"/>
        <c:minorUnit val="7"/>
      </c:valAx>
      <c:valAx>
        <c:axId val="10264340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a:t> Concentration mg/kg</a:t>
                </a:r>
              </a:p>
            </c:rich>
          </c:tx>
          <c:layout>
            <c:manualLayout>
              <c:xMode val="edge"/>
              <c:yMode val="edge"/>
              <c:x val="1.6674279351444707E-2"/>
              <c:y val="0.2050674394867308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crossAx val="1026433664"/>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000" b="1"/>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Animas River At Durango RK 88-103  </a:t>
            </a:r>
            <a:br>
              <a:rPr lang="en-US" sz="1100"/>
            </a:br>
            <a:r>
              <a:rPr lang="en-US" sz="1100"/>
              <a:t>Aluminum</a:t>
            </a:r>
          </a:p>
        </c:rich>
      </c:tx>
      <c:layout>
        <c:manualLayout>
          <c:xMode val="edge"/>
          <c:yMode val="edge"/>
          <c:x val="0.28769732550554467"/>
          <c:y val="2.7210884353741496E-2"/>
        </c:manualLayout>
      </c:layout>
      <c:overlay val="0"/>
      <c:spPr>
        <a:noFill/>
        <a:ln>
          <a:noFill/>
        </a:ln>
        <a:effectLst/>
      </c:spPr>
    </c:title>
    <c:autoTitleDeleted val="0"/>
    <c:plotArea>
      <c:layout>
        <c:manualLayout>
          <c:layoutTarget val="inner"/>
          <c:xMode val="edge"/>
          <c:yMode val="edge"/>
          <c:x val="0.21219091034673296"/>
          <c:y val="0.20383237809559521"/>
          <c:w val="0.66766887691670118"/>
          <c:h val="0.57840055707322302"/>
        </c:manualLayout>
      </c:layout>
      <c:scatterChart>
        <c:scatterStyle val="lineMarker"/>
        <c:varyColors val="0"/>
        <c:ser>
          <c:idx val="0"/>
          <c:order val="0"/>
          <c:spPr>
            <a:ln w="19050" cap="rnd">
              <a:solidFill>
                <a:schemeClr val="tx1">
                  <a:lumMod val="50000"/>
                  <a:lumOff val="50000"/>
                </a:schemeClr>
              </a:solidFill>
              <a:prstDash val="sysDash"/>
              <a:round/>
            </a:ln>
            <a:effectLst/>
          </c:spPr>
          <c:marker>
            <c:symbol val="circle"/>
            <c:size val="7"/>
            <c:spPr>
              <a:solidFill>
                <a:schemeClr val="tx2">
                  <a:lumMod val="20000"/>
                  <a:lumOff val="80000"/>
                </a:schemeClr>
              </a:solidFill>
              <a:ln w="9525">
                <a:solidFill>
                  <a:schemeClr val="tx1"/>
                </a:solidFill>
              </a:ln>
              <a:effectLst/>
            </c:spPr>
          </c:marker>
          <c:dPt>
            <c:idx val="69"/>
            <c:bubble3D val="0"/>
            <c:spPr>
              <a:ln w="19050" cap="rnd">
                <a:noFill/>
                <a:prstDash val="sysDash"/>
                <a:round/>
              </a:ln>
              <a:effectLst/>
            </c:spPr>
            <c:extLst>
              <c:ext xmlns:c16="http://schemas.microsoft.com/office/drawing/2014/chart" uri="{C3380CC4-5D6E-409C-BE32-E72D297353CC}">
                <c16:uniqueId val="{00000000-64EF-4A56-B6F8-CB3F9EEBD1F1}"/>
              </c:ext>
            </c:extLst>
          </c:dPt>
          <c:xVal>
            <c:numRef>
              <c:f>Durango!$C$4:$C$79</c:f>
              <c:numCache>
                <c:formatCode>m/d/yyyy</c:formatCode>
                <c:ptCount val="76"/>
                <c:pt idx="0">
                  <c:v>42227</c:v>
                </c:pt>
                <c:pt idx="1">
                  <c:v>42227.419444444444</c:v>
                </c:pt>
                <c:pt idx="2">
                  <c:v>42227.42083333333</c:v>
                </c:pt>
                <c:pt idx="3">
                  <c:v>42227.449305555558</c:v>
                </c:pt>
                <c:pt idx="4">
                  <c:v>42227.449305555558</c:v>
                </c:pt>
                <c:pt idx="5">
                  <c:v>42227.456250000003</c:v>
                </c:pt>
                <c:pt idx="6">
                  <c:v>42227.526388888888</c:v>
                </c:pt>
                <c:pt idx="7">
                  <c:v>42227.590277777781</c:v>
                </c:pt>
                <c:pt idx="8">
                  <c:v>42227.597222222219</c:v>
                </c:pt>
                <c:pt idx="9">
                  <c:v>42227.611111111109</c:v>
                </c:pt>
                <c:pt idx="10">
                  <c:v>42227.62222222222</c:v>
                </c:pt>
                <c:pt idx="11">
                  <c:v>42227.651388888888</c:v>
                </c:pt>
                <c:pt idx="12">
                  <c:v>42227.695138888892</c:v>
                </c:pt>
                <c:pt idx="13">
                  <c:v>42227.708333333336</c:v>
                </c:pt>
                <c:pt idx="14">
                  <c:v>42227.76666666667</c:v>
                </c:pt>
                <c:pt idx="15">
                  <c:v>42229.395833333336</c:v>
                </c:pt>
                <c:pt idx="16">
                  <c:v>42229.409722222219</c:v>
                </c:pt>
                <c:pt idx="17">
                  <c:v>42229.434027777781</c:v>
                </c:pt>
                <c:pt idx="18">
                  <c:v>42229.444444444445</c:v>
                </c:pt>
                <c:pt idx="19">
                  <c:v>42229.479166666664</c:v>
                </c:pt>
                <c:pt idx="20">
                  <c:v>42229.5</c:v>
                </c:pt>
                <c:pt idx="21">
                  <c:v>42229.527777777781</c:v>
                </c:pt>
                <c:pt idx="22">
                  <c:v>42229.545138888891</c:v>
                </c:pt>
                <c:pt idx="23">
                  <c:v>42229.579861111109</c:v>
                </c:pt>
                <c:pt idx="24">
                  <c:v>42229.590277777781</c:v>
                </c:pt>
                <c:pt idx="25">
                  <c:v>42229.600694444445</c:v>
                </c:pt>
                <c:pt idx="26">
                  <c:v>42230.319444444445</c:v>
                </c:pt>
                <c:pt idx="27">
                  <c:v>42230.326388888891</c:v>
                </c:pt>
                <c:pt idx="28">
                  <c:v>42230.527777777781</c:v>
                </c:pt>
                <c:pt idx="29">
                  <c:v>42243.371527777781</c:v>
                </c:pt>
                <c:pt idx="30">
                  <c:v>42243.385416666664</c:v>
                </c:pt>
                <c:pt idx="31">
                  <c:v>42243.402777777781</c:v>
                </c:pt>
                <c:pt idx="32">
                  <c:v>42244.350694444445</c:v>
                </c:pt>
                <c:pt idx="33">
                  <c:v>42244.375</c:v>
                </c:pt>
                <c:pt idx="34">
                  <c:v>42244.409722222219</c:v>
                </c:pt>
                <c:pt idx="35">
                  <c:v>42244.409722222219</c:v>
                </c:pt>
                <c:pt idx="36">
                  <c:v>42248.350694444445</c:v>
                </c:pt>
                <c:pt idx="37">
                  <c:v>42248.350694444445</c:v>
                </c:pt>
                <c:pt idx="38">
                  <c:v>42248.371527777781</c:v>
                </c:pt>
                <c:pt idx="39">
                  <c:v>42248.388888888891</c:v>
                </c:pt>
                <c:pt idx="40">
                  <c:v>42264.347222222219</c:v>
                </c:pt>
                <c:pt idx="41">
                  <c:v>42264.364583333336</c:v>
                </c:pt>
                <c:pt idx="42">
                  <c:v>42264.385416666664</c:v>
                </c:pt>
                <c:pt idx="43">
                  <c:v>42265.350694444445</c:v>
                </c:pt>
                <c:pt idx="44">
                  <c:v>42265.368055555555</c:v>
                </c:pt>
                <c:pt idx="45">
                  <c:v>42265.385416666664</c:v>
                </c:pt>
                <c:pt idx="46">
                  <c:v>42265.385416666664</c:v>
                </c:pt>
                <c:pt idx="47">
                  <c:v>42267.375</c:v>
                </c:pt>
                <c:pt idx="48">
                  <c:v>42267.395833333336</c:v>
                </c:pt>
                <c:pt idx="49">
                  <c:v>42267.416666666664</c:v>
                </c:pt>
                <c:pt idx="50">
                  <c:v>42267.416666666664</c:v>
                </c:pt>
                <c:pt idx="51">
                  <c:v>42268.340277777781</c:v>
                </c:pt>
                <c:pt idx="52">
                  <c:v>42268.357638888891</c:v>
                </c:pt>
                <c:pt idx="53">
                  <c:v>42268.378472222219</c:v>
                </c:pt>
                <c:pt idx="54">
                  <c:v>42271.378472222219</c:v>
                </c:pt>
                <c:pt idx="55">
                  <c:v>42271.402777777781</c:v>
                </c:pt>
                <c:pt idx="56">
                  <c:v>42271.430555555555</c:v>
                </c:pt>
                <c:pt idx="57">
                  <c:v>42275.361111111109</c:v>
                </c:pt>
                <c:pt idx="58">
                  <c:v>42275.385416666664</c:v>
                </c:pt>
                <c:pt idx="59">
                  <c:v>42275.416666666664</c:v>
                </c:pt>
                <c:pt idx="60">
                  <c:v>42275.416666666664</c:v>
                </c:pt>
                <c:pt idx="61">
                  <c:v>42278.395833333336</c:v>
                </c:pt>
                <c:pt idx="62">
                  <c:v>42278.4375</c:v>
                </c:pt>
                <c:pt idx="63">
                  <c:v>42278.458333333336</c:v>
                </c:pt>
                <c:pt idx="64">
                  <c:v>42304.363194444442</c:v>
                </c:pt>
                <c:pt idx="65">
                  <c:v>42304.467361111114</c:v>
                </c:pt>
                <c:pt idx="66">
                  <c:v>42304.491666666669</c:v>
                </c:pt>
                <c:pt idx="67">
                  <c:v>42304.574305555558</c:v>
                </c:pt>
                <c:pt idx="68">
                  <c:v>42305.620138888888</c:v>
                </c:pt>
                <c:pt idx="69">
                  <c:v>42493</c:v>
                </c:pt>
                <c:pt idx="70">
                  <c:v>42501</c:v>
                </c:pt>
                <c:pt idx="71">
                  <c:v>42509</c:v>
                </c:pt>
                <c:pt idx="72">
                  <c:v>42516</c:v>
                </c:pt>
                <c:pt idx="73">
                  <c:v>42522</c:v>
                </c:pt>
                <c:pt idx="74">
                  <c:v>42528</c:v>
                </c:pt>
                <c:pt idx="75">
                  <c:v>42536</c:v>
                </c:pt>
              </c:numCache>
            </c:numRef>
          </c:xVal>
          <c:yVal>
            <c:numRef>
              <c:f>Durango!$D$4:$D$79</c:f>
              <c:numCache>
                <c:formatCode>General</c:formatCode>
                <c:ptCount val="76"/>
                <c:pt idx="0">
                  <c:v>6700</c:v>
                </c:pt>
                <c:pt idx="1">
                  <c:v>4600</c:v>
                </c:pt>
                <c:pt idx="2">
                  <c:v>4790</c:v>
                </c:pt>
                <c:pt idx="3">
                  <c:v>3720</c:v>
                </c:pt>
                <c:pt idx="4">
                  <c:v>5400</c:v>
                </c:pt>
                <c:pt idx="5">
                  <c:v>4390</c:v>
                </c:pt>
                <c:pt idx="6">
                  <c:v>6070</c:v>
                </c:pt>
                <c:pt idx="7">
                  <c:v>4400</c:v>
                </c:pt>
                <c:pt idx="8">
                  <c:v>5360</c:v>
                </c:pt>
                <c:pt idx="9">
                  <c:v>4400</c:v>
                </c:pt>
                <c:pt idx="10">
                  <c:v>5090</c:v>
                </c:pt>
                <c:pt idx="11">
                  <c:v>8930</c:v>
                </c:pt>
                <c:pt idx="12">
                  <c:v>5700</c:v>
                </c:pt>
                <c:pt idx="13">
                  <c:v>4730</c:v>
                </c:pt>
                <c:pt idx="14">
                  <c:v>4530</c:v>
                </c:pt>
                <c:pt idx="15">
                  <c:v>4600</c:v>
                </c:pt>
                <c:pt idx="16">
                  <c:v>4800</c:v>
                </c:pt>
                <c:pt idx="17">
                  <c:v>7100</c:v>
                </c:pt>
                <c:pt idx="18">
                  <c:v>8400</c:v>
                </c:pt>
                <c:pt idx="19">
                  <c:v>6500</c:v>
                </c:pt>
                <c:pt idx="20">
                  <c:v>5200</c:v>
                </c:pt>
                <c:pt idx="21">
                  <c:v>18000</c:v>
                </c:pt>
                <c:pt idx="22">
                  <c:v>7600</c:v>
                </c:pt>
                <c:pt idx="23">
                  <c:v>11000</c:v>
                </c:pt>
                <c:pt idx="24">
                  <c:v>8900</c:v>
                </c:pt>
                <c:pt idx="25">
                  <c:v>9900</c:v>
                </c:pt>
                <c:pt idx="26">
                  <c:v>6000</c:v>
                </c:pt>
                <c:pt idx="27">
                  <c:v>13000</c:v>
                </c:pt>
                <c:pt idx="28">
                  <c:v>5100</c:v>
                </c:pt>
                <c:pt idx="29">
                  <c:v>5200</c:v>
                </c:pt>
                <c:pt idx="30">
                  <c:v>6100</c:v>
                </c:pt>
                <c:pt idx="31">
                  <c:v>7100</c:v>
                </c:pt>
                <c:pt idx="32">
                  <c:v>5200</c:v>
                </c:pt>
                <c:pt idx="33">
                  <c:v>5700</c:v>
                </c:pt>
                <c:pt idx="34">
                  <c:v>5700</c:v>
                </c:pt>
                <c:pt idx="35">
                  <c:v>6200</c:v>
                </c:pt>
                <c:pt idx="36">
                  <c:v>5400</c:v>
                </c:pt>
                <c:pt idx="37">
                  <c:v>6100</c:v>
                </c:pt>
                <c:pt idx="38">
                  <c:v>5300</c:v>
                </c:pt>
                <c:pt idx="39">
                  <c:v>7400</c:v>
                </c:pt>
                <c:pt idx="40">
                  <c:v>5800</c:v>
                </c:pt>
                <c:pt idx="41">
                  <c:v>5800</c:v>
                </c:pt>
                <c:pt idx="42">
                  <c:v>6000</c:v>
                </c:pt>
                <c:pt idx="43">
                  <c:v>7600</c:v>
                </c:pt>
                <c:pt idx="44">
                  <c:v>8900</c:v>
                </c:pt>
                <c:pt idx="45">
                  <c:v>7000</c:v>
                </c:pt>
                <c:pt idx="46">
                  <c:v>7000</c:v>
                </c:pt>
                <c:pt idx="47">
                  <c:v>10000</c:v>
                </c:pt>
                <c:pt idx="48">
                  <c:v>8100</c:v>
                </c:pt>
                <c:pt idx="49">
                  <c:v>5700</c:v>
                </c:pt>
                <c:pt idx="50">
                  <c:v>5800</c:v>
                </c:pt>
                <c:pt idx="51">
                  <c:v>8200</c:v>
                </c:pt>
                <c:pt idx="52">
                  <c:v>3500</c:v>
                </c:pt>
                <c:pt idx="53">
                  <c:v>5200</c:v>
                </c:pt>
                <c:pt idx="54">
                  <c:v>6900</c:v>
                </c:pt>
                <c:pt idx="55">
                  <c:v>6200</c:v>
                </c:pt>
                <c:pt idx="56">
                  <c:v>5100</c:v>
                </c:pt>
                <c:pt idx="57">
                  <c:v>9100</c:v>
                </c:pt>
                <c:pt idx="58">
                  <c:v>5600</c:v>
                </c:pt>
                <c:pt idx="59">
                  <c:v>4300</c:v>
                </c:pt>
                <c:pt idx="60">
                  <c:v>5200</c:v>
                </c:pt>
                <c:pt idx="61">
                  <c:v>5000</c:v>
                </c:pt>
                <c:pt idx="62">
                  <c:v>8100</c:v>
                </c:pt>
                <c:pt idx="63">
                  <c:v>5600</c:v>
                </c:pt>
                <c:pt idx="64">
                  <c:v>7700</c:v>
                </c:pt>
                <c:pt idx="65">
                  <c:v>6400</c:v>
                </c:pt>
                <c:pt idx="66">
                  <c:v>8000</c:v>
                </c:pt>
                <c:pt idx="67">
                  <c:v>5700</c:v>
                </c:pt>
                <c:pt idx="68">
                  <c:v>8300</c:v>
                </c:pt>
                <c:pt idx="69">
                  <c:v>5800</c:v>
                </c:pt>
                <c:pt idx="70">
                  <c:v>4800</c:v>
                </c:pt>
                <c:pt idx="71">
                  <c:v>7600</c:v>
                </c:pt>
                <c:pt idx="72">
                  <c:v>8300</c:v>
                </c:pt>
                <c:pt idx="73">
                  <c:v>7100</c:v>
                </c:pt>
                <c:pt idx="74">
                  <c:v>4600</c:v>
                </c:pt>
                <c:pt idx="75">
                  <c:v>4200</c:v>
                </c:pt>
              </c:numCache>
            </c:numRef>
          </c:yVal>
          <c:smooth val="0"/>
          <c:extLst>
            <c:ext xmlns:c16="http://schemas.microsoft.com/office/drawing/2014/chart" uri="{C3380CC4-5D6E-409C-BE32-E72D297353CC}">
              <c16:uniqueId val="{00000002-DCAC-48E6-AB00-A257468ACB4C}"/>
            </c:ext>
          </c:extLst>
        </c:ser>
        <c:dLbls>
          <c:showLegendKey val="0"/>
          <c:showVal val="0"/>
          <c:showCatName val="0"/>
          <c:showSerName val="0"/>
          <c:showPercent val="0"/>
          <c:showBubbleSize val="0"/>
        </c:dLbls>
        <c:axId val="1155231504"/>
        <c:axId val="1155231896"/>
      </c:scatterChart>
      <c:valAx>
        <c:axId val="1155231504"/>
        <c:scaling>
          <c:orientation val="minMax"/>
          <c:max val="42550"/>
          <c:min val="42220"/>
        </c:scaling>
        <c:delete val="0"/>
        <c:axPos val="b"/>
        <c:majorGridlines>
          <c:spPr>
            <a:ln w="9525" cap="flat" cmpd="sng" algn="ctr">
              <a:noFill/>
              <a:round/>
            </a:ln>
            <a:effectLst/>
          </c:spPr>
        </c:majorGridlines>
        <c:numFmt formatCode="m/d/yyyy" sourceLinked="1"/>
        <c:majorTickMark val="out"/>
        <c:minorTickMark val="out"/>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55231896"/>
        <c:crosses val="autoZero"/>
        <c:crossBetween val="midCat"/>
        <c:majorUnit val="28"/>
        <c:minorUnit val="7"/>
      </c:valAx>
      <c:valAx>
        <c:axId val="11552318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sz="1000"/>
                  <a:t>Sediment Concentration</a:t>
                </a:r>
                <a:r>
                  <a:rPr lang="en-US" sz="1000" baseline="0"/>
                  <a:t> (</a:t>
                </a:r>
                <a:r>
                  <a:rPr lang="en-US" sz="1000"/>
                  <a:t>mg/kg)</a:t>
                </a:r>
              </a:p>
            </c:rich>
          </c:tx>
          <c:layout>
            <c:manualLayout>
              <c:xMode val="edge"/>
              <c:yMode val="edge"/>
              <c:x val="3.9085398315981269E-2"/>
              <c:y val="0.15025407538343422"/>
            </c:manualLayout>
          </c:layout>
          <c:overlay val="0"/>
          <c:spPr>
            <a:noFill/>
            <a:ln>
              <a:noFill/>
            </a:ln>
            <a:effectLst/>
          </c:sp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crossAx val="1155231504"/>
        <c:crosses val="autoZero"/>
        <c:crossBetween val="midCat"/>
        <c:majorUnit val="5000"/>
        <c:minorUnit val="1000"/>
      </c:valAx>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1"/>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Animas River At Durango RK 88-103  </a:t>
            </a:r>
            <a:br>
              <a:rPr lang="en-US" sz="1100"/>
            </a:br>
            <a:r>
              <a:rPr lang="en-US" sz="1100"/>
              <a:t>Lead</a:t>
            </a:r>
          </a:p>
        </c:rich>
      </c:tx>
      <c:layout>
        <c:manualLayout>
          <c:xMode val="edge"/>
          <c:yMode val="edge"/>
          <c:x val="0.28769732550554467"/>
          <c:y val="2.7210884353741496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248331835645471"/>
          <c:y val="0.20383237809559521"/>
          <c:w val="0.7173764360540521"/>
          <c:h val="0.57840055707322302"/>
        </c:manualLayout>
      </c:layout>
      <c:scatterChart>
        <c:scatterStyle val="lineMarker"/>
        <c:varyColors val="0"/>
        <c:ser>
          <c:idx val="0"/>
          <c:order val="0"/>
          <c:spPr>
            <a:ln w="19050" cap="rnd">
              <a:solidFill>
                <a:schemeClr val="tx1">
                  <a:lumMod val="50000"/>
                  <a:lumOff val="50000"/>
                </a:schemeClr>
              </a:solidFill>
              <a:prstDash val="sysDash"/>
              <a:round/>
            </a:ln>
            <a:effectLst/>
          </c:spPr>
          <c:marker>
            <c:symbol val="circle"/>
            <c:size val="7"/>
            <c:spPr>
              <a:solidFill>
                <a:schemeClr val="tx2">
                  <a:lumMod val="20000"/>
                  <a:lumOff val="80000"/>
                </a:schemeClr>
              </a:solidFill>
              <a:ln w="9525">
                <a:solidFill>
                  <a:schemeClr val="tx1"/>
                </a:solidFill>
              </a:ln>
              <a:effectLst/>
            </c:spPr>
          </c:marker>
          <c:dPt>
            <c:idx val="68"/>
            <c:marker>
              <c:symbol val="circle"/>
              <c:size val="7"/>
              <c:spPr>
                <a:solidFill>
                  <a:schemeClr val="tx2">
                    <a:lumMod val="20000"/>
                    <a:lumOff val="80000"/>
                  </a:schemeClr>
                </a:solidFill>
                <a:ln w="9525">
                  <a:solidFill>
                    <a:schemeClr val="tx1"/>
                  </a:solidFill>
                </a:ln>
                <a:effectLst/>
              </c:spPr>
            </c:marker>
            <c:bubble3D val="0"/>
            <c:spPr>
              <a:ln w="19050" cap="rnd">
                <a:noFill/>
                <a:prstDash val="sysDash"/>
                <a:round/>
              </a:ln>
              <a:effectLst/>
            </c:spPr>
            <c:extLst>
              <c:ext xmlns:c16="http://schemas.microsoft.com/office/drawing/2014/chart" uri="{C3380CC4-5D6E-409C-BE32-E72D297353CC}">
                <c16:uniqueId val="{00000000-8B25-40F3-BE63-7CA5E87D4728}"/>
              </c:ext>
            </c:extLst>
          </c:dPt>
          <c:xVal>
            <c:numRef>
              <c:f>Durango!$C$5:$C$79</c:f>
              <c:numCache>
                <c:formatCode>m/d/yyyy</c:formatCode>
                <c:ptCount val="75"/>
                <c:pt idx="0">
                  <c:v>42227.419444444444</c:v>
                </c:pt>
                <c:pt idx="1">
                  <c:v>42227.42083333333</c:v>
                </c:pt>
                <c:pt idx="2">
                  <c:v>42227.449305555558</c:v>
                </c:pt>
                <c:pt idx="3">
                  <c:v>42227.449305555558</c:v>
                </c:pt>
                <c:pt idx="4">
                  <c:v>42227.456250000003</c:v>
                </c:pt>
                <c:pt idx="5">
                  <c:v>42227.526388888888</c:v>
                </c:pt>
                <c:pt idx="6">
                  <c:v>42227.590277777781</c:v>
                </c:pt>
                <c:pt idx="7">
                  <c:v>42227.597222222219</c:v>
                </c:pt>
                <c:pt idx="8">
                  <c:v>42227.611111111109</c:v>
                </c:pt>
                <c:pt idx="9">
                  <c:v>42227.62222222222</c:v>
                </c:pt>
                <c:pt idx="10">
                  <c:v>42227.651388888888</c:v>
                </c:pt>
                <c:pt idx="11">
                  <c:v>42227.695138888892</c:v>
                </c:pt>
                <c:pt idx="12">
                  <c:v>42227.708333333336</c:v>
                </c:pt>
                <c:pt idx="13">
                  <c:v>42227.76666666667</c:v>
                </c:pt>
                <c:pt idx="14">
                  <c:v>42229.395833333336</c:v>
                </c:pt>
                <c:pt idx="15">
                  <c:v>42229.409722222219</c:v>
                </c:pt>
                <c:pt idx="16">
                  <c:v>42229.434027777781</c:v>
                </c:pt>
                <c:pt idx="17">
                  <c:v>42229.444444444445</c:v>
                </c:pt>
                <c:pt idx="18">
                  <c:v>42229.479166666664</c:v>
                </c:pt>
                <c:pt idx="19">
                  <c:v>42229.5</c:v>
                </c:pt>
                <c:pt idx="20">
                  <c:v>42229.527777777781</c:v>
                </c:pt>
                <c:pt idx="21">
                  <c:v>42229.545138888891</c:v>
                </c:pt>
                <c:pt idx="22">
                  <c:v>42229.579861111109</c:v>
                </c:pt>
                <c:pt idx="23">
                  <c:v>42229.590277777781</c:v>
                </c:pt>
                <c:pt idx="24">
                  <c:v>42229.600694444445</c:v>
                </c:pt>
                <c:pt idx="25">
                  <c:v>42230.319444444445</c:v>
                </c:pt>
                <c:pt idx="26">
                  <c:v>42230.326388888891</c:v>
                </c:pt>
                <c:pt idx="27">
                  <c:v>42230.527777777781</c:v>
                </c:pt>
                <c:pt idx="28">
                  <c:v>42243.371527777781</c:v>
                </c:pt>
                <c:pt idx="29">
                  <c:v>42243.385416666664</c:v>
                </c:pt>
                <c:pt idx="30">
                  <c:v>42243.402777777781</c:v>
                </c:pt>
                <c:pt idx="31">
                  <c:v>42244.350694444445</c:v>
                </c:pt>
                <c:pt idx="32">
                  <c:v>42244.375</c:v>
                </c:pt>
                <c:pt idx="33">
                  <c:v>42244.409722222219</c:v>
                </c:pt>
                <c:pt idx="34">
                  <c:v>42244.409722222219</c:v>
                </c:pt>
                <c:pt idx="35">
                  <c:v>42248.350694444445</c:v>
                </c:pt>
                <c:pt idx="36">
                  <c:v>42248.350694444445</c:v>
                </c:pt>
                <c:pt idx="37">
                  <c:v>42248.371527777781</c:v>
                </c:pt>
                <c:pt idx="38">
                  <c:v>42248.388888888891</c:v>
                </c:pt>
                <c:pt idx="39">
                  <c:v>42264.347222222219</c:v>
                </c:pt>
                <c:pt idx="40">
                  <c:v>42264.364583333336</c:v>
                </c:pt>
                <c:pt idx="41">
                  <c:v>42264.385416666664</c:v>
                </c:pt>
                <c:pt idx="42">
                  <c:v>42265.350694444445</c:v>
                </c:pt>
                <c:pt idx="43">
                  <c:v>42265.368055555555</c:v>
                </c:pt>
                <c:pt idx="44">
                  <c:v>42265.385416666664</c:v>
                </c:pt>
                <c:pt idx="45">
                  <c:v>42265.385416666664</c:v>
                </c:pt>
                <c:pt idx="46">
                  <c:v>42267.375</c:v>
                </c:pt>
                <c:pt idx="47">
                  <c:v>42267.395833333336</c:v>
                </c:pt>
                <c:pt idx="48">
                  <c:v>42267.416666666664</c:v>
                </c:pt>
                <c:pt idx="49">
                  <c:v>42267.416666666664</c:v>
                </c:pt>
                <c:pt idx="50">
                  <c:v>42268.340277777781</c:v>
                </c:pt>
                <c:pt idx="51">
                  <c:v>42268.357638888891</c:v>
                </c:pt>
                <c:pt idx="52">
                  <c:v>42268.378472222219</c:v>
                </c:pt>
                <c:pt idx="53">
                  <c:v>42271.378472222219</c:v>
                </c:pt>
                <c:pt idx="54">
                  <c:v>42271.402777777781</c:v>
                </c:pt>
                <c:pt idx="55">
                  <c:v>42271.430555555555</c:v>
                </c:pt>
                <c:pt idx="56">
                  <c:v>42275.361111111109</c:v>
                </c:pt>
                <c:pt idx="57">
                  <c:v>42275.385416666664</c:v>
                </c:pt>
                <c:pt idx="58">
                  <c:v>42275.416666666664</c:v>
                </c:pt>
                <c:pt idx="59">
                  <c:v>42275.416666666664</c:v>
                </c:pt>
                <c:pt idx="60">
                  <c:v>42278.395833333336</c:v>
                </c:pt>
                <c:pt idx="61">
                  <c:v>42278.4375</c:v>
                </c:pt>
                <c:pt idx="62">
                  <c:v>42278.458333333336</c:v>
                </c:pt>
                <c:pt idx="63">
                  <c:v>42304.363194444442</c:v>
                </c:pt>
                <c:pt idx="64">
                  <c:v>42304.467361111114</c:v>
                </c:pt>
                <c:pt idx="65">
                  <c:v>42304.491666666669</c:v>
                </c:pt>
                <c:pt idx="66">
                  <c:v>42304.574305555558</c:v>
                </c:pt>
                <c:pt idx="67">
                  <c:v>42305.620138888888</c:v>
                </c:pt>
                <c:pt idx="68">
                  <c:v>42493</c:v>
                </c:pt>
                <c:pt idx="69">
                  <c:v>42501</c:v>
                </c:pt>
                <c:pt idx="70">
                  <c:v>42509</c:v>
                </c:pt>
                <c:pt idx="71">
                  <c:v>42516</c:v>
                </c:pt>
                <c:pt idx="72">
                  <c:v>42522</c:v>
                </c:pt>
                <c:pt idx="73">
                  <c:v>42528</c:v>
                </c:pt>
                <c:pt idx="74">
                  <c:v>42536</c:v>
                </c:pt>
              </c:numCache>
            </c:numRef>
          </c:xVal>
          <c:yVal>
            <c:numRef>
              <c:f>Durango!$H$5:$H$79</c:f>
              <c:numCache>
                <c:formatCode>General</c:formatCode>
                <c:ptCount val="75"/>
                <c:pt idx="0">
                  <c:v>162</c:v>
                </c:pt>
                <c:pt idx="1">
                  <c:v>158</c:v>
                </c:pt>
                <c:pt idx="2">
                  <c:v>165</c:v>
                </c:pt>
                <c:pt idx="3">
                  <c:v>203</c:v>
                </c:pt>
                <c:pt idx="4">
                  <c:v>208</c:v>
                </c:pt>
                <c:pt idx="5">
                  <c:v>242</c:v>
                </c:pt>
                <c:pt idx="6">
                  <c:v>180</c:v>
                </c:pt>
                <c:pt idx="7">
                  <c:v>218</c:v>
                </c:pt>
                <c:pt idx="8">
                  <c:v>180</c:v>
                </c:pt>
                <c:pt idx="9">
                  <c:v>114</c:v>
                </c:pt>
                <c:pt idx="10">
                  <c:v>306</c:v>
                </c:pt>
                <c:pt idx="11">
                  <c:v>156</c:v>
                </c:pt>
                <c:pt idx="12">
                  <c:v>197</c:v>
                </c:pt>
                <c:pt idx="13">
                  <c:v>200</c:v>
                </c:pt>
                <c:pt idx="14">
                  <c:v>220</c:v>
                </c:pt>
                <c:pt idx="15">
                  <c:v>220</c:v>
                </c:pt>
                <c:pt idx="16">
                  <c:v>540</c:v>
                </c:pt>
                <c:pt idx="17">
                  <c:v>730</c:v>
                </c:pt>
                <c:pt idx="18">
                  <c:v>740</c:v>
                </c:pt>
                <c:pt idx="19">
                  <c:v>450</c:v>
                </c:pt>
                <c:pt idx="20">
                  <c:v>2700</c:v>
                </c:pt>
                <c:pt idx="21">
                  <c:v>500</c:v>
                </c:pt>
                <c:pt idx="22">
                  <c:v>1300</c:v>
                </c:pt>
                <c:pt idx="23">
                  <c:v>1500</c:v>
                </c:pt>
                <c:pt idx="24">
                  <c:v>840</c:v>
                </c:pt>
                <c:pt idx="25">
                  <c:v>9700</c:v>
                </c:pt>
                <c:pt idx="26">
                  <c:v>2300</c:v>
                </c:pt>
                <c:pt idx="27">
                  <c:v>370</c:v>
                </c:pt>
                <c:pt idx="28">
                  <c:v>130</c:v>
                </c:pt>
                <c:pt idx="29">
                  <c:v>180</c:v>
                </c:pt>
                <c:pt idx="30">
                  <c:v>200</c:v>
                </c:pt>
                <c:pt idx="31">
                  <c:v>300</c:v>
                </c:pt>
                <c:pt idx="32">
                  <c:v>210</c:v>
                </c:pt>
                <c:pt idx="33">
                  <c:v>180</c:v>
                </c:pt>
                <c:pt idx="34">
                  <c:v>130</c:v>
                </c:pt>
                <c:pt idx="35">
                  <c:v>190</c:v>
                </c:pt>
                <c:pt idx="36">
                  <c:v>200</c:v>
                </c:pt>
                <c:pt idx="37">
                  <c:v>180</c:v>
                </c:pt>
                <c:pt idx="38">
                  <c:v>270</c:v>
                </c:pt>
                <c:pt idx="39">
                  <c:v>180</c:v>
                </c:pt>
                <c:pt idx="40">
                  <c:v>170</c:v>
                </c:pt>
                <c:pt idx="41">
                  <c:v>190</c:v>
                </c:pt>
                <c:pt idx="42">
                  <c:v>120</c:v>
                </c:pt>
                <c:pt idx="43">
                  <c:v>200</c:v>
                </c:pt>
                <c:pt idx="44">
                  <c:v>160</c:v>
                </c:pt>
                <c:pt idx="45">
                  <c:v>200</c:v>
                </c:pt>
                <c:pt idx="46">
                  <c:v>73</c:v>
                </c:pt>
                <c:pt idx="47">
                  <c:v>180</c:v>
                </c:pt>
                <c:pt idx="48">
                  <c:v>150</c:v>
                </c:pt>
                <c:pt idx="49">
                  <c:v>150</c:v>
                </c:pt>
                <c:pt idx="50">
                  <c:v>110</c:v>
                </c:pt>
                <c:pt idx="51">
                  <c:v>200</c:v>
                </c:pt>
                <c:pt idx="52">
                  <c:v>200</c:v>
                </c:pt>
                <c:pt idx="53">
                  <c:v>160</c:v>
                </c:pt>
                <c:pt idx="54">
                  <c:v>170</c:v>
                </c:pt>
                <c:pt idx="55">
                  <c:v>130</c:v>
                </c:pt>
                <c:pt idx="56">
                  <c:v>86</c:v>
                </c:pt>
                <c:pt idx="57">
                  <c:v>150</c:v>
                </c:pt>
                <c:pt idx="58">
                  <c:v>180</c:v>
                </c:pt>
                <c:pt idx="59">
                  <c:v>170</c:v>
                </c:pt>
                <c:pt idx="60">
                  <c:v>97</c:v>
                </c:pt>
                <c:pt idx="61">
                  <c:v>220</c:v>
                </c:pt>
                <c:pt idx="62">
                  <c:v>140</c:v>
                </c:pt>
                <c:pt idx="63">
                  <c:v>260</c:v>
                </c:pt>
                <c:pt idx="64">
                  <c:v>190</c:v>
                </c:pt>
                <c:pt idx="65">
                  <c:v>240</c:v>
                </c:pt>
                <c:pt idx="66">
                  <c:v>200</c:v>
                </c:pt>
                <c:pt idx="67">
                  <c:v>140</c:v>
                </c:pt>
                <c:pt idx="68">
                  <c:v>140</c:v>
                </c:pt>
                <c:pt idx="69">
                  <c:v>200</c:v>
                </c:pt>
                <c:pt idx="70">
                  <c:v>190</c:v>
                </c:pt>
                <c:pt idx="71">
                  <c:v>190</c:v>
                </c:pt>
                <c:pt idx="72">
                  <c:v>220</c:v>
                </c:pt>
                <c:pt idx="73">
                  <c:v>160</c:v>
                </c:pt>
                <c:pt idx="74">
                  <c:v>180</c:v>
                </c:pt>
              </c:numCache>
            </c:numRef>
          </c:yVal>
          <c:smooth val="0"/>
          <c:extLst>
            <c:ext xmlns:c16="http://schemas.microsoft.com/office/drawing/2014/chart" uri="{C3380CC4-5D6E-409C-BE32-E72D297353CC}">
              <c16:uniqueId val="{00000000-6C93-45C4-A40D-8036DE6068F4}"/>
            </c:ext>
          </c:extLst>
        </c:ser>
        <c:dLbls>
          <c:showLegendKey val="0"/>
          <c:showVal val="0"/>
          <c:showCatName val="0"/>
          <c:showSerName val="0"/>
          <c:showPercent val="0"/>
          <c:showBubbleSize val="0"/>
        </c:dLbls>
        <c:axId val="1155231504"/>
        <c:axId val="1155231896"/>
      </c:scatterChart>
      <c:valAx>
        <c:axId val="1155231504"/>
        <c:scaling>
          <c:orientation val="minMax"/>
          <c:max val="42550"/>
          <c:min val="42220"/>
        </c:scaling>
        <c:delete val="0"/>
        <c:axPos val="b"/>
        <c:majorGridlines>
          <c:spPr>
            <a:ln w="9525" cap="flat" cmpd="sng" algn="ctr">
              <a:noFill/>
              <a:round/>
            </a:ln>
            <a:effectLst/>
          </c:spPr>
        </c:majorGridlines>
        <c:numFmt formatCode="m/d/yyyy" sourceLinked="1"/>
        <c:majorTickMark val="out"/>
        <c:minorTickMark val="out"/>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55231896"/>
        <c:crosses val="autoZero"/>
        <c:crossBetween val="midCat"/>
        <c:majorUnit val="28"/>
        <c:minorUnit val="7"/>
      </c:valAx>
      <c:valAx>
        <c:axId val="1155231896"/>
        <c:scaling>
          <c:orientation val="minMax"/>
          <c:max val="5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sz="1000"/>
                  <a:t>Sediment Concentration</a:t>
                </a:r>
                <a:r>
                  <a:rPr lang="en-US" sz="1000" baseline="0"/>
                  <a:t> (</a:t>
                </a:r>
                <a:r>
                  <a:rPr lang="en-US" sz="1000"/>
                  <a:t>mg/kg)</a:t>
                </a:r>
              </a:p>
            </c:rich>
          </c:tx>
          <c:layout>
            <c:manualLayout>
              <c:xMode val="edge"/>
              <c:yMode val="edge"/>
              <c:x val="2.0850812005906837E-2"/>
              <c:y val="0.16839466495259522"/>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0" i="0" u="none" strike="noStrike" kern="1200" baseline="0">
                <a:solidFill>
                  <a:sysClr val="windowText" lastClr="000000"/>
                </a:solidFill>
                <a:latin typeface="+mn-lt"/>
                <a:ea typeface="+mn-ea"/>
                <a:cs typeface="+mn-cs"/>
              </a:defRPr>
            </a:pPr>
            <a:endParaRPr lang="en-US"/>
          </a:p>
        </c:txPr>
        <c:crossAx val="1155231504"/>
        <c:crosses val="autoZero"/>
        <c:crossBetween val="midCat"/>
        <c:majorUnit val="100"/>
        <c:minorUnit val="5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Animas Below Silverton (RK 16.4) </a:t>
            </a:r>
          </a:p>
        </c:rich>
      </c:tx>
      <c:layout>
        <c:manualLayout>
          <c:xMode val="edge"/>
          <c:yMode val="edge"/>
          <c:x val="0.31984011373578303"/>
          <c:y val="2.476305045202683E-3"/>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4624059492563427"/>
          <c:y val="0.10744906689281672"/>
          <c:w val="0.75051159230096243"/>
          <c:h val="0.68662483979714561"/>
        </c:manualLayout>
      </c:layout>
      <c:scatterChart>
        <c:scatterStyle val="lineMarker"/>
        <c:varyColors val="0"/>
        <c:ser>
          <c:idx val="0"/>
          <c:order val="0"/>
          <c:tx>
            <c:v>Lead</c:v>
          </c:tx>
          <c:spPr>
            <a:ln w="19050" cap="rnd">
              <a:solidFill>
                <a:schemeClr val="tx1">
                  <a:lumMod val="25000"/>
                  <a:lumOff val="75000"/>
                </a:schemeClr>
              </a:solidFill>
              <a:prstDash val="sysDash"/>
              <a:round/>
            </a:ln>
            <a:effectLst/>
          </c:spPr>
          <c:marker>
            <c:symbol val="circle"/>
            <c:size val="8"/>
            <c:spPr>
              <a:solidFill>
                <a:schemeClr val="tx2">
                  <a:lumMod val="40000"/>
                  <a:lumOff val="60000"/>
                </a:schemeClr>
              </a:solidFill>
              <a:ln w="9525">
                <a:solidFill>
                  <a:schemeClr val="tx1">
                    <a:lumMod val="50000"/>
                    <a:lumOff val="50000"/>
                  </a:schemeClr>
                </a:solidFill>
              </a:ln>
              <a:effectLst/>
            </c:spPr>
          </c:marker>
          <c:xVal>
            <c:numRef>
              <c:f>Silverton!$B$40:$B$47</c:f>
              <c:numCache>
                <c:formatCode>m/d/yyyy</c:formatCode>
                <c:ptCount val="8"/>
                <c:pt idx="0">
                  <c:v>42493</c:v>
                </c:pt>
                <c:pt idx="1">
                  <c:v>42501</c:v>
                </c:pt>
                <c:pt idx="2">
                  <c:v>42509</c:v>
                </c:pt>
                <c:pt idx="3">
                  <c:v>42516</c:v>
                </c:pt>
                <c:pt idx="4">
                  <c:v>42522</c:v>
                </c:pt>
                <c:pt idx="5">
                  <c:v>42527.527777777781</c:v>
                </c:pt>
                <c:pt idx="6">
                  <c:v>42528</c:v>
                </c:pt>
                <c:pt idx="7">
                  <c:v>42536</c:v>
                </c:pt>
              </c:numCache>
            </c:numRef>
          </c:xVal>
          <c:yVal>
            <c:numRef>
              <c:f>Silverton!$G$40:$G$47</c:f>
              <c:numCache>
                <c:formatCode>General</c:formatCode>
                <c:ptCount val="8"/>
                <c:pt idx="0">
                  <c:v>140</c:v>
                </c:pt>
                <c:pt idx="1">
                  <c:v>78</c:v>
                </c:pt>
                <c:pt idx="2">
                  <c:v>330</c:v>
                </c:pt>
                <c:pt idx="3">
                  <c:v>130</c:v>
                </c:pt>
                <c:pt idx="4">
                  <c:v>490</c:v>
                </c:pt>
                <c:pt idx="5">
                  <c:v>740</c:v>
                </c:pt>
                <c:pt idx="6">
                  <c:v>6400</c:v>
                </c:pt>
                <c:pt idx="7">
                  <c:v>700</c:v>
                </c:pt>
              </c:numCache>
            </c:numRef>
          </c:yVal>
          <c:smooth val="0"/>
          <c:extLst>
            <c:ext xmlns:c16="http://schemas.microsoft.com/office/drawing/2014/chart" uri="{C3380CC4-5D6E-409C-BE32-E72D297353CC}">
              <c16:uniqueId val="{00000000-E83F-4BC3-9C18-CFAFC05AF923}"/>
            </c:ext>
          </c:extLst>
        </c:ser>
        <c:ser>
          <c:idx val="1"/>
          <c:order val="1"/>
          <c:tx>
            <c:v>Manganese</c:v>
          </c:tx>
          <c:spPr>
            <a:ln w="19050" cap="rnd">
              <a:solidFill>
                <a:schemeClr val="tx1">
                  <a:lumMod val="25000"/>
                  <a:lumOff val="75000"/>
                </a:schemeClr>
              </a:solidFill>
              <a:prstDash val="sysDash"/>
              <a:round/>
            </a:ln>
            <a:effectLst/>
          </c:spPr>
          <c:marker>
            <c:symbol val="circle"/>
            <c:size val="8"/>
            <c:spPr>
              <a:solidFill>
                <a:schemeClr val="accent2">
                  <a:lumMod val="60000"/>
                  <a:lumOff val="40000"/>
                </a:schemeClr>
              </a:solidFill>
              <a:ln w="9525">
                <a:solidFill>
                  <a:schemeClr val="tx1">
                    <a:lumMod val="50000"/>
                    <a:lumOff val="50000"/>
                  </a:schemeClr>
                </a:solidFill>
              </a:ln>
              <a:effectLst/>
            </c:spPr>
          </c:marker>
          <c:xVal>
            <c:numRef>
              <c:f>Silverton!$B$35:$B$47</c:f>
              <c:numCache>
                <c:formatCode>m/d/yyyy</c:formatCode>
                <c:ptCount val="13"/>
                <c:pt idx="5">
                  <c:v>42493</c:v>
                </c:pt>
                <c:pt idx="6">
                  <c:v>42501</c:v>
                </c:pt>
                <c:pt idx="7">
                  <c:v>42509</c:v>
                </c:pt>
                <c:pt idx="8">
                  <c:v>42516</c:v>
                </c:pt>
                <c:pt idx="9">
                  <c:v>42522</c:v>
                </c:pt>
                <c:pt idx="10">
                  <c:v>42527.527777777781</c:v>
                </c:pt>
                <c:pt idx="11">
                  <c:v>42528</c:v>
                </c:pt>
                <c:pt idx="12">
                  <c:v>42536</c:v>
                </c:pt>
              </c:numCache>
            </c:numRef>
          </c:xVal>
          <c:yVal>
            <c:numRef>
              <c:f>Silverton!$H$40:$H$47</c:f>
              <c:numCache>
                <c:formatCode>General</c:formatCode>
                <c:ptCount val="8"/>
                <c:pt idx="0">
                  <c:v>430</c:v>
                </c:pt>
                <c:pt idx="1">
                  <c:v>610</c:v>
                </c:pt>
                <c:pt idx="2">
                  <c:v>1000</c:v>
                </c:pt>
                <c:pt idx="3">
                  <c:v>2400</c:v>
                </c:pt>
                <c:pt idx="4">
                  <c:v>2400</c:v>
                </c:pt>
                <c:pt idx="5">
                  <c:v>2600</c:v>
                </c:pt>
                <c:pt idx="6">
                  <c:v>3900</c:v>
                </c:pt>
                <c:pt idx="7">
                  <c:v>3900</c:v>
                </c:pt>
              </c:numCache>
            </c:numRef>
          </c:yVal>
          <c:smooth val="0"/>
          <c:extLst>
            <c:ext xmlns:c16="http://schemas.microsoft.com/office/drawing/2014/chart" uri="{C3380CC4-5D6E-409C-BE32-E72D297353CC}">
              <c16:uniqueId val="{00000001-E83F-4BC3-9C18-CFAFC05AF923}"/>
            </c:ext>
          </c:extLst>
        </c:ser>
        <c:ser>
          <c:idx val="2"/>
          <c:order val="2"/>
          <c:tx>
            <c:v>Zinc</c:v>
          </c:tx>
          <c:spPr>
            <a:ln w="12700" cap="rnd">
              <a:solidFill>
                <a:srgbClr val="5656F4"/>
              </a:solidFill>
              <a:prstDash val="sysDash"/>
              <a:round/>
            </a:ln>
            <a:effectLst/>
          </c:spPr>
          <c:marker>
            <c:symbol val="triangle"/>
            <c:size val="7"/>
            <c:spPr>
              <a:solidFill>
                <a:srgbClr val="002060"/>
              </a:solidFill>
              <a:ln w="9525">
                <a:solidFill>
                  <a:srgbClr val="5656F4"/>
                </a:solidFill>
              </a:ln>
              <a:effectLst/>
            </c:spPr>
          </c:marker>
          <c:xVal>
            <c:numRef>
              <c:f>Silverton!$B$40:$B$47</c:f>
              <c:numCache>
                <c:formatCode>m/d/yyyy</c:formatCode>
                <c:ptCount val="8"/>
                <c:pt idx="0">
                  <c:v>42493</c:v>
                </c:pt>
                <c:pt idx="1">
                  <c:v>42501</c:v>
                </c:pt>
                <c:pt idx="2">
                  <c:v>42509</c:v>
                </c:pt>
                <c:pt idx="3">
                  <c:v>42516</c:v>
                </c:pt>
                <c:pt idx="4">
                  <c:v>42522</c:v>
                </c:pt>
                <c:pt idx="5">
                  <c:v>42527.527777777781</c:v>
                </c:pt>
                <c:pt idx="6">
                  <c:v>42528</c:v>
                </c:pt>
                <c:pt idx="7">
                  <c:v>42536</c:v>
                </c:pt>
              </c:numCache>
            </c:numRef>
          </c:xVal>
          <c:yVal>
            <c:numRef>
              <c:f>Silverton!$I$40:$I$47</c:f>
              <c:numCache>
                <c:formatCode>General</c:formatCode>
                <c:ptCount val="8"/>
                <c:pt idx="0">
                  <c:v>110</c:v>
                </c:pt>
                <c:pt idx="1">
                  <c:v>190</c:v>
                </c:pt>
                <c:pt idx="2">
                  <c:v>510</c:v>
                </c:pt>
                <c:pt idx="3">
                  <c:v>550</c:v>
                </c:pt>
                <c:pt idx="4">
                  <c:v>700</c:v>
                </c:pt>
                <c:pt idx="5">
                  <c:v>990</c:v>
                </c:pt>
                <c:pt idx="6">
                  <c:v>450</c:v>
                </c:pt>
                <c:pt idx="7">
                  <c:v>1000</c:v>
                </c:pt>
              </c:numCache>
            </c:numRef>
          </c:yVal>
          <c:smooth val="0"/>
          <c:extLst>
            <c:ext xmlns:c16="http://schemas.microsoft.com/office/drawing/2014/chart" uri="{C3380CC4-5D6E-409C-BE32-E72D297353CC}">
              <c16:uniqueId val="{00000002-E83F-4BC3-9C18-CFAFC05AF923}"/>
            </c:ext>
          </c:extLst>
        </c:ser>
        <c:dLbls>
          <c:showLegendKey val="0"/>
          <c:showVal val="0"/>
          <c:showCatName val="0"/>
          <c:showSerName val="0"/>
          <c:showPercent val="0"/>
          <c:showBubbleSize val="0"/>
        </c:dLbls>
        <c:axId val="1172660464"/>
        <c:axId val="1172660856"/>
      </c:scatterChart>
      <c:valAx>
        <c:axId val="1172660464"/>
        <c:scaling>
          <c:orientation val="minMax"/>
        </c:scaling>
        <c:delete val="0"/>
        <c:axPos val="b"/>
        <c:numFmt formatCode="m/d/yyyy" sourceLinked="1"/>
        <c:majorTickMark val="out"/>
        <c:minorTickMark val="out"/>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172660856"/>
        <c:crosses val="autoZero"/>
        <c:crossBetween val="midCat"/>
      </c:valAx>
      <c:valAx>
        <c:axId val="1172660856"/>
        <c:scaling>
          <c:logBase val="10"/>
          <c:orientation val="minMax"/>
          <c:min val="10"/>
        </c:scaling>
        <c:delete val="0"/>
        <c:axPos val="l"/>
        <c:majorGridlines>
          <c:spPr>
            <a:ln w="9525" cap="flat" cmpd="sng" algn="ctr">
              <a:solidFill>
                <a:srgbClr val="E2E2E2"/>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Concentration (mg/kg)</a:t>
                </a:r>
              </a:p>
            </c:rich>
          </c:tx>
          <c:layout>
            <c:manualLayout>
              <c:xMode val="edge"/>
              <c:yMode val="edge"/>
              <c:x val="0"/>
              <c:y val="0.19958604194983634"/>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1172660464"/>
        <c:crosses val="autoZero"/>
        <c:crossBetween val="midCat"/>
        <c:minorUnit val="5000"/>
      </c:valAx>
      <c:spPr>
        <a:noFill/>
        <a:ln>
          <a:solidFill>
            <a:schemeClr val="tx1">
              <a:lumMod val="25000"/>
              <a:lumOff val="75000"/>
            </a:schemeClr>
          </a:solidFill>
        </a:ln>
        <a:effectLst/>
      </c:spPr>
    </c:plotArea>
    <c:legend>
      <c:legendPos val="r"/>
      <c:layout>
        <c:manualLayout>
          <c:xMode val="edge"/>
          <c:yMode val="edge"/>
          <c:x val="0.63945384951881012"/>
          <c:y val="0.50462270341207349"/>
          <c:w val="0.27165726159230097"/>
          <c:h val="0.27625729075532224"/>
        </c:manualLayout>
      </c:layout>
      <c:overlay val="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050" b="1">
          <a:solidFill>
            <a:sysClr val="windowText" lastClr="000000"/>
          </a:solidFill>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Animas River At Durango RK 888-103 </a:t>
            </a:r>
          </a:p>
          <a:p>
            <a:pPr>
              <a:defRPr sz="1200" b="1" i="0" u="none" strike="noStrike" kern="1200" spc="0" baseline="0">
                <a:solidFill>
                  <a:sysClr val="windowText" lastClr="000000"/>
                </a:solidFill>
                <a:latin typeface="+mn-lt"/>
                <a:ea typeface="+mn-ea"/>
                <a:cs typeface="+mn-cs"/>
              </a:defRPr>
            </a:pPr>
            <a:r>
              <a:rPr lang="en-US" sz="1200"/>
              <a:t>Iron</a:t>
            </a:r>
          </a:p>
        </c:rich>
      </c:tx>
      <c:layout>
        <c:manualLayout>
          <c:xMode val="edge"/>
          <c:yMode val="edge"/>
          <c:x val="0.28769732550554467"/>
          <c:y val="2.7210884353741496E-2"/>
        </c:manualLayout>
      </c:layout>
      <c:overlay val="0"/>
      <c:spPr>
        <a:noFill/>
        <a:ln>
          <a:noFill/>
        </a:ln>
        <a:effectLst/>
      </c:spPr>
    </c:title>
    <c:autoTitleDeleted val="0"/>
    <c:plotArea>
      <c:layout>
        <c:manualLayout>
          <c:layoutTarget val="inner"/>
          <c:xMode val="edge"/>
          <c:yMode val="edge"/>
          <c:x val="0.19165917170638133"/>
          <c:y val="0.20383237809559521"/>
          <c:w val="0.68820069263770911"/>
          <c:h val="0.57840055707322302"/>
        </c:manualLayout>
      </c:layout>
      <c:scatterChart>
        <c:scatterStyle val="lineMarker"/>
        <c:varyColors val="0"/>
        <c:ser>
          <c:idx val="0"/>
          <c:order val="0"/>
          <c:spPr>
            <a:ln w="19050" cap="rnd">
              <a:solidFill>
                <a:schemeClr val="tx1">
                  <a:lumMod val="50000"/>
                  <a:lumOff val="50000"/>
                </a:schemeClr>
              </a:solidFill>
              <a:prstDash val="sysDash"/>
              <a:round/>
            </a:ln>
            <a:effectLst/>
          </c:spPr>
          <c:marker>
            <c:symbol val="circle"/>
            <c:size val="7"/>
            <c:spPr>
              <a:solidFill>
                <a:schemeClr val="tx2">
                  <a:lumMod val="20000"/>
                  <a:lumOff val="80000"/>
                </a:schemeClr>
              </a:solidFill>
              <a:ln w="9525">
                <a:solidFill>
                  <a:schemeClr val="tx1"/>
                </a:solidFill>
              </a:ln>
              <a:effectLst/>
            </c:spPr>
          </c:marker>
          <c:dPt>
            <c:idx val="69"/>
            <c:bubble3D val="0"/>
            <c:spPr>
              <a:ln w="19050" cap="rnd">
                <a:noFill/>
                <a:prstDash val="sysDash"/>
                <a:round/>
              </a:ln>
              <a:effectLst/>
            </c:spPr>
            <c:extLst>
              <c:ext xmlns:c16="http://schemas.microsoft.com/office/drawing/2014/chart" uri="{C3380CC4-5D6E-409C-BE32-E72D297353CC}">
                <c16:uniqueId val="{00000000-9AFF-4ECB-94CF-BEB255E7A92E}"/>
              </c:ext>
            </c:extLst>
          </c:dPt>
          <c:xVal>
            <c:numRef>
              <c:f>Durango!$C$4:$C$79</c:f>
              <c:numCache>
                <c:formatCode>m/d/yyyy</c:formatCode>
                <c:ptCount val="76"/>
                <c:pt idx="0">
                  <c:v>42227</c:v>
                </c:pt>
                <c:pt idx="1">
                  <c:v>42227.419444444444</c:v>
                </c:pt>
                <c:pt idx="2">
                  <c:v>42227.42083333333</c:v>
                </c:pt>
                <c:pt idx="3">
                  <c:v>42227.449305555558</c:v>
                </c:pt>
                <c:pt idx="4">
                  <c:v>42227.449305555558</c:v>
                </c:pt>
                <c:pt idx="5">
                  <c:v>42227.456250000003</c:v>
                </c:pt>
                <c:pt idx="6">
                  <c:v>42227.526388888888</c:v>
                </c:pt>
                <c:pt idx="7">
                  <c:v>42227.590277777781</c:v>
                </c:pt>
                <c:pt idx="8">
                  <c:v>42227.597222222219</c:v>
                </c:pt>
                <c:pt idx="9">
                  <c:v>42227.611111111109</c:v>
                </c:pt>
                <c:pt idx="10">
                  <c:v>42227.62222222222</c:v>
                </c:pt>
                <c:pt idx="11">
                  <c:v>42227.651388888888</c:v>
                </c:pt>
                <c:pt idx="12">
                  <c:v>42227.695138888892</c:v>
                </c:pt>
                <c:pt idx="13">
                  <c:v>42227.708333333336</c:v>
                </c:pt>
                <c:pt idx="14">
                  <c:v>42227.76666666667</c:v>
                </c:pt>
                <c:pt idx="15">
                  <c:v>42229.395833333336</c:v>
                </c:pt>
                <c:pt idx="16">
                  <c:v>42229.409722222219</c:v>
                </c:pt>
                <c:pt idx="17">
                  <c:v>42229.434027777781</c:v>
                </c:pt>
                <c:pt idx="18">
                  <c:v>42229.444444444445</c:v>
                </c:pt>
                <c:pt idx="19">
                  <c:v>42229.479166666664</c:v>
                </c:pt>
                <c:pt idx="20">
                  <c:v>42229.5</c:v>
                </c:pt>
                <c:pt idx="21">
                  <c:v>42229.527777777781</c:v>
                </c:pt>
                <c:pt idx="22">
                  <c:v>42229.545138888891</c:v>
                </c:pt>
                <c:pt idx="23">
                  <c:v>42229.579861111109</c:v>
                </c:pt>
                <c:pt idx="24">
                  <c:v>42229.590277777781</c:v>
                </c:pt>
                <c:pt idx="25">
                  <c:v>42229.600694444445</c:v>
                </c:pt>
                <c:pt idx="26">
                  <c:v>42230.319444444445</c:v>
                </c:pt>
                <c:pt idx="27">
                  <c:v>42230.326388888891</c:v>
                </c:pt>
                <c:pt idx="28">
                  <c:v>42230.527777777781</c:v>
                </c:pt>
                <c:pt idx="29">
                  <c:v>42243.371527777781</c:v>
                </c:pt>
                <c:pt idx="30">
                  <c:v>42243.385416666664</c:v>
                </c:pt>
                <c:pt idx="31">
                  <c:v>42243.402777777781</c:v>
                </c:pt>
                <c:pt idx="32">
                  <c:v>42244.350694444445</c:v>
                </c:pt>
                <c:pt idx="33">
                  <c:v>42244.375</c:v>
                </c:pt>
                <c:pt idx="34">
                  <c:v>42244.409722222219</c:v>
                </c:pt>
                <c:pt idx="35">
                  <c:v>42244.409722222219</c:v>
                </c:pt>
                <c:pt idx="36">
                  <c:v>42248.350694444445</c:v>
                </c:pt>
                <c:pt idx="37">
                  <c:v>42248.350694444445</c:v>
                </c:pt>
                <c:pt idx="38">
                  <c:v>42248.371527777781</c:v>
                </c:pt>
                <c:pt idx="39">
                  <c:v>42248.388888888891</c:v>
                </c:pt>
                <c:pt idx="40">
                  <c:v>42264.347222222219</c:v>
                </c:pt>
                <c:pt idx="41">
                  <c:v>42264.364583333336</c:v>
                </c:pt>
                <c:pt idx="42">
                  <c:v>42264.385416666664</c:v>
                </c:pt>
                <c:pt idx="43">
                  <c:v>42265.350694444445</c:v>
                </c:pt>
                <c:pt idx="44">
                  <c:v>42265.368055555555</c:v>
                </c:pt>
                <c:pt idx="45">
                  <c:v>42265.385416666664</c:v>
                </c:pt>
                <c:pt idx="46">
                  <c:v>42265.385416666664</c:v>
                </c:pt>
                <c:pt idx="47">
                  <c:v>42267.375</c:v>
                </c:pt>
                <c:pt idx="48">
                  <c:v>42267.395833333336</c:v>
                </c:pt>
                <c:pt idx="49">
                  <c:v>42267.416666666664</c:v>
                </c:pt>
                <c:pt idx="50">
                  <c:v>42267.416666666664</c:v>
                </c:pt>
                <c:pt idx="51">
                  <c:v>42268.340277777781</c:v>
                </c:pt>
                <c:pt idx="52">
                  <c:v>42268.357638888891</c:v>
                </c:pt>
                <c:pt idx="53">
                  <c:v>42268.378472222219</c:v>
                </c:pt>
                <c:pt idx="54">
                  <c:v>42271.378472222219</c:v>
                </c:pt>
                <c:pt idx="55">
                  <c:v>42271.402777777781</c:v>
                </c:pt>
                <c:pt idx="56">
                  <c:v>42271.430555555555</c:v>
                </c:pt>
                <c:pt idx="57">
                  <c:v>42275.361111111109</c:v>
                </c:pt>
                <c:pt idx="58">
                  <c:v>42275.385416666664</c:v>
                </c:pt>
                <c:pt idx="59">
                  <c:v>42275.416666666664</c:v>
                </c:pt>
                <c:pt idx="60">
                  <c:v>42275.416666666664</c:v>
                </c:pt>
                <c:pt idx="61">
                  <c:v>42278.395833333336</c:v>
                </c:pt>
                <c:pt idx="62">
                  <c:v>42278.4375</c:v>
                </c:pt>
                <c:pt idx="63">
                  <c:v>42278.458333333336</c:v>
                </c:pt>
                <c:pt idx="64">
                  <c:v>42304.363194444442</c:v>
                </c:pt>
                <c:pt idx="65">
                  <c:v>42304.467361111114</c:v>
                </c:pt>
                <c:pt idx="66">
                  <c:v>42304.491666666669</c:v>
                </c:pt>
                <c:pt idx="67">
                  <c:v>42304.574305555558</c:v>
                </c:pt>
                <c:pt idx="68">
                  <c:v>42305.620138888888</c:v>
                </c:pt>
                <c:pt idx="69">
                  <c:v>42493</c:v>
                </c:pt>
                <c:pt idx="70">
                  <c:v>42501</c:v>
                </c:pt>
                <c:pt idx="71">
                  <c:v>42509</c:v>
                </c:pt>
                <c:pt idx="72">
                  <c:v>42516</c:v>
                </c:pt>
                <c:pt idx="73">
                  <c:v>42522</c:v>
                </c:pt>
                <c:pt idx="74">
                  <c:v>42528</c:v>
                </c:pt>
                <c:pt idx="75">
                  <c:v>42536</c:v>
                </c:pt>
              </c:numCache>
            </c:numRef>
          </c:xVal>
          <c:yVal>
            <c:numRef>
              <c:f>Durango!$G$4:$G$79</c:f>
              <c:numCache>
                <c:formatCode>General</c:formatCode>
                <c:ptCount val="76"/>
                <c:pt idx="1">
                  <c:v>12600</c:v>
                </c:pt>
                <c:pt idx="2">
                  <c:v>13800</c:v>
                </c:pt>
                <c:pt idx="3">
                  <c:v>11700</c:v>
                </c:pt>
                <c:pt idx="4">
                  <c:v>17200</c:v>
                </c:pt>
                <c:pt idx="5">
                  <c:v>14900</c:v>
                </c:pt>
                <c:pt idx="6">
                  <c:v>17700</c:v>
                </c:pt>
                <c:pt idx="8">
                  <c:v>16400</c:v>
                </c:pt>
                <c:pt idx="10">
                  <c:v>17400</c:v>
                </c:pt>
                <c:pt idx="11">
                  <c:v>24800</c:v>
                </c:pt>
                <c:pt idx="12">
                  <c:v>18000</c:v>
                </c:pt>
                <c:pt idx="13">
                  <c:v>15300</c:v>
                </c:pt>
                <c:pt idx="14">
                  <c:v>14500</c:v>
                </c:pt>
                <c:pt idx="29">
                  <c:v>13000</c:v>
                </c:pt>
                <c:pt idx="30">
                  <c:v>18000</c:v>
                </c:pt>
                <c:pt idx="31">
                  <c:v>20000</c:v>
                </c:pt>
                <c:pt idx="32">
                  <c:v>18000</c:v>
                </c:pt>
                <c:pt idx="33">
                  <c:v>18000</c:v>
                </c:pt>
                <c:pt idx="34">
                  <c:v>16000</c:v>
                </c:pt>
                <c:pt idx="35">
                  <c:v>16000</c:v>
                </c:pt>
                <c:pt idx="36">
                  <c:v>14000</c:v>
                </c:pt>
                <c:pt idx="37">
                  <c:v>16000</c:v>
                </c:pt>
                <c:pt idx="38">
                  <c:v>15000</c:v>
                </c:pt>
                <c:pt idx="39">
                  <c:v>21000</c:v>
                </c:pt>
                <c:pt idx="40">
                  <c:v>14000</c:v>
                </c:pt>
                <c:pt idx="41">
                  <c:v>16000</c:v>
                </c:pt>
                <c:pt idx="42">
                  <c:v>15000</c:v>
                </c:pt>
                <c:pt idx="43">
                  <c:v>15000</c:v>
                </c:pt>
                <c:pt idx="44">
                  <c:v>22000</c:v>
                </c:pt>
                <c:pt idx="45">
                  <c:v>17000</c:v>
                </c:pt>
                <c:pt idx="46">
                  <c:v>17000</c:v>
                </c:pt>
                <c:pt idx="47">
                  <c:v>17000</c:v>
                </c:pt>
                <c:pt idx="48">
                  <c:v>20000</c:v>
                </c:pt>
                <c:pt idx="49">
                  <c:v>14000</c:v>
                </c:pt>
                <c:pt idx="50">
                  <c:v>14000</c:v>
                </c:pt>
                <c:pt idx="51">
                  <c:v>15000</c:v>
                </c:pt>
                <c:pt idx="52">
                  <c:v>8700</c:v>
                </c:pt>
                <c:pt idx="53">
                  <c:v>12000</c:v>
                </c:pt>
                <c:pt idx="54">
                  <c:v>17000</c:v>
                </c:pt>
                <c:pt idx="55">
                  <c:v>17000</c:v>
                </c:pt>
                <c:pt idx="56">
                  <c:v>13000</c:v>
                </c:pt>
                <c:pt idx="57">
                  <c:v>15000</c:v>
                </c:pt>
                <c:pt idx="58">
                  <c:v>16000</c:v>
                </c:pt>
                <c:pt idx="59">
                  <c:v>11000</c:v>
                </c:pt>
                <c:pt idx="60">
                  <c:v>14000</c:v>
                </c:pt>
                <c:pt idx="61">
                  <c:v>15000</c:v>
                </c:pt>
                <c:pt idx="62">
                  <c:v>22000</c:v>
                </c:pt>
                <c:pt idx="63">
                  <c:v>17000</c:v>
                </c:pt>
                <c:pt idx="64">
                  <c:v>21000</c:v>
                </c:pt>
                <c:pt idx="65">
                  <c:v>19000</c:v>
                </c:pt>
                <c:pt idx="66">
                  <c:v>21000</c:v>
                </c:pt>
                <c:pt idx="67">
                  <c:v>17000</c:v>
                </c:pt>
                <c:pt idx="68">
                  <c:v>21000</c:v>
                </c:pt>
                <c:pt idx="69">
                  <c:v>17000</c:v>
                </c:pt>
                <c:pt idx="70">
                  <c:v>21000</c:v>
                </c:pt>
                <c:pt idx="71">
                  <c:v>22000</c:v>
                </c:pt>
                <c:pt idx="72">
                  <c:v>24000</c:v>
                </c:pt>
                <c:pt idx="73">
                  <c:v>24000</c:v>
                </c:pt>
                <c:pt idx="74">
                  <c:v>16000</c:v>
                </c:pt>
                <c:pt idx="75">
                  <c:v>15000</c:v>
                </c:pt>
              </c:numCache>
            </c:numRef>
          </c:yVal>
          <c:smooth val="0"/>
          <c:extLst>
            <c:ext xmlns:c16="http://schemas.microsoft.com/office/drawing/2014/chart" uri="{C3380CC4-5D6E-409C-BE32-E72D297353CC}">
              <c16:uniqueId val="{00000002-AD1B-47CA-9D42-C560DE815C4D}"/>
            </c:ext>
          </c:extLst>
        </c:ser>
        <c:dLbls>
          <c:showLegendKey val="0"/>
          <c:showVal val="0"/>
          <c:showCatName val="0"/>
          <c:showSerName val="0"/>
          <c:showPercent val="0"/>
          <c:showBubbleSize val="0"/>
        </c:dLbls>
        <c:axId val="1155231504"/>
        <c:axId val="1155231896"/>
      </c:scatterChart>
      <c:valAx>
        <c:axId val="1155231504"/>
        <c:scaling>
          <c:orientation val="minMax"/>
          <c:max val="42550"/>
          <c:min val="42220"/>
        </c:scaling>
        <c:delete val="0"/>
        <c:axPos val="b"/>
        <c:majorGridlines>
          <c:spPr>
            <a:ln w="9525" cap="flat" cmpd="sng" algn="ctr">
              <a:noFill/>
              <a:round/>
            </a:ln>
            <a:effectLst/>
          </c:spPr>
        </c:majorGridlines>
        <c:numFmt formatCode="m/d/yyyy" sourceLinked="1"/>
        <c:majorTickMark val="out"/>
        <c:minorTickMark val="out"/>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155231896"/>
        <c:crosses val="autoZero"/>
        <c:crossBetween val="midCat"/>
        <c:majorUnit val="28"/>
        <c:minorUnit val="7"/>
      </c:valAx>
      <c:valAx>
        <c:axId val="11552318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Sediment Concentration, mg/kg</a:t>
                </a:r>
              </a:p>
            </c:rich>
          </c:tx>
          <c:layout>
            <c:manualLayout>
              <c:xMode val="edge"/>
              <c:yMode val="edge"/>
              <c:x val="2.7389367997643781E-2"/>
              <c:y val="0.15478922277572446"/>
            </c:manualLayout>
          </c:layout>
          <c:overlay val="0"/>
          <c:spPr>
            <a:noFill/>
            <a:ln>
              <a:noFill/>
            </a:ln>
            <a:effectLst/>
          </c:sp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1155231504"/>
        <c:crosses val="autoZero"/>
        <c:crossBetween val="midCat"/>
      </c:valAx>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Animas River At Durango RK 88-103  </a:t>
            </a:r>
            <a:br>
              <a:rPr lang="en-US" sz="1100"/>
            </a:br>
            <a:r>
              <a:rPr lang="en-US" sz="1100"/>
              <a:t>Copper</a:t>
            </a:r>
          </a:p>
        </c:rich>
      </c:tx>
      <c:layout>
        <c:manualLayout>
          <c:xMode val="edge"/>
          <c:yMode val="edge"/>
          <c:x val="0.28769732550554467"/>
          <c:y val="2.7210884353741496E-2"/>
        </c:manualLayout>
      </c:layout>
      <c:overlay val="0"/>
      <c:spPr>
        <a:noFill/>
        <a:ln>
          <a:noFill/>
        </a:ln>
        <a:effectLst/>
      </c:spPr>
    </c:title>
    <c:autoTitleDeleted val="0"/>
    <c:plotArea>
      <c:layout>
        <c:manualLayout>
          <c:layoutTarget val="inner"/>
          <c:xMode val="edge"/>
          <c:yMode val="edge"/>
          <c:x val="0.16248331835645471"/>
          <c:y val="0.20383237809559521"/>
          <c:w val="0.7173764360540521"/>
          <c:h val="0.57840055707322302"/>
        </c:manualLayout>
      </c:layout>
      <c:scatterChart>
        <c:scatterStyle val="lineMarker"/>
        <c:varyColors val="0"/>
        <c:ser>
          <c:idx val="0"/>
          <c:order val="0"/>
          <c:spPr>
            <a:ln w="19050" cap="rnd">
              <a:solidFill>
                <a:schemeClr val="tx1">
                  <a:lumMod val="50000"/>
                  <a:lumOff val="50000"/>
                </a:schemeClr>
              </a:solidFill>
              <a:prstDash val="sysDash"/>
              <a:round/>
            </a:ln>
            <a:effectLst/>
          </c:spPr>
          <c:marker>
            <c:symbol val="circle"/>
            <c:size val="7"/>
            <c:spPr>
              <a:solidFill>
                <a:schemeClr val="tx2">
                  <a:lumMod val="20000"/>
                  <a:lumOff val="80000"/>
                </a:schemeClr>
              </a:solidFill>
              <a:ln w="9525">
                <a:solidFill>
                  <a:schemeClr val="tx1"/>
                </a:solidFill>
              </a:ln>
              <a:effectLst/>
            </c:spPr>
          </c:marker>
          <c:dPt>
            <c:idx val="69"/>
            <c:bubble3D val="0"/>
            <c:spPr>
              <a:ln w="19050" cap="rnd">
                <a:noFill/>
                <a:prstDash val="sysDash"/>
                <a:round/>
              </a:ln>
              <a:effectLst/>
            </c:spPr>
            <c:extLst>
              <c:ext xmlns:c16="http://schemas.microsoft.com/office/drawing/2014/chart" uri="{C3380CC4-5D6E-409C-BE32-E72D297353CC}">
                <c16:uniqueId val="{00000000-2094-4555-9254-CC44251DC67E}"/>
              </c:ext>
            </c:extLst>
          </c:dPt>
          <c:xVal>
            <c:numRef>
              <c:f>Durango!$C$4:$C$79</c:f>
              <c:numCache>
                <c:formatCode>m/d/yyyy</c:formatCode>
                <c:ptCount val="76"/>
                <c:pt idx="0">
                  <c:v>42227</c:v>
                </c:pt>
                <c:pt idx="1">
                  <c:v>42227.419444444444</c:v>
                </c:pt>
                <c:pt idx="2">
                  <c:v>42227.42083333333</c:v>
                </c:pt>
                <c:pt idx="3">
                  <c:v>42227.449305555558</c:v>
                </c:pt>
                <c:pt idx="4">
                  <c:v>42227.449305555558</c:v>
                </c:pt>
                <c:pt idx="5">
                  <c:v>42227.456250000003</c:v>
                </c:pt>
                <c:pt idx="6">
                  <c:v>42227.526388888888</c:v>
                </c:pt>
                <c:pt idx="7">
                  <c:v>42227.590277777781</c:v>
                </c:pt>
                <c:pt idx="8">
                  <c:v>42227.597222222219</c:v>
                </c:pt>
                <c:pt idx="9">
                  <c:v>42227.611111111109</c:v>
                </c:pt>
                <c:pt idx="10">
                  <c:v>42227.62222222222</c:v>
                </c:pt>
                <c:pt idx="11">
                  <c:v>42227.651388888888</c:v>
                </c:pt>
                <c:pt idx="12">
                  <c:v>42227.695138888892</c:v>
                </c:pt>
                <c:pt idx="13">
                  <c:v>42227.708333333336</c:v>
                </c:pt>
                <c:pt idx="14">
                  <c:v>42227.76666666667</c:v>
                </c:pt>
                <c:pt idx="15">
                  <c:v>42229.395833333336</c:v>
                </c:pt>
                <c:pt idx="16">
                  <c:v>42229.409722222219</c:v>
                </c:pt>
                <c:pt idx="17">
                  <c:v>42229.434027777781</c:v>
                </c:pt>
                <c:pt idx="18">
                  <c:v>42229.444444444445</c:v>
                </c:pt>
                <c:pt idx="19">
                  <c:v>42229.479166666664</c:v>
                </c:pt>
                <c:pt idx="20">
                  <c:v>42229.5</c:v>
                </c:pt>
                <c:pt idx="21">
                  <c:v>42229.527777777781</c:v>
                </c:pt>
                <c:pt idx="22">
                  <c:v>42229.545138888891</c:v>
                </c:pt>
                <c:pt idx="23">
                  <c:v>42229.579861111109</c:v>
                </c:pt>
                <c:pt idx="24">
                  <c:v>42229.590277777781</c:v>
                </c:pt>
                <c:pt idx="25">
                  <c:v>42229.600694444445</c:v>
                </c:pt>
                <c:pt idx="26">
                  <c:v>42230.319444444445</c:v>
                </c:pt>
                <c:pt idx="27">
                  <c:v>42230.326388888891</c:v>
                </c:pt>
                <c:pt idx="28">
                  <c:v>42230.527777777781</c:v>
                </c:pt>
                <c:pt idx="29">
                  <c:v>42243.371527777781</c:v>
                </c:pt>
                <c:pt idx="30">
                  <c:v>42243.385416666664</c:v>
                </c:pt>
                <c:pt idx="31">
                  <c:v>42243.402777777781</c:v>
                </c:pt>
                <c:pt idx="32">
                  <c:v>42244.350694444445</c:v>
                </c:pt>
                <c:pt idx="33">
                  <c:v>42244.375</c:v>
                </c:pt>
                <c:pt idx="34">
                  <c:v>42244.409722222219</c:v>
                </c:pt>
                <c:pt idx="35">
                  <c:v>42244.409722222219</c:v>
                </c:pt>
                <c:pt idx="36">
                  <c:v>42248.350694444445</c:v>
                </c:pt>
                <c:pt idx="37">
                  <c:v>42248.350694444445</c:v>
                </c:pt>
                <c:pt idx="38">
                  <c:v>42248.371527777781</c:v>
                </c:pt>
                <c:pt idx="39">
                  <c:v>42248.388888888891</c:v>
                </c:pt>
                <c:pt idx="40">
                  <c:v>42264.347222222219</c:v>
                </c:pt>
                <c:pt idx="41">
                  <c:v>42264.364583333336</c:v>
                </c:pt>
                <c:pt idx="42">
                  <c:v>42264.385416666664</c:v>
                </c:pt>
                <c:pt idx="43">
                  <c:v>42265.350694444445</c:v>
                </c:pt>
                <c:pt idx="44">
                  <c:v>42265.368055555555</c:v>
                </c:pt>
                <c:pt idx="45">
                  <c:v>42265.385416666664</c:v>
                </c:pt>
                <c:pt idx="46">
                  <c:v>42265.385416666664</c:v>
                </c:pt>
                <c:pt idx="47">
                  <c:v>42267.375</c:v>
                </c:pt>
                <c:pt idx="48">
                  <c:v>42267.395833333336</c:v>
                </c:pt>
                <c:pt idx="49">
                  <c:v>42267.416666666664</c:v>
                </c:pt>
                <c:pt idx="50">
                  <c:v>42267.416666666664</c:v>
                </c:pt>
                <c:pt idx="51">
                  <c:v>42268.340277777781</c:v>
                </c:pt>
                <c:pt idx="52">
                  <c:v>42268.357638888891</c:v>
                </c:pt>
                <c:pt idx="53">
                  <c:v>42268.378472222219</c:v>
                </c:pt>
                <c:pt idx="54">
                  <c:v>42271.378472222219</c:v>
                </c:pt>
                <c:pt idx="55">
                  <c:v>42271.402777777781</c:v>
                </c:pt>
                <c:pt idx="56">
                  <c:v>42271.430555555555</c:v>
                </c:pt>
                <c:pt idx="57">
                  <c:v>42275.361111111109</c:v>
                </c:pt>
                <c:pt idx="58">
                  <c:v>42275.385416666664</c:v>
                </c:pt>
                <c:pt idx="59">
                  <c:v>42275.416666666664</c:v>
                </c:pt>
                <c:pt idx="60">
                  <c:v>42275.416666666664</c:v>
                </c:pt>
                <c:pt idx="61">
                  <c:v>42278.395833333336</c:v>
                </c:pt>
                <c:pt idx="62">
                  <c:v>42278.4375</c:v>
                </c:pt>
                <c:pt idx="63">
                  <c:v>42278.458333333336</c:v>
                </c:pt>
                <c:pt idx="64">
                  <c:v>42304.363194444442</c:v>
                </c:pt>
                <c:pt idx="65">
                  <c:v>42304.467361111114</c:v>
                </c:pt>
                <c:pt idx="66">
                  <c:v>42304.491666666669</c:v>
                </c:pt>
                <c:pt idx="67">
                  <c:v>42304.574305555558</c:v>
                </c:pt>
                <c:pt idx="68">
                  <c:v>42305.620138888888</c:v>
                </c:pt>
                <c:pt idx="69">
                  <c:v>42493</c:v>
                </c:pt>
                <c:pt idx="70">
                  <c:v>42501</c:v>
                </c:pt>
                <c:pt idx="71">
                  <c:v>42509</c:v>
                </c:pt>
                <c:pt idx="72">
                  <c:v>42516</c:v>
                </c:pt>
                <c:pt idx="73">
                  <c:v>42522</c:v>
                </c:pt>
                <c:pt idx="74">
                  <c:v>42528</c:v>
                </c:pt>
                <c:pt idx="75">
                  <c:v>42536</c:v>
                </c:pt>
              </c:numCache>
            </c:numRef>
          </c:xVal>
          <c:yVal>
            <c:numRef>
              <c:f>Durango!$F$4:$F$79</c:f>
              <c:numCache>
                <c:formatCode>General</c:formatCode>
                <c:ptCount val="76"/>
                <c:pt idx="0">
                  <c:v>110</c:v>
                </c:pt>
                <c:pt idx="1">
                  <c:v>43.7</c:v>
                </c:pt>
                <c:pt idx="2">
                  <c:v>38.6</c:v>
                </c:pt>
                <c:pt idx="3">
                  <c:v>36.799999999999997</c:v>
                </c:pt>
                <c:pt idx="4">
                  <c:v>74.7</c:v>
                </c:pt>
                <c:pt idx="5">
                  <c:v>59.6</c:v>
                </c:pt>
                <c:pt idx="6">
                  <c:v>81.900000000000006</c:v>
                </c:pt>
                <c:pt idx="7">
                  <c:v>48</c:v>
                </c:pt>
                <c:pt idx="8">
                  <c:v>68.3</c:v>
                </c:pt>
                <c:pt idx="9">
                  <c:v>48</c:v>
                </c:pt>
                <c:pt idx="10">
                  <c:v>43.6</c:v>
                </c:pt>
                <c:pt idx="11">
                  <c:v>118</c:v>
                </c:pt>
                <c:pt idx="12">
                  <c:v>58.7</c:v>
                </c:pt>
                <c:pt idx="13">
                  <c:v>55.4</c:v>
                </c:pt>
                <c:pt idx="14">
                  <c:v>52.8</c:v>
                </c:pt>
                <c:pt idx="15">
                  <c:v>130</c:v>
                </c:pt>
                <c:pt idx="16">
                  <c:v>76</c:v>
                </c:pt>
                <c:pt idx="17">
                  <c:v>160</c:v>
                </c:pt>
                <c:pt idx="18">
                  <c:v>230</c:v>
                </c:pt>
                <c:pt idx="19">
                  <c:v>200</c:v>
                </c:pt>
                <c:pt idx="20">
                  <c:v>140</c:v>
                </c:pt>
                <c:pt idx="21">
                  <c:v>620</c:v>
                </c:pt>
                <c:pt idx="22">
                  <c:v>190</c:v>
                </c:pt>
                <c:pt idx="23">
                  <c:v>350</c:v>
                </c:pt>
                <c:pt idx="24">
                  <c:v>320</c:v>
                </c:pt>
                <c:pt idx="25">
                  <c:v>270</c:v>
                </c:pt>
                <c:pt idx="26">
                  <c:v>210</c:v>
                </c:pt>
                <c:pt idx="27">
                  <c:v>560</c:v>
                </c:pt>
                <c:pt idx="28">
                  <c:v>120</c:v>
                </c:pt>
                <c:pt idx="29">
                  <c:v>38</c:v>
                </c:pt>
                <c:pt idx="30">
                  <c:v>55</c:v>
                </c:pt>
                <c:pt idx="31">
                  <c:v>66</c:v>
                </c:pt>
                <c:pt idx="32">
                  <c:v>64</c:v>
                </c:pt>
                <c:pt idx="33">
                  <c:v>87</c:v>
                </c:pt>
                <c:pt idx="34">
                  <c:v>74</c:v>
                </c:pt>
                <c:pt idx="35">
                  <c:v>59</c:v>
                </c:pt>
                <c:pt idx="36">
                  <c:v>71</c:v>
                </c:pt>
                <c:pt idx="37">
                  <c:v>72</c:v>
                </c:pt>
                <c:pt idx="38">
                  <c:v>74</c:v>
                </c:pt>
                <c:pt idx="39">
                  <c:v>100</c:v>
                </c:pt>
                <c:pt idx="40">
                  <c:v>53</c:v>
                </c:pt>
                <c:pt idx="41">
                  <c:v>61</c:v>
                </c:pt>
                <c:pt idx="42">
                  <c:v>81</c:v>
                </c:pt>
                <c:pt idx="43">
                  <c:v>43</c:v>
                </c:pt>
                <c:pt idx="44">
                  <c:v>95</c:v>
                </c:pt>
                <c:pt idx="45">
                  <c:v>70</c:v>
                </c:pt>
                <c:pt idx="46">
                  <c:v>83</c:v>
                </c:pt>
                <c:pt idx="47">
                  <c:v>40</c:v>
                </c:pt>
                <c:pt idx="48">
                  <c:v>74</c:v>
                </c:pt>
                <c:pt idx="49">
                  <c:v>64</c:v>
                </c:pt>
                <c:pt idx="50">
                  <c:v>65</c:v>
                </c:pt>
                <c:pt idx="51">
                  <c:v>31</c:v>
                </c:pt>
                <c:pt idx="52">
                  <c:v>34</c:v>
                </c:pt>
                <c:pt idx="53">
                  <c:v>58</c:v>
                </c:pt>
                <c:pt idx="54">
                  <c:v>60</c:v>
                </c:pt>
                <c:pt idx="55">
                  <c:v>62</c:v>
                </c:pt>
                <c:pt idx="56">
                  <c:v>54</c:v>
                </c:pt>
                <c:pt idx="57">
                  <c:v>35</c:v>
                </c:pt>
                <c:pt idx="58">
                  <c:v>67</c:v>
                </c:pt>
                <c:pt idx="59">
                  <c:v>69</c:v>
                </c:pt>
                <c:pt idx="60">
                  <c:v>67</c:v>
                </c:pt>
                <c:pt idx="61">
                  <c:v>33</c:v>
                </c:pt>
                <c:pt idx="62">
                  <c:v>83</c:v>
                </c:pt>
                <c:pt idx="63">
                  <c:v>58</c:v>
                </c:pt>
                <c:pt idx="64">
                  <c:v>100</c:v>
                </c:pt>
                <c:pt idx="65">
                  <c:v>72</c:v>
                </c:pt>
                <c:pt idx="66">
                  <c:v>66</c:v>
                </c:pt>
                <c:pt idx="67">
                  <c:v>48</c:v>
                </c:pt>
                <c:pt idx="68">
                  <c:v>63</c:v>
                </c:pt>
                <c:pt idx="69">
                  <c:v>55</c:v>
                </c:pt>
                <c:pt idx="70">
                  <c:v>120</c:v>
                </c:pt>
                <c:pt idx="71">
                  <c:v>81</c:v>
                </c:pt>
                <c:pt idx="72">
                  <c:v>81</c:v>
                </c:pt>
                <c:pt idx="73">
                  <c:v>81</c:v>
                </c:pt>
                <c:pt idx="74">
                  <c:v>47</c:v>
                </c:pt>
                <c:pt idx="75">
                  <c:v>52</c:v>
                </c:pt>
              </c:numCache>
            </c:numRef>
          </c:yVal>
          <c:smooth val="0"/>
          <c:extLst>
            <c:ext xmlns:c16="http://schemas.microsoft.com/office/drawing/2014/chart" uri="{C3380CC4-5D6E-409C-BE32-E72D297353CC}">
              <c16:uniqueId val="{00000002-3164-4611-B9B7-A74D4BEBC5A9}"/>
            </c:ext>
          </c:extLst>
        </c:ser>
        <c:dLbls>
          <c:showLegendKey val="0"/>
          <c:showVal val="0"/>
          <c:showCatName val="0"/>
          <c:showSerName val="0"/>
          <c:showPercent val="0"/>
          <c:showBubbleSize val="0"/>
        </c:dLbls>
        <c:axId val="1155231504"/>
        <c:axId val="1155231896"/>
      </c:scatterChart>
      <c:valAx>
        <c:axId val="1155231504"/>
        <c:scaling>
          <c:orientation val="minMax"/>
          <c:max val="42550"/>
          <c:min val="42220"/>
        </c:scaling>
        <c:delete val="0"/>
        <c:axPos val="b"/>
        <c:majorGridlines>
          <c:spPr>
            <a:ln w="9525" cap="flat" cmpd="sng" algn="ctr">
              <a:noFill/>
              <a:round/>
            </a:ln>
            <a:effectLst/>
          </c:spPr>
        </c:majorGridlines>
        <c:numFmt formatCode="m/d/yyyy" sourceLinked="1"/>
        <c:majorTickMark val="out"/>
        <c:minorTickMark val="out"/>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55231896"/>
        <c:crosses val="autoZero"/>
        <c:crossBetween val="midCat"/>
        <c:majorUnit val="28"/>
        <c:minorUnit val="7"/>
      </c:valAx>
      <c:valAx>
        <c:axId val="11552318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sz="1000"/>
                  <a:t>Sediment Concentration</a:t>
                </a:r>
                <a:r>
                  <a:rPr lang="en-US" sz="1000" baseline="0"/>
                  <a:t> (</a:t>
                </a:r>
                <a:r>
                  <a:rPr lang="en-US" sz="1000"/>
                  <a:t>mg/kg)</a:t>
                </a:r>
              </a:p>
            </c:rich>
          </c:tx>
          <c:layout>
            <c:manualLayout>
              <c:xMode val="edge"/>
              <c:yMode val="edge"/>
              <c:x val="1.8693790625735531E-2"/>
              <c:y val="0.12304319102969272"/>
            </c:manualLayout>
          </c:layout>
          <c:overlay val="0"/>
          <c:spPr>
            <a:noFill/>
            <a:ln>
              <a:noFill/>
            </a:ln>
            <a:effectLst/>
          </c:sp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crossAx val="1155231504"/>
        <c:crosses val="autoZero"/>
        <c:crossBetween val="midCat"/>
        <c:majorUnit val="100"/>
        <c:minorUnit val="50"/>
      </c:valAx>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1"/>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Animas River At Durango RK 88-103  </a:t>
            </a:r>
            <a:br>
              <a:rPr lang="en-US" sz="1100"/>
            </a:br>
            <a:r>
              <a:rPr lang="en-US" sz="1100"/>
              <a:t>Zinc</a:t>
            </a:r>
          </a:p>
        </c:rich>
      </c:tx>
      <c:layout>
        <c:manualLayout>
          <c:xMode val="edge"/>
          <c:yMode val="edge"/>
          <c:x val="0.28769732550554467"/>
          <c:y val="2.7210884353741496E-2"/>
        </c:manualLayout>
      </c:layout>
      <c:overlay val="0"/>
      <c:spPr>
        <a:noFill/>
        <a:ln>
          <a:noFill/>
        </a:ln>
        <a:effectLst/>
      </c:spPr>
    </c:title>
    <c:autoTitleDeleted val="0"/>
    <c:plotArea>
      <c:layout>
        <c:manualLayout>
          <c:layoutTarget val="inner"/>
          <c:xMode val="edge"/>
          <c:yMode val="edge"/>
          <c:x val="0.18262688339123906"/>
          <c:y val="0.20383237809559521"/>
          <c:w val="0.69723274612846342"/>
          <c:h val="0.57840055707322302"/>
        </c:manualLayout>
      </c:layout>
      <c:scatterChart>
        <c:scatterStyle val="lineMarker"/>
        <c:varyColors val="0"/>
        <c:ser>
          <c:idx val="0"/>
          <c:order val="0"/>
          <c:spPr>
            <a:ln w="19050" cap="rnd">
              <a:solidFill>
                <a:schemeClr val="tx1">
                  <a:lumMod val="50000"/>
                  <a:lumOff val="50000"/>
                </a:schemeClr>
              </a:solidFill>
              <a:prstDash val="sysDash"/>
              <a:round/>
            </a:ln>
            <a:effectLst/>
          </c:spPr>
          <c:marker>
            <c:symbol val="circle"/>
            <c:size val="7"/>
            <c:spPr>
              <a:solidFill>
                <a:schemeClr val="tx2">
                  <a:lumMod val="20000"/>
                  <a:lumOff val="80000"/>
                </a:schemeClr>
              </a:solidFill>
              <a:ln w="9525">
                <a:solidFill>
                  <a:schemeClr val="tx1"/>
                </a:solidFill>
              </a:ln>
              <a:effectLst/>
            </c:spPr>
          </c:marker>
          <c:dPt>
            <c:idx val="69"/>
            <c:bubble3D val="0"/>
            <c:spPr>
              <a:ln w="19050" cap="rnd">
                <a:noFill/>
                <a:prstDash val="sysDash"/>
                <a:round/>
              </a:ln>
              <a:effectLst/>
            </c:spPr>
            <c:extLst>
              <c:ext xmlns:c16="http://schemas.microsoft.com/office/drawing/2014/chart" uri="{C3380CC4-5D6E-409C-BE32-E72D297353CC}">
                <c16:uniqueId val="{00000000-792A-4330-B29B-935D8F760230}"/>
              </c:ext>
            </c:extLst>
          </c:dPt>
          <c:xVal>
            <c:numRef>
              <c:f>Durango!$C$4:$C$79</c:f>
              <c:numCache>
                <c:formatCode>m/d/yyyy</c:formatCode>
                <c:ptCount val="76"/>
                <c:pt idx="0">
                  <c:v>42227</c:v>
                </c:pt>
                <c:pt idx="1">
                  <c:v>42227.419444444444</c:v>
                </c:pt>
                <c:pt idx="2">
                  <c:v>42227.42083333333</c:v>
                </c:pt>
                <c:pt idx="3">
                  <c:v>42227.449305555558</c:v>
                </c:pt>
                <c:pt idx="4">
                  <c:v>42227.449305555558</c:v>
                </c:pt>
                <c:pt idx="5">
                  <c:v>42227.456250000003</c:v>
                </c:pt>
                <c:pt idx="6">
                  <c:v>42227.526388888888</c:v>
                </c:pt>
                <c:pt idx="7">
                  <c:v>42227.590277777781</c:v>
                </c:pt>
                <c:pt idx="8">
                  <c:v>42227.597222222219</c:v>
                </c:pt>
                <c:pt idx="9">
                  <c:v>42227.611111111109</c:v>
                </c:pt>
                <c:pt idx="10">
                  <c:v>42227.62222222222</c:v>
                </c:pt>
                <c:pt idx="11">
                  <c:v>42227.651388888888</c:v>
                </c:pt>
                <c:pt idx="12">
                  <c:v>42227.695138888892</c:v>
                </c:pt>
                <c:pt idx="13">
                  <c:v>42227.708333333336</c:v>
                </c:pt>
                <c:pt idx="14">
                  <c:v>42227.76666666667</c:v>
                </c:pt>
                <c:pt idx="15">
                  <c:v>42229.395833333336</c:v>
                </c:pt>
                <c:pt idx="16">
                  <c:v>42229.409722222219</c:v>
                </c:pt>
                <c:pt idx="17">
                  <c:v>42229.434027777781</c:v>
                </c:pt>
                <c:pt idx="18">
                  <c:v>42229.444444444445</c:v>
                </c:pt>
                <c:pt idx="19">
                  <c:v>42229.479166666664</c:v>
                </c:pt>
                <c:pt idx="20">
                  <c:v>42229.5</c:v>
                </c:pt>
                <c:pt idx="21">
                  <c:v>42229.527777777781</c:v>
                </c:pt>
                <c:pt idx="22">
                  <c:v>42229.545138888891</c:v>
                </c:pt>
                <c:pt idx="23">
                  <c:v>42229.579861111109</c:v>
                </c:pt>
                <c:pt idx="24">
                  <c:v>42229.590277777781</c:v>
                </c:pt>
                <c:pt idx="25">
                  <c:v>42229.600694444445</c:v>
                </c:pt>
                <c:pt idx="26">
                  <c:v>42230.319444444445</c:v>
                </c:pt>
                <c:pt idx="27">
                  <c:v>42230.326388888891</c:v>
                </c:pt>
                <c:pt idx="28">
                  <c:v>42230.527777777781</c:v>
                </c:pt>
                <c:pt idx="29">
                  <c:v>42243.371527777781</c:v>
                </c:pt>
                <c:pt idx="30">
                  <c:v>42243.385416666664</c:v>
                </c:pt>
                <c:pt idx="31">
                  <c:v>42243.402777777781</c:v>
                </c:pt>
                <c:pt idx="32">
                  <c:v>42244.350694444445</c:v>
                </c:pt>
                <c:pt idx="33">
                  <c:v>42244.375</c:v>
                </c:pt>
                <c:pt idx="34">
                  <c:v>42244.409722222219</c:v>
                </c:pt>
                <c:pt idx="35">
                  <c:v>42244.409722222219</c:v>
                </c:pt>
                <c:pt idx="36">
                  <c:v>42248.350694444445</c:v>
                </c:pt>
                <c:pt idx="37">
                  <c:v>42248.350694444445</c:v>
                </c:pt>
                <c:pt idx="38">
                  <c:v>42248.371527777781</c:v>
                </c:pt>
                <c:pt idx="39">
                  <c:v>42248.388888888891</c:v>
                </c:pt>
                <c:pt idx="40">
                  <c:v>42264.347222222219</c:v>
                </c:pt>
                <c:pt idx="41">
                  <c:v>42264.364583333336</c:v>
                </c:pt>
                <c:pt idx="42">
                  <c:v>42264.385416666664</c:v>
                </c:pt>
                <c:pt idx="43">
                  <c:v>42265.350694444445</c:v>
                </c:pt>
                <c:pt idx="44">
                  <c:v>42265.368055555555</c:v>
                </c:pt>
                <c:pt idx="45">
                  <c:v>42265.385416666664</c:v>
                </c:pt>
                <c:pt idx="46">
                  <c:v>42265.385416666664</c:v>
                </c:pt>
                <c:pt idx="47">
                  <c:v>42267.375</c:v>
                </c:pt>
                <c:pt idx="48">
                  <c:v>42267.395833333336</c:v>
                </c:pt>
                <c:pt idx="49">
                  <c:v>42267.416666666664</c:v>
                </c:pt>
                <c:pt idx="50">
                  <c:v>42267.416666666664</c:v>
                </c:pt>
                <c:pt idx="51">
                  <c:v>42268.340277777781</c:v>
                </c:pt>
                <c:pt idx="52">
                  <c:v>42268.357638888891</c:v>
                </c:pt>
                <c:pt idx="53">
                  <c:v>42268.378472222219</c:v>
                </c:pt>
                <c:pt idx="54">
                  <c:v>42271.378472222219</c:v>
                </c:pt>
                <c:pt idx="55">
                  <c:v>42271.402777777781</c:v>
                </c:pt>
                <c:pt idx="56">
                  <c:v>42271.430555555555</c:v>
                </c:pt>
                <c:pt idx="57">
                  <c:v>42275.361111111109</c:v>
                </c:pt>
                <c:pt idx="58">
                  <c:v>42275.385416666664</c:v>
                </c:pt>
                <c:pt idx="59">
                  <c:v>42275.416666666664</c:v>
                </c:pt>
                <c:pt idx="60">
                  <c:v>42275.416666666664</c:v>
                </c:pt>
                <c:pt idx="61">
                  <c:v>42278.395833333336</c:v>
                </c:pt>
                <c:pt idx="62">
                  <c:v>42278.4375</c:v>
                </c:pt>
                <c:pt idx="63">
                  <c:v>42278.458333333336</c:v>
                </c:pt>
                <c:pt idx="64">
                  <c:v>42304.363194444442</c:v>
                </c:pt>
                <c:pt idx="65">
                  <c:v>42304.467361111114</c:v>
                </c:pt>
                <c:pt idx="66">
                  <c:v>42304.491666666669</c:v>
                </c:pt>
                <c:pt idx="67">
                  <c:v>42304.574305555558</c:v>
                </c:pt>
                <c:pt idx="68">
                  <c:v>42305.620138888888</c:v>
                </c:pt>
                <c:pt idx="69">
                  <c:v>42493</c:v>
                </c:pt>
                <c:pt idx="70">
                  <c:v>42501</c:v>
                </c:pt>
                <c:pt idx="71">
                  <c:v>42509</c:v>
                </c:pt>
                <c:pt idx="72">
                  <c:v>42516</c:v>
                </c:pt>
                <c:pt idx="73">
                  <c:v>42522</c:v>
                </c:pt>
                <c:pt idx="74">
                  <c:v>42528</c:v>
                </c:pt>
                <c:pt idx="75">
                  <c:v>42536</c:v>
                </c:pt>
              </c:numCache>
            </c:numRef>
          </c:xVal>
          <c:yVal>
            <c:numRef>
              <c:f>Durango!$J$4:$J$79</c:f>
              <c:numCache>
                <c:formatCode>General</c:formatCode>
                <c:ptCount val="76"/>
                <c:pt idx="0">
                  <c:v>1100</c:v>
                </c:pt>
                <c:pt idx="1">
                  <c:v>716</c:v>
                </c:pt>
                <c:pt idx="2">
                  <c:v>715</c:v>
                </c:pt>
                <c:pt idx="3">
                  <c:v>566</c:v>
                </c:pt>
                <c:pt idx="4">
                  <c:v>828</c:v>
                </c:pt>
                <c:pt idx="5">
                  <c:v>807</c:v>
                </c:pt>
                <c:pt idx="6">
                  <c:v>878</c:v>
                </c:pt>
                <c:pt idx="7">
                  <c:v>680</c:v>
                </c:pt>
                <c:pt idx="8">
                  <c:v>783</c:v>
                </c:pt>
                <c:pt idx="9">
                  <c:v>680</c:v>
                </c:pt>
                <c:pt idx="10">
                  <c:v>489</c:v>
                </c:pt>
                <c:pt idx="11">
                  <c:v>1240</c:v>
                </c:pt>
                <c:pt idx="12">
                  <c:v>759</c:v>
                </c:pt>
                <c:pt idx="13">
                  <c:v>943</c:v>
                </c:pt>
                <c:pt idx="14">
                  <c:v>1040</c:v>
                </c:pt>
                <c:pt idx="15">
                  <c:v>850</c:v>
                </c:pt>
                <c:pt idx="16">
                  <c:v>790</c:v>
                </c:pt>
                <c:pt idx="17">
                  <c:v>1100</c:v>
                </c:pt>
                <c:pt idx="18">
                  <c:v>1500</c:v>
                </c:pt>
                <c:pt idx="19">
                  <c:v>1100</c:v>
                </c:pt>
                <c:pt idx="20">
                  <c:v>900</c:v>
                </c:pt>
                <c:pt idx="21">
                  <c:v>2600</c:v>
                </c:pt>
                <c:pt idx="22">
                  <c:v>1300</c:v>
                </c:pt>
                <c:pt idx="23">
                  <c:v>1600</c:v>
                </c:pt>
                <c:pt idx="24">
                  <c:v>1100</c:v>
                </c:pt>
                <c:pt idx="25">
                  <c:v>1300</c:v>
                </c:pt>
                <c:pt idx="26">
                  <c:v>830</c:v>
                </c:pt>
                <c:pt idx="27">
                  <c:v>1500</c:v>
                </c:pt>
                <c:pt idx="28">
                  <c:v>1100</c:v>
                </c:pt>
                <c:pt idx="29">
                  <c:v>500</c:v>
                </c:pt>
                <c:pt idx="30">
                  <c:v>640</c:v>
                </c:pt>
                <c:pt idx="31">
                  <c:v>710</c:v>
                </c:pt>
                <c:pt idx="32">
                  <c:v>1300</c:v>
                </c:pt>
                <c:pt idx="33">
                  <c:v>730</c:v>
                </c:pt>
                <c:pt idx="34">
                  <c:v>610</c:v>
                </c:pt>
                <c:pt idx="35">
                  <c:v>450</c:v>
                </c:pt>
                <c:pt idx="36">
                  <c:v>710</c:v>
                </c:pt>
                <c:pt idx="37">
                  <c:v>880</c:v>
                </c:pt>
                <c:pt idx="38">
                  <c:v>730</c:v>
                </c:pt>
                <c:pt idx="39">
                  <c:v>830</c:v>
                </c:pt>
                <c:pt idx="40">
                  <c:v>600</c:v>
                </c:pt>
                <c:pt idx="41">
                  <c:v>700</c:v>
                </c:pt>
                <c:pt idx="42">
                  <c:v>640</c:v>
                </c:pt>
                <c:pt idx="43">
                  <c:v>430</c:v>
                </c:pt>
                <c:pt idx="44">
                  <c:v>910</c:v>
                </c:pt>
                <c:pt idx="45">
                  <c:v>600</c:v>
                </c:pt>
                <c:pt idx="46">
                  <c:v>750</c:v>
                </c:pt>
                <c:pt idx="47">
                  <c:v>280</c:v>
                </c:pt>
                <c:pt idx="48">
                  <c:v>850</c:v>
                </c:pt>
                <c:pt idx="49">
                  <c:v>560</c:v>
                </c:pt>
                <c:pt idx="50">
                  <c:v>580</c:v>
                </c:pt>
                <c:pt idx="51">
                  <c:v>280</c:v>
                </c:pt>
                <c:pt idx="52">
                  <c:v>460</c:v>
                </c:pt>
                <c:pt idx="53">
                  <c:v>530</c:v>
                </c:pt>
                <c:pt idx="54">
                  <c:v>580</c:v>
                </c:pt>
                <c:pt idx="55">
                  <c:v>670</c:v>
                </c:pt>
                <c:pt idx="56">
                  <c:v>520</c:v>
                </c:pt>
                <c:pt idx="57">
                  <c:v>320</c:v>
                </c:pt>
                <c:pt idx="58">
                  <c:v>680</c:v>
                </c:pt>
                <c:pt idx="59">
                  <c:v>630</c:v>
                </c:pt>
                <c:pt idx="60">
                  <c:v>580</c:v>
                </c:pt>
                <c:pt idx="61">
                  <c:v>410</c:v>
                </c:pt>
                <c:pt idx="62">
                  <c:v>970</c:v>
                </c:pt>
                <c:pt idx="63">
                  <c:v>560</c:v>
                </c:pt>
                <c:pt idx="64">
                  <c:v>830</c:v>
                </c:pt>
                <c:pt idx="65">
                  <c:v>810</c:v>
                </c:pt>
                <c:pt idx="66">
                  <c:v>960</c:v>
                </c:pt>
                <c:pt idx="67">
                  <c:v>870</c:v>
                </c:pt>
                <c:pt idx="68">
                  <c:v>670</c:v>
                </c:pt>
                <c:pt idx="69">
                  <c:v>560</c:v>
                </c:pt>
                <c:pt idx="70">
                  <c:v>650</c:v>
                </c:pt>
                <c:pt idx="71">
                  <c:v>690</c:v>
                </c:pt>
                <c:pt idx="72">
                  <c:v>710</c:v>
                </c:pt>
                <c:pt idx="73">
                  <c:v>740</c:v>
                </c:pt>
                <c:pt idx="74">
                  <c:v>620</c:v>
                </c:pt>
                <c:pt idx="75">
                  <c:v>730</c:v>
                </c:pt>
              </c:numCache>
            </c:numRef>
          </c:yVal>
          <c:smooth val="0"/>
          <c:extLst>
            <c:ext xmlns:c16="http://schemas.microsoft.com/office/drawing/2014/chart" uri="{C3380CC4-5D6E-409C-BE32-E72D297353CC}">
              <c16:uniqueId val="{00000002-6B6C-4C91-ABD8-6E1F81EB14AF}"/>
            </c:ext>
          </c:extLst>
        </c:ser>
        <c:dLbls>
          <c:showLegendKey val="0"/>
          <c:showVal val="0"/>
          <c:showCatName val="0"/>
          <c:showSerName val="0"/>
          <c:showPercent val="0"/>
          <c:showBubbleSize val="0"/>
        </c:dLbls>
        <c:axId val="1155231504"/>
        <c:axId val="1155231896"/>
      </c:scatterChart>
      <c:valAx>
        <c:axId val="1155231504"/>
        <c:scaling>
          <c:orientation val="minMax"/>
          <c:max val="42550"/>
          <c:min val="42220"/>
        </c:scaling>
        <c:delete val="0"/>
        <c:axPos val="b"/>
        <c:majorGridlines>
          <c:spPr>
            <a:ln w="9525" cap="flat" cmpd="sng" algn="ctr">
              <a:noFill/>
              <a:round/>
            </a:ln>
            <a:effectLst/>
          </c:spPr>
        </c:majorGridlines>
        <c:numFmt formatCode="m/d/yyyy" sourceLinked="1"/>
        <c:majorTickMark val="out"/>
        <c:minorTickMark val="out"/>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55231896"/>
        <c:crosses val="autoZero"/>
        <c:crossBetween val="midCat"/>
        <c:majorUnit val="28"/>
        <c:minorUnit val="7"/>
      </c:valAx>
      <c:valAx>
        <c:axId val="11552318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sz="1000"/>
                  <a:t>Sediment Concentration</a:t>
                </a:r>
                <a:r>
                  <a:rPr lang="en-US" sz="1000" baseline="0"/>
                  <a:t> (</a:t>
                </a:r>
                <a:r>
                  <a:rPr lang="en-US" sz="1000"/>
                  <a:t>mg/kg)</a:t>
                </a:r>
              </a:p>
            </c:rich>
          </c:tx>
          <c:layout>
            <c:manualLayout>
              <c:xMode val="edge"/>
              <c:yMode val="edge"/>
              <c:x val="2.1476683485517747E-2"/>
              <c:y val="0.16385951756030495"/>
            </c:manualLayout>
          </c:layout>
          <c:overlay val="0"/>
          <c:spPr>
            <a:noFill/>
            <a:ln>
              <a:noFill/>
            </a:ln>
            <a:effectLst/>
          </c:sp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crossAx val="1155231504"/>
        <c:crosses val="autoZero"/>
        <c:crossBetween val="midCat"/>
      </c:valAx>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a:t>Animas River  at Farmington RK 190.2</a:t>
            </a:r>
            <a:br>
              <a:rPr lang="en-US"/>
            </a:br>
            <a:r>
              <a:rPr lang="en-US"/>
              <a:t>Aluminum</a:t>
            </a:r>
          </a:p>
        </c:rich>
      </c:tx>
      <c:layout>
        <c:manualLayout>
          <c:xMode val="edge"/>
          <c:yMode val="edge"/>
          <c:x val="0.22236593980301603"/>
          <c:y val="8.0262467191601045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Aluminu, Al</c:v>
          </c:tx>
          <c:spPr>
            <a:ln w="19050" cap="rnd">
              <a:solidFill>
                <a:schemeClr val="tx1">
                  <a:lumMod val="50000"/>
                  <a:lumOff val="50000"/>
                </a:schemeClr>
              </a:solidFill>
              <a:prstDash val="sysDash"/>
              <a:round/>
            </a:ln>
            <a:effectLst/>
          </c:spPr>
          <c:marker>
            <c:symbol val="circle"/>
            <c:size val="7"/>
            <c:spPr>
              <a:solidFill>
                <a:schemeClr val="accent3">
                  <a:lumMod val="60000"/>
                  <a:lumOff val="40000"/>
                </a:schemeClr>
              </a:solidFill>
              <a:ln w="9525">
                <a:solidFill>
                  <a:schemeClr val="tx1">
                    <a:lumMod val="65000"/>
                    <a:lumOff val="35000"/>
                  </a:schemeClr>
                </a:solidFill>
              </a:ln>
              <a:effectLst/>
            </c:spPr>
          </c:marker>
          <c:dPt>
            <c:idx val="37"/>
            <c:marker>
              <c:symbol val="circle"/>
              <c:size val="7"/>
              <c:spPr>
                <a:solidFill>
                  <a:schemeClr val="accent3">
                    <a:lumMod val="60000"/>
                    <a:lumOff val="40000"/>
                  </a:schemeClr>
                </a:solidFill>
                <a:ln w="9525">
                  <a:solidFill>
                    <a:schemeClr val="tx1">
                      <a:lumMod val="65000"/>
                      <a:lumOff val="35000"/>
                    </a:schemeClr>
                  </a:solidFill>
                </a:ln>
                <a:effectLst/>
              </c:spPr>
            </c:marker>
            <c:bubble3D val="0"/>
            <c:spPr>
              <a:ln w="19050" cap="rnd">
                <a:noFill/>
                <a:prstDash val="sysDash"/>
                <a:round/>
              </a:ln>
              <a:effectLst/>
            </c:spPr>
            <c:extLst>
              <c:ext xmlns:c16="http://schemas.microsoft.com/office/drawing/2014/chart" uri="{C3380CC4-5D6E-409C-BE32-E72D297353CC}">
                <c16:uniqueId val="{00000001-4BBA-416E-95EA-D28AFB0874E6}"/>
              </c:ext>
            </c:extLst>
          </c:dPt>
          <c:xVal>
            <c:numRef>
              <c:f>Farmington!$AD$15:$AD$58</c:f>
              <c:numCache>
                <c:formatCode>m/d/yyyy</c:formatCode>
                <c:ptCount val="44"/>
                <c:pt idx="0">
                  <c:v>42236.427083333336</c:v>
                </c:pt>
                <c:pt idx="1">
                  <c:v>42237.451388888891</c:v>
                </c:pt>
                <c:pt idx="2">
                  <c:v>42238.4375</c:v>
                </c:pt>
                <c:pt idx="3">
                  <c:v>42239.430555555555</c:v>
                </c:pt>
                <c:pt idx="4">
                  <c:v>42240.434027777781</c:v>
                </c:pt>
                <c:pt idx="5">
                  <c:v>42241.409722222219</c:v>
                </c:pt>
                <c:pt idx="6">
                  <c:v>42242.413194444445</c:v>
                </c:pt>
                <c:pt idx="7">
                  <c:v>42243.4375</c:v>
                </c:pt>
                <c:pt idx="8">
                  <c:v>42244.423611111109</c:v>
                </c:pt>
                <c:pt idx="9">
                  <c:v>42245.423611111109</c:v>
                </c:pt>
                <c:pt idx="10">
                  <c:v>42246.440972222219</c:v>
                </c:pt>
                <c:pt idx="11">
                  <c:v>42247.402777777781</c:v>
                </c:pt>
                <c:pt idx="12">
                  <c:v>42248.413194444445</c:v>
                </c:pt>
                <c:pt idx="13">
                  <c:v>42252.454861111109</c:v>
                </c:pt>
                <c:pt idx="14">
                  <c:v>42253.451388888891</c:v>
                </c:pt>
                <c:pt idx="15">
                  <c:v>42254.423611111109</c:v>
                </c:pt>
                <c:pt idx="16">
                  <c:v>42255.450694444444</c:v>
                </c:pt>
                <c:pt idx="17">
                  <c:v>42256.465277777781</c:v>
                </c:pt>
                <c:pt idx="18">
                  <c:v>42257.444444444445</c:v>
                </c:pt>
                <c:pt idx="19">
                  <c:v>42258.422222222223</c:v>
                </c:pt>
                <c:pt idx="20">
                  <c:v>42259.461111111108</c:v>
                </c:pt>
                <c:pt idx="21">
                  <c:v>42260.480555555558</c:v>
                </c:pt>
                <c:pt idx="22">
                  <c:v>42261.50277777778</c:v>
                </c:pt>
                <c:pt idx="23">
                  <c:v>42262.454861111109</c:v>
                </c:pt>
                <c:pt idx="24">
                  <c:v>42263.454861111109</c:v>
                </c:pt>
                <c:pt idx="25">
                  <c:v>42264.434027777781</c:v>
                </c:pt>
                <c:pt idx="26">
                  <c:v>42265.572916666664</c:v>
                </c:pt>
                <c:pt idx="27">
                  <c:v>42266.444444444445</c:v>
                </c:pt>
                <c:pt idx="28">
                  <c:v>42267.434027777781</c:v>
                </c:pt>
                <c:pt idx="29">
                  <c:v>42268.496527777781</c:v>
                </c:pt>
                <c:pt idx="30">
                  <c:v>42269.375</c:v>
                </c:pt>
                <c:pt idx="31">
                  <c:v>42271.420138888891</c:v>
                </c:pt>
                <c:pt idx="32">
                  <c:v>42275.409722222219</c:v>
                </c:pt>
                <c:pt idx="33">
                  <c:v>42277.402777777781</c:v>
                </c:pt>
                <c:pt idx="34">
                  <c:v>42285.447916666664</c:v>
                </c:pt>
                <c:pt idx="35">
                  <c:v>42291.46875</c:v>
                </c:pt>
                <c:pt idx="36">
                  <c:v>42326.333333333336</c:v>
                </c:pt>
                <c:pt idx="37">
                  <c:v>42530.392361111109</c:v>
                </c:pt>
              </c:numCache>
            </c:numRef>
          </c:xVal>
          <c:yVal>
            <c:numRef>
              <c:f>Farmington!$AE$15:$AE$58</c:f>
              <c:numCache>
                <c:formatCode>General</c:formatCode>
                <c:ptCount val="44"/>
                <c:pt idx="0">
                  <c:v>8100</c:v>
                </c:pt>
                <c:pt idx="1">
                  <c:v>8900</c:v>
                </c:pt>
                <c:pt idx="2">
                  <c:v>6700</c:v>
                </c:pt>
                <c:pt idx="3">
                  <c:v>9200</c:v>
                </c:pt>
                <c:pt idx="4">
                  <c:v>6600</c:v>
                </c:pt>
                <c:pt idx="5">
                  <c:v>8800</c:v>
                </c:pt>
                <c:pt idx="6">
                  <c:v>7900</c:v>
                </c:pt>
                <c:pt idx="7">
                  <c:v>6400</c:v>
                </c:pt>
                <c:pt idx="8">
                  <c:v>8300</c:v>
                </c:pt>
                <c:pt idx="9">
                  <c:v>9700</c:v>
                </c:pt>
                <c:pt idx="10">
                  <c:v>12000</c:v>
                </c:pt>
                <c:pt idx="11">
                  <c:v>12000</c:v>
                </c:pt>
                <c:pt idx="12">
                  <c:v>9300</c:v>
                </c:pt>
                <c:pt idx="13">
                  <c:v>7200</c:v>
                </c:pt>
                <c:pt idx="14">
                  <c:v>5400</c:v>
                </c:pt>
                <c:pt idx="15">
                  <c:v>11000</c:v>
                </c:pt>
                <c:pt idx="16">
                  <c:v>7300</c:v>
                </c:pt>
                <c:pt idx="17">
                  <c:v>10000</c:v>
                </c:pt>
                <c:pt idx="18">
                  <c:v>13000</c:v>
                </c:pt>
                <c:pt idx="19">
                  <c:v>12000</c:v>
                </c:pt>
                <c:pt idx="20">
                  <c:v>11000</c:v>
                </c:pt>
                <c:pt idx="21">
                  <c:v>12000</c:v>
                </c:pt>
                <c:pt idx="22">
                  <c:v>11000</c:v>
                </c:pt>
                <c:pt idx="23">
                  <c:v>16000</c:v>
                </c:pt>
                <c:pt idx="24">
                  <c:v>10000</c:v>
                </c:pt>
                <c:pt idx="25">
                  <c:v>11000</c:v>
                </c:pt>
                <c:pt idx="26">
                  <c:v>12000</c:v>
                </c:pt>
                <c:pt idx="27">
                  <c:v>13000</c:v>
                </c:pt>
                <c:pt idx="28">
                  <c:v>17000</c:v>
                </c:pt>
                <c:pt idx="29">
                  <c:v>9900</c:v>
                </c:pt>
                <c:pt idx="30">
                  <c:v>7800</c:v>
                </c:pt>
                <c:pt idx="31">
                  <c:v>10000</c:v>
                </c:pt>
                <c:pt idx="32">
                  <c:v>11000</c:v>
                </c:pt>
                <c:pt idx="33">
                  <c:v>14000</c:v>
                </c:pt>
                <c:pt idx="34">
                  <c:v>13000</c:v>
                </c:pt>
                <c:pt idx="35">
                  <c:v>13000</c:v>
                </c:pt>
                <c:pt idx="36">
                  <c:v>6500</c:v>
                </c:pt>
                <c:pt idx="37">
                  <c:v>9500</c:v>
                </c:pt>
              </c:numCache>
            </c:numRef>
          </c:yVal>
          <c:smooth val="0"/>
          <c:extLst>
            <c:ext xmlns:c16="http://schemas.microsoft.com/office/drawing/2014/chart" uri="{C3380CC4-5D6E-409C-BE32-E72D297353CC}">
              <c16:uniqueId val="{00000000-14A0-4C3A-8953-1B0D792D035C}"/>
            </c:ext>
          </c:extLst>
        </c:ser>
        <c:dLbls>
          <c:showLegendKey val="0"/>
          <c:showVal val="0"/>
          <c:showCatName val="0"/>
          <c:showSerName val="0"/>
          <c:showPercent val="0"/>
          <c:showBubbleSize val="0"/>
        </c:dLbls>
        <c:axId val="1155244832"/>
        <c:axId val="1155245224"/>
      </c:scatterChart>
      <c:valAx>
        <c:axId val="1155244832"/>
        <c:scaling>
          <c:orientation val="minMax"/>
        </c:scaling>
        <c:delete val="0"/>
        <c:axPos val="b"/>
        <c:majorGridlines>
          <c:spPr>
            <a:ln w="9525" cap="flat" cmpd="sng" algn="ctr">
              <a:noFill/>
              <a:round/>
            </a:ln>
            <a:effectLst/>
          </c:spPr>
        </c:majorGridlines>
        <c:numFmt formatCode="m/d/yyyy" sourceLinked="1"/>
        <c:majorTickMark val="none"/>
        <c:minorTickMark val="none"/>
        <c:tickLblPos val="nextTo"/>
        <c:spPr>
          <a:noFill/>
          <a:ln w="9525" cap="flat" cmpd="sng" algn="ctr">
            <a:solidFill>
              <a:schemeClr val="tx1">
                <a:lumMod val="25000"/>
                <a:lumOff val="75000"/>
              </a:schemeClr>
            </a:solidFill>
            <a:round/>
          </a:ln>
          <a:effectLst/>
        </c:spPr>
        <c:txPr>
          <a:bodyPr rot="2700000" spcFirstLastPara="1" vertOverflow="ellipsis"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crossAx val="1155245224"/>
        <c:crosses val="autoZero"/>
        <c:crossBetween val="midCat"/>
      </c:valAx>
      <c:valAx>
        <c:axId val="11552452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r>
                  <a:rPr lang="en-US" sz="1050"/>
                  <a:t>Sediment Concentration mg/kg</a:t>
                </a:r>
              </a:p>
            </c:rich>
          </c:tx>
          <c:layout>
            <c:manualLayout>
              <c:xMode val="edge"/>
              <c:yMode val="edge"/>
              <c:x val="2.5697430789173872E-2"/>
              <c:y val="0.24421356191235588"/>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crossAx val="1155244832"/>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000" b="1"/>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a:t>Animas River at Farmington RK 190.2</a:t>
            </a:r>
            <a:br>
              <a:rPr lang="en-US" sz="1200"/>
            </a:br>
            <a:r>
              <a:rPr lang="en-US" sz="1200"/>
              <a:t>Iron</a:t>
            </a:r>
          </a:p>
        </c:rich>
      </c:tx>
      <c:layout>
        <c:manualLayout>
          <c:xMode val="edge"/>
          <c:yMode val="edge"/>
          <c:x val="0.25983155818130055"/>
          <c:y val="7.1174377224199295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Iron, Fe</c:v>
          </c:tx>
          <c:spPr>
            <a:ln w="19050" cap="rnd">
              <a:solidFill>
                <a:schemeClr val="tx1">
                  <a:lumMod val="50000"/>
                  <a:lumOff val="50000"/>
                </a:schemeClr>
              </a:solidFill>
              <a:prstDash val="sysDash"/>
              <a:round/>
            </a:ln>
            <a:effectLst/>
          </c:spPr>
          <c:marker>
            <c:symbol val="circle"/>
            <c:size val="7"/>
            <c:spPr>
              <a:solidFill>
                <a:schemeClr val="accent3">
                  <a:lumMod val="60000"/>
                  <a:lumOff val="40000"/>
                </a:schemeClr>
              </a:solidFill>
              <a:ln w="9525">
                <a:solidFill>
                  <a:schemeClr val="tx1">
                    <a:lumMod val="75000"/>
                    <a:lumOff val="25000"/>
                  </a:schemeClr>
                </a:solidFill>
              </a:ln>
              <a:effectLst/>
            </c:spPr>
          </c:marker>
          <c:dPt>
            <c:idx val="45"/>
            <c:marker>
              <c:symbol val="circle"/>
              <c:size val="7"/>
              <c:spPr>
                <a:solidFill>
                  <a:schemeClr val="accent3">
                    <a:lumMod val="60000"/>
                    <a:lumOff val="40000"/>
                  </a:schemeClr>
                </a:solidFill>
                <a:ln w="9525">
                  <a:solidFill>
                    <a:schemeClr val="tx1">
                      <a:lumMod val="75000"/>
                      <a:lumOff val="25000"/>
                    </a:schemeClr>
                  </a:solidFill>
                </a:ln>
                <a:effectLst/>
              </c:spPr>
            </c:marker>
            <c:bubble3D val="0"/>
            <c:spPr>
              <a:ln w="19050" cap="rnd">
                <a:noFill/>
                <a:prstDash val="sysDash"/>
                <a:round/>
              </a:ln>
              <a:effectLst/>
            </c:spPr>
            <c:extLst>
              <c:ext xmlns:c16="http://schemas.microsoft.com/office/drawing/2014/chart" uri="{C3380CC4-5D6E-409C-BE32-E72D297353CC}">
                <c16:uniqueId val="{00000001-F7CD-456C-80C6-F3599D1D204E}"/>
              </c:ext>
            </c:extLst>
          </c:dPt>
          <c:xVal>
            <c:numRef>
              <c:f>Farmington!$AD$7:$AD$52</c:f>
              <c:numCache>
                <c:formatCode>m/d/yyyy</c:formatCode>
                <c:ptCount val="46"/>
                <c:pt idx="0">
                  <c:v>42227.541666666664</c:v>
                </c:pt>
                <c:pt idx="1">
                  <c:v>42228.461805555555</c:v>
                </c:pt>
                <c:pt idx="2">
                  <c:v>42229.451388888891</c:v>
                </c:pt>
                <c:pt idx="3">
                  <c:v>42231.434027777781</c:v>
                </c:pt>
                <c:pt idx="4">
                  <c:v>42232.375</c:v>
                </c:pt>
                <c:pt idx="5">
                  <c:v>42233.347222222219</c:v>
                </c:pt>
                <c:pt idx="6">
                  <c:v>42234.479166666664</c:v>
                </c:pt>
                <c:pt idx="7">
                  <c:v>42235.458333333336</c:v>
                </c:pt>
                <c:pt idx="8">
                  <c:v>42236.427083333336</c:v>
                </c:pt>
                <c:pt idx="9">
                  <c:v>42237.451388888891</c:v>
                </c:pt>
                <c:pt idx="10">
                  <c:v>42238.4375</c:v>
                </c:pt>
                <c:pt idx="11">
                  <c:v>42239.430555555555</c:v>
                </c:pt>
                <c:pt idx="12">
                  <c:v>42240.434027777781</c:v>
                </c:pt>
                <c:pt idx="13">
                  <c:v>42241.409722222219</c:v>
                </c:pt>
                <c:pt idx="14">
                  <c:v>42242.413194444445</c:v>
                </c:pt>
                <c:pt idx="15">
                  <c:v>42243.4375</c:v>
                </c:pt>
                <c:pt idx="16">
                  <c:v>42244.423611111109</c:v>
                </c:pt>
                <c:pt idx="17">
                  <c:v>42245.423611111109</c:v>
                </c:pt>
                <c:pt idx="18">
                  <c:v>42246.440972222219</c:v>
                </c:pt>
                <c:pt idx="19">
                  <c:v>42247.402777777781</c:v>
                </c:pt>
                <c:pt idx="20">
                  <c:v>42248.413194444445</c:v>
                </c:pt>
                <c:pt idx="21">
                  <c:v>42252.454861111109</c:v>
                </c:pt>
                <c:pt idx="22">
                  <c:v>42253.451388888891</c:v>
                </c:pt>
                <c:pt idx="23">
                  <c:v>42254.423611111109</c:v>
                </c:pt>
                <c:pt idx="24">
                  <c:v>42255.450694444444</c:v>
                </c:pt>
                <c:pt idx="25">
                  <c:v>42256.465277777781</c:v>
                </c:pt>
                <c:pt idx="26">
                  <c:v>42257.444444444445</c:v>
                </c:pt>
                <c:pt idx="27">
                  <c:v>42258.422222222223</c:v>
                </c:pt>
                <c:pt idx="28">
                  <c:v>42259.461111111108</c:v>
                </c:pt>
                <c:pt idx="29">
                  <c:v>42260.480555555558</c:v>
                </c:pt>
                <c:pt idx="30">
                  <c:v>42261.50277777778</c:v>
                </c:pt>
                <c:pt idx="31">
                  <c:v>42262.454861111109</c:v>
                </c:pt>
                <c:pt idx="32">
                  <c:v>42263.454861111109</c:v>
                </c:pt>
                <c:pt idx="33">
                  <c:v>42264.434027777781</c:v>
                </c:pt>
                <c:pt idx="34">
                  <c:v>42265.572916666664</c:v>
                </c:pt>
                <c:pt idx="35">
                  <c:v>42266.444444444445</c:v>
                </c:pt>
                <c:pt idx="36">
                  <c:v>42267.434027777781</c:v>
                </c:pt>
                <c:pt idx="37">
                  <c:v>42268.496527777781</c:v>
                </c:pt>
                <c:pt idx="38">
                  <c:v>42269.375</c:v>
                </c:pt>
                <c:pt idx="39">
                  <c:v>42271.420138888891</c:v>
                </c:pt>
                <c:pt idx="40">
                  <c:v>42275.409722222219</c:v>
                </c:pt>
                <c:pt idx="41">
                  <c:v>42277.402777777781</c:v>
                </c:pt>
                <c:pt idx="42">
                  <c:v>42285.447916666664</c:v>
                </c:pt>
                <c:pt idx="43">
                  <c:v>42291.46875</c:v>
                </c:pt>
                <c:pt idx="44">
                  <c:v>42326.333333333336</c:v>
                </c:pt>
                <c:pt idx="45">
                  <c:v>42530.392361111109</c:v>
                </c:pt>
              </c:numCache>
            </c:numRef>
          </c:xVal>
          <c:yVal>
            <c:numRef>
              <c:f>Farmington!$AH$7:$AH$52</c:f>
              <c:numCache>
                <c:formatCode>General</c:formatCode>
                <c:ptCount val="46"/>
                <c:pt idx="0">
                  <c:v>14000</c:v>
                </c:pt>
                <c:pt idx="1">
                  <c:v>14000</c:v>
                </c:pt>
                <c:pt idx="2">
                  <c:v>15000</c:v>
                </c:pt>
                <c:pt idx="3">
                  <c:v>23000</c:v>
                </c:pt>
                <c:pt idx="4">
                  <c:v>13000</c:v>
                </c:pt>
                <c:pt idx="5">
                  <c:v>13000</c:v>
                </c:pt>
                <c:pt idx="6">
                  <c:v>12000</c:v>
                </c:pt>
                <c:pt idx="7">
                  <c:v>12000</c:v>
                </c:pt>
                <c:pt idx="8">
                  <c:v>12000</c:v>
                </c:pt>
                <c:pt idx="9">
                  <c:v>13000</c:v>
                </c:pt>
                <c:pt idx="10">
                  <c:v>11000</c:v>
                </c:pt>
                <c:pt idx="11">
                  <c:v>13000</c:v>
                </c:pt>
                <c:pt idx="12">
                  <c:v>11000</c:v>
                </c:pt>
                <c:pt idx="13">
                  <c:v>13000</c:v>
                </c:pt>
                <c:pt idx="14">
                  <c:v>13000</c:v>
                </c:pt>
                <c:pt idx="15">
                  <c:v>10000</c:v>
                </c:pt>
                <c:pt idx="16">
                  <c:v>12000</c:v>
                </c:pt>
                <c:pt idx="17">
                  <c:v>14000</c:v>
                </c:pt>
                <c:pt idx="18">
                  <c:v>14000</c:v>
                </c:pt>
                <c:pt idx="19">
                  <c:v>15000</c:v>
                </c:pt>
                <c:pt idx="20">
                  <c:v>11000</c:v>
                </c:pt>
                <c:pt idx="21">
                  <c:v>11000</c:v>
                </c:pt>
                <c:pt idx="22">
                  <c:v>9000</c:v>
                </c:pt>
                <c:pt idx="23">
                  <c:v>16000</c:v>
                </c:pt>
                <c:pt idx="24">
                  <c:v>10000</c:v>
                </c:pt>
                <c:pt idx="25">
                  <c:v>13000</c:v>
                </c:pt>
                <c:pt idx="26">
                  <c:v>15000</c:v>
                </c:pt>
                <c:pt idx="27">
                  <c:v>15000</c:v>
                </c:pt>
                <c:pt idx="28">
                  <c:v>14000</c:v>
                </c:pt>
                <c:pt idx="29">
                  <c:v>16000</c:v>
                </c:pt>
                <c:pt idx="30">
                  <c:v>13000</c:v>
                </c:pt>
                <c:pt idx="31">
                  <c:v>17000</c:v>
                </c:pt>
                <c:pt idx="32">
                  <c:v>12000</c:v>
                </c:pt>
                <c:pt idx="33">
                  <c:v>14000</c:v>
                </c:pt>
                <c:pt idx="34">
                  <c:v>14000</c:v>
                </c:pt>
                <c:pt idx="35">
                  <c:v>15000</c:v>
                </c:pt>
                <c:pt idx="36">
                  <c:v>19000</c:v>
                </c:pt>
                <c:pt idx="37">
                  <c:v>12000</c:v>
                </c:pt>
                <c:pt idx="38">
                  <c:v>11000</c:v>
                </c:pt>
                <c:pt idx="39">
                  <c:v>13000</c:v>
                </c:pt>
                <c:pt idx="40">
                  <c:v>13000</c:v>
                </c:pt>
                <c:pt idx="41">
                  <c:v>16000</c:v>
                </c:pt>
                <c:pt idx="42">
                  <c:v>16000</c:v>
                </c:pt>
                <c:pt idx="43">
                  <c:v>17000</c:v>
                </c:pt>
                <c:pt idx="44">
                  <c:v>10000</c:v>
                </c:pt>
                <c:pt idx="45">
                  <c:v>17000</c:v>
                </c:pt>
              </c:numCache>
            </c:numRef>
          </c:yVal>
          <c:smooth val="0"/>
          <c:extLst>
            <c:ext xmlns:c16="http://schemas.microsoft.com/office/drawing/2014/chart" uri="{C3380CC4-5D6E-409C-BE32-E72D297353CC}">
              <c16:uniqueId val="{00000000-AA23-47FB-958A-505AB0CDE8ED}"/>
            </c:ext>
          </c:extLst>
        </c:ser>
        <c:dLbls>
          <c:showLegendKey val="0"/>
          <c:showVal val="0"/>
          <c:showCatName val="0"/>
          <c:showSerName val="0"/>
          <c:showPercent val="0"/>
          <c:showBubbleSize val="0"/>
        </c:dLbls>
        <c:axId val="1155246400"/>
        <c:axId val="1155246792"/>
      </c:scatterChart>
      <c:valAx>
        <c:axId val="1155246400"/>
        <c:scaling>
          <c:orientation val="minMax"/>
          <c:max val="42555"/>
          <c:min val="42220"/>
        </c:scaling>
        <c:delete val="0"/>
        <c:axPos val="b"/>
        <c:majorGridlines>
          <c:spPr>
            <a:ln w="9525" cap="flat" cmpd="sng" algn="ctr">
              <a:noFill/>
              <a:round/>
            </a:ln>
            <a:effectLst/>
          </c:spPr>
        </c:majorGridlines>
        <c:numFmt formatCode="m/d/yyyy" sourceLinked="1"/>
        <c:majorTickMark val="out"/>
        <c:minorTickMark val="out"/>
        <c:tickLblPos val="nextTo"/>
        <c:spPr>
          <a:noFill/>
          <a:ln w="9525" cap="flat" cmpd="sng" algn="ctr">
            <a:solidFill>
              <a:schemeClr val="tx1">
                <a:lumMod val="25000"/>
                <a:lumOff val="75000"/>
              </a:schemeClr>
            </a:solidFill>
            <a:round/>
          </a:ln>
          <a:effectLst/>
        </c:spPr>
        <c:txPr>
          <a:bodyPr rot="2700000" spcFirstLastPara="1" vertOverflow="ellipsis"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155246792"/>
        <c:crosses val="autoZero"/>
        <c:crossBetween val="midCat"/>
      </c:valAx>
      <c:valAx>
        <c:axId val="1155246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a:t>Sediment Concentration mg/kg</a:t>
                </a:r>
              </a:p>
            </c:rich>
          </c:tx>
          <c:layout>
            <c:manualLayout>
              <c:xMode val="edge"/>
              <c:yMode val="edge"/>
              <c:x val="8.0037862685506545E-3"/>
              <c:y val="0.18200012649021283"/>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55246400"/>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a:t>Animas River at</a:t>
            </a:r>
            <a:r>
              <a:rPr lang="en-US" sz="1200" baseline="0"/>
              <a:t> Farmington RK 190.2</a:t>
            </a:r>
            <a:br>
              <a:rPr lang="en-US" sz="1200" baseline="0"/>
            </a:br>
            <a:r>
              <a:rPr lang="en-US" sz="1200" baseline="0"/>
              <a:t>Lead, Pb</a:t>
            </a:r>
            <a:endParaRPr lang="en-US" sz="1200"/>
          </a:p>
        </c:rich>
      </c:tx>
      <c:layout>
        <c:manualLayout>
          <c:xMode val="edge"/>
          <c:yMode val="edge"/>
          <c:x val="0.25983155818130055"/>
          <c:y val="7.1174377224199295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Lead, Pb</c:v>
          </c:tx>
          <c:spPr>
            <a:ln w="19050" cap="rnd">
              <a:solidFill>
                <a:schemeClr val="tx1">
                  <a:lumMod val="65000"/>
                  <a:lumOff val="35000"/>
                </a:schemeClr>
              </a:solidFill>
              <a:prstDash val="sysDash"/>
              <a:round/>
            </a:ln>
            <a:effectLst/>
          </c:spPr>
          <c:marker>
            <c:symbol val="circle"/>
            <c:size val="7"/>
            <c:spPr>
              <a:solidFill>
                <a:schemeClr val="accent3">
                  <a:lumMod val="60000"/>
                  <a:lumOff val="40000"/>
                </a:schemeClr>
              </a:solidFill>
              <a:ln w="9525">
                <a:solidFill>
                  <a:schemeClr val="tx1">
                    <a:lumMod val="75000"/>
                    <a:lumOff val="25000"/>
                  </a:schemeClr>
                </a:solidFill>
              </a:ln>
              <a:effectLst/>
            </c:spPr>
          </c:marker>
          <c:dPt>
            <c:idx val="37"/>
            <c:marker>
              <c:symbol val="circle"/>
              <c:size val="7"/>
              <c:spPr>
                <a:solidFill>
                  <a:schemeClr val="accent3">
                    <a:lumMod val="60000"/>
                    <a:lumOff val="40000"/>
                  </a:schemeClr>
                </a:solidFill>
                <a:ln w="9525">
                  <a:solidFill>
                    <a:schemeClr val="tx1">
                      <a:lumMod val="75000"/>
                      <a:lumOff val="25000"/>
                    </a:schemeClr>
                  </a:solidFill>
                </a:ln>
                <a:effectLst/>
              </c:spPr>
            </c:marker>
            <c:bubble3D val="0"/>
            <c:spPr>
              <a:ln w="19050" cap="rnd">
                <a:noFill/>
                <a:prstDash val="sysDash"/>
                <a:round/>
              </a:ln>
              <a:effectLst/>
            </c:spPr>
            <c:extLst>
              <c:ext xmlns:c16="http://schemas.microsoft.com/office/drawing/2014/chart" uri="{C3380CC4-5D6E-409C-BE32-E72D297353CC}">
                <c16:uniqueId val="{00000000-48F5-4429-B861-4A46651C5B2C}"/>
              </c:ext>
            </c:extLst>
          </c:dPt>
          <c:xVal>
            <c:numRef>
              <c:f>Farmington!$AD$15:$AD$58</c:f>
              <c:numCache>
                <c:formatCode>m/d/yyyy</c:formatCode>
                <c:ptCount val="44"/>
                <c:pt idx="0">
                  <c:v>42236.427083333336</c:v>
                </c:pt>
                <c:pt idx="1">
                  <c:v>42237.451388888891</c:v>
                </c:pt>
                <c:pt idx="2">
                  <c:v>42238.4375</c:v>
                </c:pt>
                <c:pt idx="3">
                  <c:v>42239.430555555555</c:v>
                </c:pt>
                <c:pt idx="4">
                  <c:v>42240.434027777781</c:v>
                </c:pt>
                <c:pt idx="5">
                  <c:v>42241.409722222219</c:v>
                </c:pt>
                <c:pt idx="6">
                  <c:v>42242.413194444445</c:v>
                </c:pt>
                <c:pt idx="7">
                  <c:v>42243.4375</c:v>
                </c:pt>
                <c:pt idx="8">
                  <c:v>42244.423611111109</c:v>
                </c:pt>
                <c:pt idx="9">
                  <c:v>42245.423611111109</c:v>
                </c:pt>
                <c:pt idx="10">
                  <c:v>42246.440972222219</c:v>
                </c:pt>
                <c:pt idx="11">
                  <c:v>42247.402777777781</c:v>
                </c:pt>
                <c:pt idx="12">
                  <c:v>42248.413194444445</c:v>
                </c:pt>
                <c:pt idx="13">
                  <c:v>42252.454861111109</c:v>
                </c:pt>
                <c:pt idx="14">
                  <c:v>42253.451388888891</c:v>
                </c:pt>
                <c:pt idx="15">
                  <c:v>42254.423611111109</c:v>
                </c:pt>
                <c:pt idx="16">
                  <c:v>42255.450694444444</c:v>
                </c:pt>
                <c:pt idx="17">
                  <c:v>42256.465277777781</c:v>
                </c:pt>
                <c:pt idx="18">
                  <c:v>42257.444444444445</c:v>
                </c:pt>
                <c:pt idx="19">
                  <c:v>42258.422222222223</c:v>
                </c:pt>
                <c:pt idx="20">
                  <c:v>42259.461111111108</c:v>
                </c:pt>
                <c:pt idx="21">
                  <c:v>42260.480555555558</c:v>
                </c:pt>
                <c:pt idx="22">
                  <c:v>42261.50277777778</c:v>
                </c:pt>
                <c:pt idx="23">
                  <c:v>42262.454861111109</c:v>
                </c:pt>
                <c:pt idx="24">
                  <c:v>42263.454861111109</c:v>
                </c:pt>
                <c:pt idx="25">
                  <c:v>42264.434027777781</c:v>
                </c:pt>
                <c:pt idx="26">
                  <c:v>42265.572916666664</c:v>
                </c:pt>
                <c:pt idx="27">
                  <c:v>42266.444444444445</c:v>
                </c:pt>
                <c:pt idx="28">
                  <c:v>42267.434027777781</c:v>
                </c:pt>
                <c:pt idx="29">
                  <c:v>42268.496527777781</c:v>
                </c:pt>
                <c:pt idx="30">
                  <c:v>42269.375</c:v>
                </c:pt>
                <c:pt idx="31">
                  <c:v>42271.420138888891</c:v>
                </c:pt>
                <c:pt idx="32">
                  <c:v>42275.409722222219</c:v>
                </c:pt>
                <c:pt idx="33">
                  <c:v>42277.402777777781</c:v>
                </c:pt>
                <c:pt idx="34">
                  <c:v>42285.447916666664</c:v>
                </c:pt>
                <c:pt idx="35">
                  <c:v>42291.46875</c:v>
                </c:pt>
                <c:pt idx="36">
                  <c:v>42326.333333333336</c:v>
                </c:pt>
                <c:pt idx="37">
                  <c:v>42530.392361111109</c:v>
                </c:pt>
              </c:numCache>
            </c:numRef>
          </c:xVal>
          <c:yVal>
            <c:numRef>
              <c:f>Farmington!$AI$15:$AI$58</c:f>
              <c:numCache>
                <c:formatCode>General</c:formatCode>
                <c:ptCount val="44"/>
                <c:pt idx="0">
                  <c:v>29</c:v>
                </c:pt>
                <c:pt idx="1">
                  <c:v>31</c:v>
                </c:pt>
                <c:pt idx="2">
                  <c:v>35</c:v>
                </c:pt>
                <c:pt idx="3">
                  <c:v>36</c:v>
                </c:pt>
                <c:pt idx="4">
                  <c:v>34</c:v>
                </c:pt>
                <c:pt idx="5">
                  <c:v>15</c:v>
                </c:pt>
                <c:pt idx="6">
                  <c:v>31</c:v>
                </c:pt>
                <c:pt idx="7">
                  <c:v>20</c:v>
                </c:pt>
                <c:pt idx="8">
                  <c:v>19</c:v>
                </c:pt>
                <c:pt idx="9">
                  <c:v>18</c:v>
                </c:pt>
                <c:pt idx="10">
                  <c:v>16</c:v>
                </c:pt>
                <c:pt idx="11">
                  <c:v>17</c:v>
                </c:pt>
                <c:pt idx="12">
                  <c:v>16</c:v>
                </c:pt>
                <c:pt idx="13">
                  <c:v>17</c:v>
                </c:pt>
                <c:pt idx="14">
                  <c:v>13</c:v>
                </c:pt>
                <c:pt idx="15">
                  <c:v>16</c:v>
                </c:pt>
                <c:pt idx="16">
                  <c:v>16</c:v>
                </c:pt>
                <c:pt idx="17">
                  <c:v>15</c:v>
                </c:pt>
                <c:pt idx="18">
                  <c:v>18</c:v>
                </c:pt>
                <c:pt idx="19">
                  <c:v>22</c:v>
                </c:pt>
                <c:pt idx="20">
                  <c:v>14</c:v>
                </c:pt>
                <c:pt idx="21">
                  <c:v>16</c:v>
                </c:pt>
                <c:pt idx="22">
                  <c:v>17</c:v>
                </c:pt>
                <c:pt idx="23">
                  <c:v>21</c:v>
                </c:pt>
                <c:pt idx="24">
                  <c:v>16</c:v>
                </c:pt>
                <c:pt idx="25">
                  <c:v>16</c:v>
                </c:pt>
                <c:pt idx="26">
                  <c:v>20</c:v>
                </c:pt>
                <c:pt idx="27">
                  <c:v>18</c:v>
                </c:pt>
                <c:pt idx="28">
                  <c:v>19</c:v>
                </c:pt>
                <c:pt idx="29">
                  <c:v>15</c:v>
                </c:pt>
                <c:pt idx="30">
                  <c:v>16</c:v>
                </c:pt>
                <c:pt idx="31">
                  <c:v>17</c:v>
                </c:pt>
                <c:pt idx="32">
                  <c:v>15</c:v>
                </c:pt>
                <c:pt idx="33">
                  <c:v>18</c:v>
                </c:pt>
                <c:pt idx="34">
                  <c:v>15</c:v>
                </c:pt>
                <c:pt idx="35">
                  <c:v>14</c:v>
                </c:pt>
                <c:pt idx="36">
                  <c:v>11</c:v>
                </c:pt>
                <c:pt idx="37">
                  <c:v>94</c:v>
                </c:pt>
              </c:numCache>
            </c:numRef>
          </c:yVal>
          <c:smooth val="0"/>
          <c:extLst>
            <c:ext xmlns:c16="http://schemas.microsoft.com/office/drawing/2014/chart" uri="{C3380CC4-5D6E-409C-BE32-E72D297353CC}">
              <c16:uniqueId val="{00000000-F2D9-4D31-801B-604C34C9CE1F}"/>
            </c:ext>
          </c:extLst>
        </c:ser>
        <c:dLbls>
          <c:showLegendKey val="0"/>
          <c:showVal val="0"/>
          <c:showCatName val="0"/>
          <c:showSerName val="0"/>
          <c:showPercent val="0"/>
          <c:showBubbleSize val="0"/>
        </c:dLbls>
        <c:axId val="1155247968"/>
        <c:axId val="1155248360"/>
      </c:scatterChart>
      <c:valAx>
        <c:axId val="1155247968"/>
        <c:scaling>
          <c:orientation val="minMax"/>
          <c:max val="42555"/>
          <c:min val="42220"/>
        </c:scaling>
        <c:delete val="0"/>
        <c:axPos val="b"/>
        <c:majorGridlines>
          <c:spPr>
            <a:ln w="9525" cap="flat" cmpd="sng" algn="ctr">
              <a:noFill/>
              <a:round/>
            </a:ln>
            <a:effectLst/>
          </c:spPr>
        </c:majorGridlines>
        <c:numFmt formatCode="m/d/yyyy" sourceLinked="1"/>
        <c:majorTickMark val="out"/>
        <c:minorTickMark val="out"/>
        <c:tickLblPos val="nextTo"/>
        <c:spPr>
          <a:noFill/>
          <a:ln w="9525" cap="flat" cmpd="sng" algn="ctr">
            <a:solidFill>
              <a:schemeClr val="tx1">
                <a:lumMod val="25000"/>
                <a:lumOff val="75000"/>
              </a:schemeClr>
            </a:solidFill>
            <a:round/>
          </a:ln>
          <a:effectLst/>
        </c:spPr>
        <c:txPr>
          <a:bodyPr rot="2700000" spcFirstLastPara="1" vertOverflow="ellipsis"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155248360"/>
        <c:crosses val="autoZero"/>
        <c:crossBetween val="midCat"/>
      </c:valAx>
      <c:valAx>
        <c:axId val="11552483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a:t>Sediment Concentration mg/kg</a:t>
                </a:r>
              </a:p>
            </c:rich>
          </c:tx>
          <c:layout>
            <c:manualLayout>
              <c:xMode val="edge"/>
              <c:yMode val="edge"/>
              <c:x val="8.0037862685506545E-3"/>
              <c:y val="0.18200012649021283"/>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5524796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a:t>Animas River at Farmington RK 190.2</a:t>
            </a:r>
            <a:br>
              <a:rPr lang="en-US" sz="1200"/>
            </a:br>
            <a:r>
              <a:rPr lang="en-US" sz="1200"/>
              <a:t>Copper</a:t>
            </a:r>
          </a:p>
        </c:rich>
      </c:tx>
      <c:layout>
        <c:manualLayout>
          <c:xMode val="edge"/>
          <c:yMode val="edge"/>
          <c:x val="0.25983155818130055"/>
          <c:y val="7.1174377224199295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Copper, Cu</c:v>
          </c:tx>
          <c:spPr>
            <a:ln w="19050" cap="rnd">
              <a:solidFill>
                <a:schemeClr val="tx1">
                  <a:lumMod val="65000"/>
                  <a:lumOff val="35000"/>
                </a:schemeClr>
              </a:solidFill>
              <a:prstDash val="sysDash"/>
              <a:round/>
            </a:ln>
            <a:effectLst/>
          </c:spPr>
          <c:marker>
            <c:symbol val="circle"/>
            <c:size val="7"/>
            <c:spPr>
              <a:solidFill>
                <a:schemeClr val="accent3">
                  <a:lumMod val="60000"/>
                  <a:lumOff val="40000"/>
                </a:schemeClr>
              </a:solidFill>
              <a:ln w="9525">
                <a:solidFill>
                  <a:schemeClr val="tx1">
                    <a:lumMod val="75000"/>
                    <a:lumOff val="25000"/>
                  </a:schemeClr>
                </a:solidFill>
              </a:ln>
              <a:effectLst/>
            </c:spPr>
          </c:marker>
          <c:dPt>
            <c:idx val="37"/>
            <c:marker>
              <c:symbol val="circle"/>
              <c:size val="7"/>
              <c:spPr>
                <a:solidFill>
                  <a:schemeClr val="accent3">
                    <a:lumMod val="60000"/>
                    <a:lumOff val="40000"/>
                  </a:schemeClr>
                </a:solidFill>
                <a:ln w="9525">
                  <a:solidFill>
                    <a:schemeClr val="tx1">
                      <a:lumMod val="75000"/>
                      <a:lumOff val="25000"/>
                    </a:schemeClr>
                  </a:solidFill>
                </a:ln>
                <a:effectLst/>
              </c:spPr>
            </c:marker>
            <c:bubble3D val="0"/>
            <c:spPr>
              <a:ln w="19050" cap="rnd">
                <a:noFill/>
                <a:prstDash val="sysDash"/>
                <a:round/>
              </a:ln>
              <a:effectLst/>
            </c:spPr>
            <c:extLst>
              <c:ext xmlns:c16="http://schemas.microsoft.com/office/drawing/2014/chart" uri="{C3380CC4-5D6E-409C-BE32-E72D297353CC}">
                <c16:uniqueId val="{00000001-8DBB-47A3-8280-F7899ED816D5}"/>
              </c:ext>
            </c:extLst>
          </c:dPt>
          <c:xVal>
            <c:numRef>
              <c:f>Farmington!$AD$15:$AD$58</c:f>
              <c:numCache>
                <c:formatCode>m/d/yyyy</c:formatCode>
                <c:ptCount val="44"/>
                <c:pt idx="0">
                  <c:v>42236.427083333336</c:v>
                </c:pt>
                <c:pt idx="1">
                  <c:v>42237.451388888891</c:v>
                </c:pt>
                <c:pt idx="2">
                  <c:v>42238.4375</c:v>
                </c:pt>
                <c:pt idx="3">
                  <c:v>42239.430555555555</c:v>
                </c:pt>
                <c:pt idx="4">
                  <c:v>42240.434027777781</c:v>
                </c:pt>
                <c:pt idx="5">
                  <c:v>42241.409722222219</c:v>
                </c:pt>
                <c:pt idx="6">
                  <c:v>42242.413194444445</c:v>
                </c:pt>
                <c:pt idx="7">
                  <c:v>42243.4375</c:v>
                </c:pt>
                <c:pt idx="8">
                  <c:v>42244.423611111109</c:v>
                </c:pt>
                <c:pt idx="9">
                  <c:v>42245.423611111109</c:v>
                </c:pt>
                <c:pt idx="10">
                  <c:v>42246.440972222219</c:v>
                </c:pt>
                <c:pt idx="11">
                  <c:v>42247.402777777781</c:v>
                </c:pt>
                <c:pt idx="12">
                  <c:v>42248.413194444445</c:v>
                </c:pt>
                <c:pt idx="13">
                  <c:v>42252.454861111109</c:v>
                </c:pt>
                <c:pt idx="14">
                  <c:v>42253.451388888891</c:v>
                </c:pt>
                <c:pt idx="15">
                  <c:v>42254.423611111109</c:v>
                </c:pt>
                <c:pt idx="16">
                  <c:v>42255.450694444444</c:v>
                </c:pt>
                <c:pt idx="17">
                  <c:v>42256.465277777781</c:v>
                </c:pt>
                <c:pt idx="18">
                  <c:v>42257.444444444445</c:v>
                </c:pt>
                <c:pt idx="19">
                  <c:v>42258.422222222223</c:v>
                </c:pt>
                <c:pt idx="20">
                  <c:v>42259.461111111108</c:v>
                </c:pt>
                <c:pt idx="21">
                  <c:v>42260.480555555558</c:v>
                </c:pt>
                <c:pt idx="22">
                  <c:v>42261.50277777778</c:v>
                </c:pt>
                <c:pt idx="23">
                  <c:v>42262.454861111109</c:v>
                </c:pt>
                <c:pt idx="24">
                  <c:v>42263.454861111109</c:v>
                </c:pt>
                <c:pt idx="25">
                  <c:v>42264.434027777781</c:v>
                </c:pt>
                <c:pt idx="26">
                  <c:v>42265.572916666664</c:v>
                </c:pt>
                <c:pt idx="27">
                  <c:v>42266.444444444445</c:v>
                </c:pt>
                <c:pt idx="28">
                  <c:v>42267.434027777781</c:v>
                </c:pt>
                <c:pt idx="29">
                  <c:v>42268.496527777781</c:v>
                </c:pt>
                <c:pt idx="30">
                  <c:v>42269.375</c:v>
                </c:pt>
                <c:pt idx="31">
                  <c:v>42271.420138888891</c:v>
                </c:pt>
                <c:pt idx="32">
                  <c:v>42275.409722222219</c:v>
                </c:pt>
                <c:pt idx="33">
                  <c:v>42277.402777777781</c:v>
                </c:pt>
                <c:pt idx="34">
                  <c:v>42285.447916666664</c:v>
                </c:pt>
                <c:pt idx="35">
                  <c:v>42291.46875</c:v>
                </c:pt>
                <c:pt idx="36">
                  <c:v>42326.333333333336</c:v>
                </c:pt>
                <c:pt idx="37">
                  <c:v>42530.392361111109</c:v>
                </c:pt>
              </c:numCache>
            </c:numRef>
          </c:xVal>
          <c:yVal>
            <c:numRef>
              <c:f>Farmington!$AG$15:$AG$58</c:f>
              <c:numCache>
                <c:formatCode>General</c:formatCode>
                <c:ptCount val="44"/>
                <c:pt idx="0">
                  <c:v>19</c:v>
                </c:pt>
                <c:pt idx="1">
                  <c:v>19</c:v>
                </c:pt>
                <c:pt idx="2">
                  <c:v>19</c:v>
                </c:pt>
                <c:pt idx="3">
                  <c:v>20</c:v>
                </c:pt>
                <c:pt idx="4">
                  <c:v>19</c:v>
                </c:pt>
                <c:pt idx="5">
                  <c:v>9.1999999999999993</c:v>
                </c:pt>
                <c:pt idx="6">
                  <c:v>19</c:v>
                </c:pt>
                <c:pt idx="7">
                  <c:v>11</c:v>
                </c:pt>
                <c:pt idx="8">
                  <c:v>12</c:v>
                </c:pt>
                <c:pt idx="9">
                  <c:v>13</c:v>
                </c:pt>
                <c:pt idx="10">
                  <c:v>16</c:v>
                </c:pt>
                <c:pt idx="11">
                  <c:v>14</c:v>
                </c:pt>
                <c:pt idx="12">
                  <c:v>14</c:v>
                </c:pt>
                <c:pt idx="13">
                  <c:v>13</c:v>
                </c:pt>
                <c:pt idx="14">
                  <c:v>10</c:v>
                </c:pt>
                <c:pt idx="15">
                  <c:v>15</c:v>
                </c:pt>
                <c:pt idx="16">
                  <c:v>12</c:v>
                </c:pt>
                <c:pt idx="17">
                  <c:v>14</c:v>
                </c:pt>
                <c:pt idx="18">
                  <c:v>15</c:v>
                </c:pt>
                <c:pt idx="19">
                  <c:v>19</c:v>
                </c:pt>
                <c:pt idx="20">
                  <c:v>12</c:v>
                </c:pt>
                <c:pt idx="21">
                  <c:v>14</c:v>
                </c:pt>
                <c:pt idx="22">
                  <c:v>12</c:v>
                </c:pt>
                <c:pt idx="23">
                  <c:v>21</c:v>
                </c:pt>
                <c:pt idx="24">
                  <c:v>14</c:v>
                </c:pt>
                <c:pt idx="25">
                  <c:v>13</c:v>
                </c:pt>
                <c:pt idx="26">
                  <c:v>15</c:v>
                </c:pt>
                <c:pt idx="27">
                  <c:v>13</c:v>
                </c:pt>
                <c:pt idx="28">
                  <c:v>16</c:v>
                </c:pt>
                <c:pt idx="29">
                  <c:v>13</c:v>
                </c:pt>
                <c:pt idx="30">
                  <c:v>10</c:v>
                </c:pt>
                <c:pt idx="31">
                  <c:v>14</c:v>
                </c:pt>
                <c:pt idx="32">
                  <c:v>14</c:v>
                </c:pt>
                <c:pt idx="33">
                  <c:v>18</c:v>
                </c:pt>
                <c:pt idx="34">
                  <c:v>16</c:v>
                </c:pt>
                <c:pt idx="35">
                  <c:v>14</c:v>
                </c:pt>
                <c:pt idx="36">
                  <c:v>8.6</c:v>
                </c:pt>
                <c:pt idx="37">
                  <c:v>35</c:v>
                </c:pt>
              </c:numCache>
            </c:numRef>
          </c:yVal>
          <c:smooth val="0"/>
          <c:extLst>
            <c:ext xmlns:c16="http://schemas.microsoft.com/office/drawing/2014/chart" uri="{C3380CC4-5D6E-409C-BE32-E72D297353CC}">
              <c16:uniqueId val="{00000000-7A84-47B6-A079-CDF8E1F27E85}"/>
            </c:ext>
          </c:extLst>
        </c:ser>
        <c:dLbls>
          <c:showLegendKey val="0"/>
          <c:showVal val="0"/>
          <c:showCatName val="0"/>
          <c:showSerName val="0"/>
          <c:showPercent val="0"/>
          <c:showBubbleSize val="0"/>
        </c:dLbls>
        <c:axId val="1155249536"/>
        <c:axId val="1155249928"/>
      </c:scatterChart>
      <c:valAx>
        <c:axId val="1155249536"/>
        <c:scaling>
          <c:orientation val="minMax"/>
          <c:max val="42555"/>
          <c:min val="42220"/>
        </c:scaling>
        <c:delete val="0"/>
        <c:axPos val="b"/>
        <c:majorGridlines>
          <c:spPr>
            <a:ln w="9525" cap="flat" cmpd="sng" algn="ctr">
              <a:noFill/>
              <a:round/>
            </a:ln>
            <a:effectLst/>
          </c:spPr>
        </c:majorGridlines>
        <c:numFmt formatCode="m/d/yyyy" sourceLinked="1"/>
        <c:majorTickMark val="out"/>
        <c:minorTickMark val="out"/>
        <c:tickLblPos val="nextTo"/>
        <c:spPr>
          <a:noFill/>
          <a:ln w="9525" cap="flat" cmpd="sng" algn="ctr">
            <a:solidFill>
              <a:schemeClr val="tx1">
                <a:lumMod val="25000"/>
                <a:lumOff val="75000"/>
              </a:schemeClr>
            </a:solidFill>
            <a:round/>
          </a:ln>
          <a:effectLst/>
        </c:spPr>
        <c:txPr>
          <a:bodyPr rot="2700000" spcFirstLastPara="1" vertOverflow="ellipsis"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155249928"/>
        <c:crosses val="autoZero"/>
        <c:crossBetween val="midCat"/>
      </c:valAx>
      <c:valAx>
        <c:axId val="11552499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a:t>Sediment Concentration mg/kg</a:t>
                </a:r>
              </a:p>
            </c:rich>
          </c:tx>
          <c:layout>
            <c:manualLayout>
              <c:xMode val="edge"/>
              <c:yMode val="edge"/>
              <c:x val="8.0037862685506545E-3"/>
              <c:y val="0.18200012649021283"/>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55249536"/>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a:t>Animas River at</a:t>
            </a:r>
            <a:r>
              <a:rPr lang="en-US" sz="1200" baseline="0"/>
              <a:t> Farmington RK 190.2</a:t>
            </a:r>
            <a:br>
              <a:rPr lang="en-US" sz="1200" baseline="0"/>
            </a:br>
            <a:r>
              <a:rPr lang="en-US" sz="1200" baseline="0"/>
              <a:t>Zinc, Zn</a:t>
            </a:r>
            <a:endParaRPr lang="en-US" sz="1200"/>
          </a:p>
        </c:rich>
      </c:tx>
      <c:layout>
        <c:manualLayout>
          <c:xMode val="edge"/>
          <c:yMode val="edge"/>
          <c:x val="0.25983155818130055"/>
          <c:y val="7.1174377224199295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Zinc, Zn</c:v>
          </c:tx>
          <c:spPr>
            <a:ln w="19050" cap="rnd">
              <a:solidFill>
                <a:schemeClr val="tx1">
                  <a:lumMod val="65000"/>
                  <a:lumOff val="35000"/>
                </a:schemeClr>
              </a:solidFill>
              <a:prstDash val="sysDash"/>
              <a:round/>
            </a:ln>
            <a:effectLst/>
          </c:spPr>
          <c:marker>
            <c:symbol val="circle"/>
            <c:size val="7"/>
            <c:spPr>
              <a:solidFill>
                <a:schemeClr val="accent3">
                  <a:lumMod val="60000"/>
                  <a:lumOff val="40000"/>
                </a:schemeClr>
              </a:solidFill>
              <a:ln w="9525">
                <a:solidFill>
                  <a:schemeClr val="tx1">
                    <a:lumMod val="75000"/>
                    <a:lumOff val="25000"/>
                  </a:schemeClr>
                </a:solidFill>
              </a:ln>
              <a:effectLst/>
            </c:spPr>
          </c:marker>
          <c:dPt>
            <c:idx val="37"/>
            <c:marker>
              <c:symbol val="circle"/>
              <c:size val="7"/>
              <c:spPr>
                <a:solidFill>
                  <a:schemeClr val="accent3">
                    <a:lumMod val="60000"/>
                    <a:lumOff val="40000"/>
                  </a:schemeClr>
                </a:solidFill>
                <a:ln w="9525">
                  <a:solidFill>
                    <a:schemeClr val="tx1">
                      <a:lumMod val="75000"/>
                      <a:lumOff val="25000"/>
                    </a:schemeClr>
                  </a:solidFill>
                </a:ln>
                <a:effectLst/>
              </c:spPr>
            </c:marker>
            <c:bubble3D val="0"/>
            <c:spPr>
              <a:ln w="19050" cap="rnd">
                <a:noFill/>
                <a:prstDash val="sysDash"/>
                <a:round/>
              </a:ln>
              <a:effectLst/>
            </c:spPr>
            <c:extLst>
              <c:ext xmlns:c16="http://schemas.microsoft.com/office/drawing/2014/chart" uri="{C3380CC4-5D6E-409C-BE32-E72D297353CC}">
                <c16:uniqueId val="{00000001-BE38-4240-9F4F-8920E4115273}"/>
              </c:ext>
            </c:extLst>
          </c:dPt>
          <c:xVal>
            <c:numRef>
              <c:f>Farmington!$AD$15:$AD$52</c:f>
              <c:numCache>
                <c:formatCode>m/d/yyyy</c:formatCode>
                <c:ptCount val="38"/>
                <c:pt idx="0">
                  <c:v>42236.427083333336</c:v>
                </c:pt>
                <c:pt idx="1">
                  <c:v>42237.451388888891</c:v>
                </c:pt>
                <c:pt idx="2">
                  <c:v>42238.4375</c:v>
                </c:pt>
                <c:pt idx="3">
                  <c:v>42239.430555555555</c:v>
                </c:pt>
                <c:pt idx="4">
                  <c:v>42240.434027777781</c:v>
                </c:pt>
                <c:pt idx="5">
                  <c:v>42241.409722222219</c:v>
                </c:pt>
                <c:pt idx="6">
                  <c:v>42242.413194444445</c:v>
                </c:pt>
                <c:pt idx="7">
                  <c:v>42243.4375</c:v>
                </c:pt>
                <c:pt idx="8">
                  <c:v>42244.423611111109</c:v>
                </c:pt>
                <c:pt idx="9">
                  <c:v>42245.423611111109</c:v>
                </c:pt>
                <c:pt idx="10">
                  <c:v>42246.440972222219</c:v>
                </c:pt>
                <c:pt idx="11">
                  <c:v>42247.402777777781</c:v>
                </c:pt>
                <c:pt idx="12">
                  <c:v>42248.413194444445</c:v>
                </c:pt>
                <c:pt idx="13">
                  <c:v>42252.454861111109</c:v>
                </c:pt>
                <c:pt idx="14">
                  <c:v>42253.451388888891</c:v>
                </c:pt>
                <c:pt idx="15">
                  <c:v>42254.423611111109</c:v>
                </c:pt>
                <c:pt idx="16">
                  <c:v>42255.450694444444</c:v>
                </c:pt>
                <c:pt idx="17">
                  <c:v>42256.465277777781</c:v>
                </c:pt>
                <c:pt idx="18">
                  <c:v>42257.444444444445</c:v>
                </c:pt>
                <c:pt idx="19">
                  <c:v>42258.422222222223</c:v>
                </c:pt>
                <c:pt idx="20">
                  <c:v>42259.461111111108</c:v>
                </c:pt>
                <c:pt idx="21">
                  <c:v>42260.480555555558</c:v>
                </c:pt>
                <c:pt idx="22">
                  <c:v>42261.50277777778</c:v>
                </c:pt>
                <c:pt idx="23">
                  <c:v>42262.454861111109</c:v>
                </c:pt>
                <c:pt idx="24">
                  <c:v>42263.454861111109</c:v>
                </c:pt>
                <c:pt idx="25">
                  <c:v>42264.434027777781</c:v>
                </c:pt>
                <c:pt idx="26">
                  <c:v>42265.572916666664</c:v>
                </c:pt>
                <c:pt idx="27">
                  <c:v>42266.444444444445</c:v>
                </c:pt>
                <c:pt idx="28">
                  <c:v>42267.434027777781</c:v>
                </c:pt>
                <c:pt idx="29">
                  <c:v>42268.496527777781</c:v>
                </c:pt>
                <c:pt idx="30">
                  <c:v>42269.375</c:v>
                </c:pt>
                <c:pt idx="31">
                  <c:v>42271.420138888891</c:v>
                </c:pt>
                <c:pt idx="32">
                  <c:v>42275.409722222219</c:v>
                </c:pt>
                <c:pt idx="33">
                  <c:v>42277.402777777781</c:v>
                </c:pt>
                <c:pt idx="34">
                  <c:v>42285.447916666664</c:v>
                </c:pt>
                <c:pt idx="35">
                  <c:v>42291.46875</c:v>
                </c:pt>
                <c:pt idx="36">
                  <c:v>42326.333333333336</c:v>
                </c:pt>
                <c:pt idx="37">
                  <c:v>42530.392361111109</c:v>
                </c:pt>
              </c:numCache>
            </c:numRef>
          </c:xVal>
          <c:yVal>
            <c:numRef>
              <c:f>Farmington!$AK$15:$AK$52</c:f>
              <c:numCache>
                <c:formatCode>General</c:formatCode>
                <c:ptCount val="38"/>
                <c:pt idx="0">
                  <c:v>140</c:v>
                </c:pt>
                <c:pt idx="2">
                  <c:v>160</c:v>
                </c:pt>
                <c:pt idx="3">
                  <c:v>160</c:v>
                </c:pt>
                <c:pt idx="4">
                  <c:v>160</c:v>
                </c:pt>
                <c:pt idx="5">
                  <c:v>57</c:v>
                </c:pt>
                <c:pt idx="6">
                  <c:v>140</c:v>
                </c:pt>
                <c:pt idx="7">
                  <c:v>99</c:v>
                </c:pt>
                <c:pt idx="8">
                  <c:v>78</c:v>
                </c:pt>
                <c:pt idx="9">
                  <c:v>86</c:v>
                </c:pt>
                <c:pt idx="10">
                  <c:v>77</c:v>
                </c:pt>
                <c:pt idx="11">
                  <c:v>76</c:v>
                </c:pt>
                <c:pt idx="12">
                  <c:v>67</c:v>
                </c:pt>
                <c:pt idx="13">
                  <c:v>84</c:v>
                </c:pt>
                <c:pt idx="14">
                  <c:v>57</c:v>
                </c:pt>
                <c:pt idx="15">
                  <c:v>68</c:v>
                </c:pt>
                <c:pt idx="16">
                  <c:v>68</c:v>
                </c:pt>
                <c:pt idx="17">
                  <c:v>74</c:v>
                </c:pt>
                <c:pt idx="18">
                  <c:v>74</c:v>
                </c:pt>
                <c:pt idx="19">
                  <c:v>87</c:v>
                </c:pt>
                <c:pt idx="20">
                  <c:v>66</c:v>
                </c:pt>
                <c:pt idx="21">
                  <c:v>70</c:v>
                </c:pt>
                <c:pt idx="22">
                  <c:v>65</c:v>
                </c:pt>
                <c:pt idx="23">
                  <c:v>94</c:v>
                </c:pt>
                <c:pt idx="24">
                  <c:v>76</c:v>
                </c:pt>
                <c:pt idx="25">
                  <c:v>73</c:v>
                </c:pt>
                <c:pt idx="26">
                  <c:v>96</c:v>
                </c:pt>
                <c:pt idx="27">
                  <c:v>80</c:v>
                </c:pt>
                <c:pt idx="28">
                  <c:v>86</c:v>
                </c:pt>
                <c:pt idx="29">
                  <c:v>68</c:v>
                </c:pt>
                <c:pt idx="30">
                  <c:v>76</c:v>
                </c:pt>
                <c:pt idx="31">
                  <c:v>73</c:v>
                </c:pt>
                <c:pt idx="32">
                  <c:v>66</c:v>
                </c:pt>
                <c:pt idx="33">
                  <c:v>80</c:v>
                </c:pt>
                <c:pt idx="34">
                  <c:v>70</c:v>
                </c:pt>
                <c:pt idx="35">
                  <c:v>68</c:v>
                </c:pt>
                <c:pt idx="36">
                  <c:v>56</c:v>
                </c:pt>
                <c:pt idx="37">
                  <c:v>350</c:v>
                </c:pt>
              </c:numCache>
            </c:numRef>
          </c:yVal>
          <c:smooth val="0"/>
          <c:extLst>
            <c:ext xmlns:c16="http://schemas.microsoft.com/office/drawing/2014/chart" uri="{C3380CC4-5D6E-409C-BE32-E72D297353CC}">
              <c16:uniqueId val="{00000000-8866-4BC1-B59A-13421CB59CC2}"/>
            </c:ext>
          </c:extLst>
        </c:ser>
        <c:dLbls>
          <c:showLegendKey val="0"/>
          <c:showVal val="0"/>
          <c:showCatName val="0"/>
          <c:showSerName val="0"/>
          <c:showPercent val="0"/>
          <c:showBubbleSize val="0"/>
        </c:dLbls>
        <c:axId val="1155252672"/>
        <c:axId val="1155253064"/>
      </c:scatterChart>
      <c:valAx>
        <c:axId val="1155252672"/>
        <c:scaling>
          <c:orientation val="minMax"/>
          <c:max val="42555"/>
          <c:min val="42220"/>
        </c:scaling>
        <c:delete val="0"/>
        <c:axPos val="b"/>
        <c:majorGridlines>
          <c:spPr>
            <a:ln w="9525" cap="flat" cmpd="sng" algn="ctr">
              <a:noFill/>
              <a:round/>
            </a:ln>
            <a:effectLst/>
          </c:spPr>
        </c:majorGridlines>
        <c:numFmt formatCode="m/d/yyyy" sourceLinked="1"/>
        <c:majorTickMark val="out"/>
        <c:minorTickMark val="out"/>
        <c:tickLblPos val="nextTo"/>
        <c:spPr>
          <a:noFill/>
          <a:ln w="9525" cap="flat" cmpd="sng" algn="ctr">
            <a:solidFill>
              <a:schemeClr val="tx1">
                <a:lumMod val="25000"/>
                <a:lumOff val="75000"/>
              </a:schemeClr>
            </a:solidFill>
            <a:round/>
          </a:ln>
          <a:effectLst/>
        </c:spPr>
        <c:txPr>
          <a:bodyPr rot="2700000" spcFirstLastPara="1" vertOverflow="ellipsis"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155253064"/>
        <c:crosses val="autoZero"/>
        <c:crossBetween val="midCat"/>
      </c:valAx>
      <c:valAx>
        <c:axId val="11552530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a:t>Sediment Concentration mg/kg</a:t>
                </a:r>
              </a:p>
            </c:rich>
          </c:tx>
          <c:layout>
            <c:manualLayout>
              <c:xMode val="edge"/>
              <c:yMode val="edge"/>
              <c:x val="8.0037862685506545E-3"/>
              <c:y val="0.18200012649021283"/>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55252672"/>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b="1"/>
              <a:t>Bed Sediment Concentration </a:t>
            </a:r>
            <a:br>
              <a:rPr lang="en-US" b="1"/>
            </a:br>
            <a:r>
              <a:rPr lang="en-US" b="1"/>
              <a:t>Animas River at Farmington</a:t>
            </a:r>
          </a:p>
        </c:rich>
      </c:tx>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barChart>
        <c:barDir val="col"/>
        <c:grouping val="clustered"/>
        <c:varyColors val="0"/>
        <c:ser>
          <c:idx val="0"/>
          <c:order val="0"/>
          <c:tx>
            <c:strRef>
              <c:f>Farmington!$S$74</c:f>
              <c:strCache>
                <c:ptCount val="1"/>
                <c:pt idx="0">
                  <c:v>Pre-Event</c:v>
                </c:pt>
              </c:strCache>
            </c:strRef>
          </c:tx>
          <c:spPr>
            <a:solidFill>
              <a:schemeClr val="tx1">
                <a:lumMod val="65000"/>
                <a:lumOff val="35000"/>
              </a:schemeClr>
            </a:solidFill>
            <a:ln>
              <a:noFill/>
            </a:ln>
            <a:effectLst/>
          </c:spPr>
          <c:invertIfNegative val="0"/>
          <c:cat>
            <c:strRef>
              <c:f>Farmington!$T$73:$Z$73</c:f>
              <c:strCache>
                <c:ptCount val="7"/>
                <c:pt idx="0">
                  <c:v>Aluminum</c:v>
                </c:pt>
                <c:pt idx="1">
                  <c:v>Cadmium</c:v>
                </c:pt>
                <c:pt idx="2">
                  <c:v>Copper</c:v>
                </c:pt>
                <c:pt idx="3">
                  <c:v>Iron</c:v>
                </c:pt>
                <c:pt idx="4">
                  <c:v>Lead</c:v>
                </c:pt>
                <c:pt idx="5">
                  <c:v>Manganese</c:v>
                </c:pt>
                <c:pt idx="6">
                  <c:v>Zinc</c:v>
                </c:pt>
              </c:strCache>
            </c:strRef>
          </c:cat>
          <c:val>
            <c:numRef>
              <c:f>Farmington!$T$74:$Z$74</c:f>
              <c:numCache>
                <c:formatCode>#,##0.00</c:formatCode>
                <c:ptCount val="7"/>
                <c:pt idx="0">
                  <c:v>0</c:v>
                </c:pt>
                <c:pt idx="1">
                  <c:v>1.0675222915991089</c:v>
                </c:pt>
                <c:pt idx="2" formatCode="#,##0.0">
                  <c:v>8.6535360001066923</c:v>
                </c:pt>
                <c:pt idx="3" formatCode="#,##0">
                  <c:v>4476.6586988712252</c:v>
                </c:pt>
                <c:pt idx="4" formatCode="#,##0.0">
                  <c:v>23.363507530923638</c:v>
                </c:pt>
                <c:pt idx="5" formatCode="#,##0">
                  <c:v>317.6458766090077</c:v>
                </c:pt>
                <c:pt idx="6" formatCode="#,##0">
                  <c:v>89.319753206286606</c:v>
                </c:pt>
              </c:numCache>
            </c:numRef>
          </c:val>
          <c:extLst>
            <c:ext xmlns:c16="http://schemas.microsoft.com/office/drawing/2014/chart" uri="{C3380CC4-5D6E-409C-BE32-E72D297353CC}">
              <c16:uniqueId val="{00000000-AF3A-4E32-81AC-6442D433B8C5}"/>
            </c:ext>
          </c:extLst>
        </c:ser>
        <c:ser>
          <c:idx val="1"/>
          <c:order val="1"/>
          <c:tx>
            <c:strRef>
              <c:f>Farmington!$S$75</c:f>
              <c:strCache>
                <c:ptCount val="1"/>
                <c:pt idx="0">
                  <c:v>Aug 11-Aug 26</c:v>
                </c:pt>
              </c:strCache>
            </c:strRef>
          </c:tx>
          <c:spPr>
            <a:solidFill>
              <a:schemeClr val="accent2"/>
            </a:solidFill>
            <a:ln>
              <a:noFill/>
            </a:ln>
            <a:effectLst/>
          </c:spPr>
          <c:invertIfNegative val="0"/>
          <c:cat>
            <c:strRef>
              <c:f>Farmington!$T$73:$Z$73</c:f>
              <c:strCache>
                <c:ptCount val="7"/>
                <c:pt idx="0">
                  <c:v>Aluminum</c:v>
                </c:pt>
                <c:pt idx="1">
                  <c:v>Cadmium</c:v>
                </c:pt>
                <c:pt idx="2">
                  <c:v>Copper</c:v>
                </c:pt>
                <c:pt idx="3">
                  <c:v>Iron</c:v>
                </c:pt>
                <c:pt idx="4">
                  <c:v>Lead</c:v>
                </c:pt>
                <c:pt idx="5">
                  <c:v>Manganese</c:v>
                </c:pt>
                <c:pt idx="6">
                  <c:v>Zinc</c:v>
                </c:pt>
              </c:strCache>
            </c:strRef>
          </c:cat>
          <c:val>
            <c:numRef>
              <c:f>Farmington!$T$75:$Z$75</c:f>
              <c:numCache>
                <c:formatCode>#,##0.00</c:formatCode>
                <c:ptCount val="7"/>
                <c:pt idx="0" formatCode="#,##0">
                  <c:v>8728.116896277239</c:v>
                </c:pt>
                <c:pt idx="1">
                  <c:v>0.35674086014393425</c:v>
                </c:pt>
                <c:pt idx="2" formatCode="#,##0.0">
                  <c:v>19.059725426517204</c:v>
                </c:pt>
                <c:pt idx="3" formatCode="#,##0">
                  <c:v>13251.68058597002</c:v>
                </c:pt>
                <c:pt idx="4" formatCode="#,##0.0">
                  <c:v>32.617121356169243</c:v>
                </c:pt>
                <c:pt idx="5" formatCode="#,##0">
                  <c:v>454.98188110205001</c:v>
                </c:pt>
                <c:pt idx="6" formatCode="#,##0">
                  <c:v>146.84586363956214</c:v>
                </c:pt>
              </c:numCache>
            </c:numRef>
          </c:val>
          <c:extLst>
            <c:ext xmlns:c16="http://schemas.microsoft.com/office/drawing/2014/chart" uri="{C3380CC4-5D6E-409C-BE32-E72D297353CC}">
              <c16:uniqueId val="{00000001-AF3A-4E32-81AC-6442D433B8C5}"/>
            </c:ext>
          </c:extLst>
        </c:ser>
        <c:ser>
          <c:idx val="2"/>
          <c:order val="2"/>
          <c:tx>
            <c:strRef>
              <c:f>Farmington!$S$76</c:f>
              <c:strCache>
                <c:ptCount val="1"/>
                <c:pt idx="0">
                  <c:v>After Aug 27</c:v>
                </c:pt>
              </c:strCache>
            </c:strRef>
          </c:tx>
          <c:spPr>
            <a:solidFill>
              <a:schemeClr val="accent3"/>
            </a:solidFill>
            <a:ln>
              <a:noFill/>
            </a:ln>
            <a:effectLst/>
          </c:spPr>
          <c:invertIfNegative val="0"/>
          <c:cat>
            <c:strRef>
              <c:f>Farmington!$T$73:$Z$73</c:f>
              <c:strCache>
                <c:ptCount val="7"/>
                <c:pt idx="0">
                  <c:v>Aluminum</c:v>
                </c:pt>
                <c:pt idx="1">
                  <c:v>Cadmium</c:v>
                </c:pt>
                <c:pt idx="2">
                  <c:v>Copper</c:v>
                </c:pt>
                <c:pt idx="3">
                  <c:v>Iron</c:v>
                </c:pt>
                <c:pt idx="4">
                  <c:v>Lead</c:v>
                </c:pt>
                <c:pt idx="5">
                  <c:v>Manganese</c:v>
                </c:pt>
                <c:pt idx="6">
                  <c:v>Zinc</c:v>
                </c:pt>
              </c:strCache>
            </c:strRef>
          </c:cat>
          <c:val>
            <c:numRef>
              <c:f>Farmington!$T$76:$Z$76</c:f>
              <c:numCache>
                <c:formatCode>#,##0.00</c:formatCode>
                <c:ptCount val="7"/>
                <c:pt idx="0" formatCode="#,##0">
                  <c:v>10544.17458048295</c:v>
                </c:pt>
                <c:pt idx="1">
                  <c:v>0.19430187916888034</c:v>
                </c:pt>
                <c:pt idx="2" formatCode="#,##0.0">
                  <c:v>13.723894341011404</c:v>
                </c:pt>
                <c:pt idx="3" formatCode="#,##0">
                  <c:v>13481.998865255688</c:v>
                </c:pt>
                <c:pt idx="4" formatCode="#,##0.0">
                  <c:v>16.426729267361498</c:v>
                </c:pt>
                <c:pt idx="5" formatCode="#,##0">
                  <c:v>398.91642437594817</c:v>
                </c:pt>
                <c:pt idx="6" formatCode="#,##0">
                  <c:v>73.854198027236791</c:v>
                </c:pt>
              </c:numCache>
            </c:numRef>
          </c:val>
          <c:extLst>
            <c:ext xmlns:c16="http://schemas.microsoft.com/office/drawing/2014/chart" uri="{C3380CC4-5D6E-409C-BE32-E72D297353CC}">
              <c16:uniqueId val="{00000002-AF3A-4E32-81AC-6442D433B8C5}"/>
            </c:ext>
          </c:extLst>
        </c:ser>
        <c:dLbls>
          <c:showLegendKey val="0"/>
          <c:showVal val="0"/>
          <c:showCatName val="0"/>
          <c:showSerName val="0"/>
          <c:showPercent val="0"/>
          <c:showBubbleSize val="0"/>
        </c:dLbls>
        <c:gapWidth val="219"/>
        <c:overlap val="-27"/>
        <c:axId val="845609200"/>
        <c:axId val="845617728"/>
      </c:barChart>
      <c:catAx>
        <c:axId val="845609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45617728"/>
        <c:crossesAt val="0.1"/>
        <c:auto val="1"/>
        <c:lblAlgn val="ctr"/>
        <c:lblOffset val="100"/>
        <c:noMultiLvlLbl val="0"/>
      </c:catAx>
      <c:valAx>
        <c:axId val="845617728"/>
        <c:scaling>
          <c:logBase val="10"/>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45609200"/>
        <c:crosses val="autoZero"/>
        <c:crossBetween val="between"/>
      </c:valAx>
      <c:spPr>
        <a:noFill/>
        <a:ln>
          <a:noFill/>
        </a:ln>
        <a:effectLst/>
      </c:spPr>
    </c:plotArea>
    <c:legend>
      <c:legendPos val="b"/>
      <c:layout>
        <c:manualLayout>
          <c:xMode val="edge"/>
          <c:yMode val="edge"/>
          <c:x val="0.27821708456655686"/>
          <c:y val="0.17952577194332581"/>
          <c:w val="0.57122521918802704"/>
          <c:h val="6.1770842287044915E-2"/>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a:solidFill>
            <a:sysClr val="windowText" lastClr="000000"/>
          </a:solidFill>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Bed</a:t>
            </a:r>
            <a:r>
              <a:rPr lang="en-US" sz="1100" baseline="0"/>
              <a:t> Sediment --</a:t>
            </a:r>
            <a:r>
              <a:rPr lang="en-US" sz="1100"/>
              <a:t>San Juan River (RK</a:t>
            </a:r>
            <a:r>
              <a:rPr lang="en-US" sz="1100" baseline="0"/>
              <a:t> 196-296)</a:t>
            </a:r>
            <a:endParaRPr lang="en-US" sz="1100"/>
          </a:p>
        </c:rich>
      </c:tx>
      <c:layout>
        <c:manualLayout>
          <c:xMode val="edge"/>
          <c:yMode val="edge"/>
          <c:x val="0.3179491280905396"/>
          <c:y val="4.4377115904327642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576413282392238"/>
          <c:y val="0.13601713880958277"/>
          <c:w val="0.74968755084191485"/>
          <c:h val="0.64850317876247709"/>
        </c:manualLayout>
      </c:layout>
      <c:scatterChart>
        <c:scatterStyle val="lineMarker"/>
        <c:varyColors val="0"/>
        <c:ser>
          <c:idx val="0"/>
          <c:order val="0"/>
          <c:tx>
            <c:strRef>
              <c:f>'San Juan'!$AU$11</c:f>
              <c:strCache>
                <c:ptCount val="1"/>
                <c:pt idx="0">
                  <c:v>Pre-Event</c:v>
                </c:pt>
              </c:strCache>
            </c:strRef>
          </c:tx>
          <c:spPr>
            <a:ln w="19050" cap="rnd">
              <a:noFill/>
              <a:round/>
            </a:ln>
            <a:effectLst/>
          </c:spPr>
          <c:marker>
            <c:symbol val="circle"/>
            <c:size val="6"/>
            <c:spPr>
              <a:solidFill>
                <a:schemeClr val="tx2">
                  <a:lumMod val="40000"/>
                  <a:lumOff val="60000"/>
                </a:schemeClr>
              </a:solidFill>
              <a:ln w="9525">
                <a:solidFill>
                  <a:schemeClr val="tx1">
                    <a:lumMod val="50000"/>
                    <a:lumOff val="50000"/>
                  </a:schemeClr>
                </a:solidFill>
              </a:ln>
              <a:effectLst/>
            </c:spPr>
          </c:marker>
          <c:xVal>
            <c:numRef>
              <c:f>'San Juan'!$AI$201:$AI$220</c:f>
              <c:numCache>
                <c:formatCode>General</c:formatCode>
                <c:ptCount val="20"/>
                <c:pt idx="0">
                  <c:v>210</c:v>
                </c:pt>
                <c:pt idx="1">
                  <c:v>1200</c:v>
                </c:pt>
                <c:pt idx="2">
                  <c:v>800</c:v>
                </c:pt>
                <c:pt idx="3">
                  <c:v>1300</c:v>
                </c:pt>
                <c:pt idx="4">
                  <c:v>1800</c:v>
                </c:pt>
                <c:pt idx="5">
                  <c:v>2600</c:v>
                </c:pt>
                <c:pt idx="6">
                  <c:v>4400</c:v>
                </c:pt>
                <c:pt idx="7">
                  <c:v>6300</c:v>
                </c:pt>
                <c:pt idx="8">
                  <c:v>2900</c:v>
                </c:pt>
                <c:pt idx="9">
                  <c:v>2900</c:v>
                </c:pt>
                <c:pt idx="10">
                  <c:v>3800</c:v>
                </c:pt>
                <c:pt idx="11">
                  <c:v>8900</c:v>
                </c:pt>
                <c:pt idx="12">
                  <c:v>26000</c:v>
                </c:pt>
                <c:pt idx="13">
                  <c:v>630</c:v>
                </c:pt>
                <c:pt idx="14">
                  <c:v>11000</c:v>
                </c:pt>
                <c:pt idx="15">
                  <c:v>13093</c:v>
                </c:pt>
                <c:pt idx="16">
                  <c:v>7326</c:v>
                </c:pt>
                <c:pt idx="17">
                  <c:v>1308</c:v>
                </c:pt>
                <c:pt idx="19">
                  <c:v>9600</c:v>
                </c:pt>
              </c:numCache>
            </c:numRef>
          </c:xVal>
          <c:yVal>
            <c:numRef>
              <c:f>'San Juan'!$AJ$201:$AJ$220</c:f>
              <c:numCache>
                <c:formatCode>General</c:formatCode>
                <c:ptCount val="20"/>
                <c:pt idx="0">
                  <c:v>5</c:v>
                </c:pt>
                <c:pt idx="1">
                  <c:v>5</c:v>
                </c:pt>
                <c:pt idx="2">
                  <c:v>5</c:v>
                </c:pt>
                <c:pt idx="3">
                  <c:v>5</c:v>
                </c:pt>
                <c:pt idx="4">
                  <c:v>10</c:v>
                </c:pt>
                <c:pt idx="5">
                  <c:v>5</c:v>
                </c:pt>
                <c:pt idx="6">
                  <c:v>10</c:v>
                </c:pt>
                <c:pt idx="7">
                  <c:v>5</c:v>
                </c:pt>
                <c:pt idx="8">
                  <c:v>5</c:v>
                </c:pt>
                <c:pt idx="9">
                  <c:v>5</c:v>
                </c:pt>
                <c:pt idx="10">
                  <c:v>5</c:v>
                </c:pt>
                <c:pt idx="11">
                  <c:v>10</c:v>
                </c:pt>
                <c:pt idx="12">
                  <c:v>5</c:v>
                </c:pt>
                <c:pt idx="13">
                  <c:v>5</c:v>
                </c:pt>
                <c:pt idx="14">
                  <c:v>10</c:v>
                </c:pt>
                <c:pt idx="15">
                  <c:v>11</c:v>
                </c:pt>
                <c:pt idx="16">
                  <c:v>5</c:v>
                </c:pt>
                <c:pt idx="17">
                  <c:v>8.5</c:v>
                </c:pt>
                <c:pt idx="18">
                  <c:v>6</c:v>
                </c:pt>
                <c:pt idx="19">
                  <c:v>9.5</c:v>
                </c:pt>
              </c:numCache>
            </c:numRef>
          </c:yVal>
          <c:smooth val="0"/>
          <c:extLst>
            <c:ext xmlns:c16="http://schemas.microsoft.com/office/drawing/2014/chart" uri="{C3380CC4-5D6E-409C-BE32-E72D297353CC}">
              <c16:uniqueId val="{00000000-6C95-4FC5-973D-5731735B440E}"/>
            </c:ext>
          </c:extLst>
        </c:ser>
        <c:ser>
          <c:idx val="1"/>
          <c:order val="1"/>
          <c:tx>
            <c:strRef>
              <c:f>'San Juan'!$AU$12</c:f>
              <c:strCache>
                <c:ptCount val="1"/>
                <c:pt idx="0">
                  <c:v>Fall 2015</c:v>
                </c:pt>
              </c:strCache>
            </c:strRef>
          </c:tx>
          <c:spPr>
            <a:ln w="25400" cap="rnd">
              <a:noFill/>
              <a:round/>
            </a:ln>
            <a:effectLst/>
          </c:spPr>
          <c:marker>
            <c:symbol val="square"/>
            <c:size val="5"/>
            <c:spPr>
              <a:noFill/>
              <a:ln w="9525">
                <a:solidFill>
                  <a:schemeClr val="accent2">
                    <a:lumMod val="50000"/>
                  </a:schemeClr>
                </a:solidFill>
              </a:ln>
              <a:effectLst/>
            </c:spPr>
          </c:marker>
          <c:xVal>
            <c:numRef>
              <c:f>'San Juan'!$AI$32:$AI$180</c:f>
              <c:numCache>
                <c:formatCode>General</c:formatCode>
                <c:ptCount val="149"/>
                <c:pt idx="0">
                  <c:v>5900</c:v>
                </c:pt>
                <c:pt idx="1">
                  <c:v>6800</c:v>
                </c:pt>
                <c:pt idx="2">
                  <c:v>12000</c:v>
                </c:pt>
                <c:pt idx="3">
                  <c:v>7100</c:v>
                </c:pt>
                <c:pt idx="4">
                  <c:v>3900</c:v>
                </c:pt>
                <c:pt idx="5">
                  <c:v>6200</c:v>
                </c:pt>
                <c:pt idx="6">
                  <c:v>6200</c:v>
                </c:pt>
                <c:pt idx="7">
                  <c:v>6200</c:v>
                </c:pt>
                <c:pt idx="8">
                  <c:v>6000</c:v>
                </c:pt>
                <c:pt idx="9">
                  <c:v>8700</c:v>
                </c:pt>
                <c:pt idx="10">
                  <c:v>8000</c:v>
                </c:pt>
                <c:pt idx="11">
                  <c:v>6100</c:v>
                </c:pt>
                <c:pt idx="12">
                  <c:v>5700</c:v>
                </c:pt>
                <c:pt idx="13">
                  <c:v>8700</c:v>
                </c:pt>
                <c:pt idx="14">
                  <c:v>8500</c:v>
                </c:pt>
                <c:pt idx="15">
                  <c:v>6900</c:v>
                </c:pt>
                <c:pt idx="16">
                  <c:v>5500</c:v>
                </c:pt>
                <c:pt idx="17">
                  <c:v>5500</c:v>
                </c:pt>
                <c:pt idx="18">
                  <c:v>4200</c:v>
                </c:pt>
                <c:pt idx="19">
                  <c:v>7100</c:v>
                </c:pt>
                <c:pt idx="20">
                  <c:v>11000</c:v>
                </c:pt>
                <c:pt idx="21">
                  <c:v>6100</c:v>
                </c:pt>
                <c:pt idx="22">
                  <c:v>7900</c:v>
                </c:pt>
                <c:pt idx="23">
                  <c:v>5400</c:v>
                </c:pt>
                <c:pt idx="24">
                  <c:v>9600</c:v>
                </c:pt>
                <c:pt idx="25">
                  <c:v>4700</c:v>
                </c:pt>
                <c:pt idx="26">
                  <c:v>11000</c:v>
                </c:pt>
                <c:pt idx="27">
                  <c:v>5500</c:v>
                </c:pt>
                <c:pt idx="28">
                  <c:v>9900</c:v>
                </c:pt>
                <c:pt idx="29">
                  <c:v>4800</c:v>
                </c:pt>
                <c:pt idx="30">
                  <c:v>11000</c:v>
                </c:pt>
                <c:pt idx="31">
                  <c:v>8400</c:v>
                </c:pt>
                <c:pt idx="32">
                  <c:v>5400</c:v>
                </c:pt>
                <c:pt idx="33">
                  <c:v>8400</c:v>
                </c:pt>
                <c:pt idx="34">
                  <c:v>6700</c:v>
                </c:pt>
                <c:pt idx="35">
                  <c:v>5000</c:v>
                </c:pt>
                <c:pt idx="36">
                  <c:v>5100</c:v>
                </c:pt>
                <c:pt idx="37">
                  <c:v>4000</c:v>
                </c:pt>
                <c:pt idx="38">
                  <c:v>9700</c:v>
                </c:pt>
                <c:pt idx="39">
                  <c:v>5900</c:v>
                </c:pt>
                <c:pt idx="40">
                  <c:v>7600</c:v>
                </c:pt>
                <c:pt idx="41">
                  <c:v>6600</c:v>
                </c:pt>
                <c:pt idx="42">
                  <c:v>5200</c:v>
                </c:pt>
                <c:pt idx="43">
                  <c:v>6500</c:v>
                </c:pt>
                <c:pt idx="44">
                  <c:v>6100</c:v>
                </c:pt>
                <c:pt idx="45">
                  <c:v>4000</c:v>
                </c:pt>
                <c:pt idx="46">
                  <c:v>4500</c:v>
                </c:pt>
                <c:pt idx="47">
                  <c:v>9900</c:v>
                </c:pt>
                <c:pt idx="48">
                  <c:v>5000</c:v>
                </c:pt>
                <c:pt idx="49">
                  <c:v>5000</c:v>
                </c:pt>
                <c:pt idx="50">
                  <c:v>4900</c:v>
                </c:pt>
                <c:pt idx="51">
                  <c:v>6300</c:v>
                </c:pt>
                <c:pt idx="52">
                  <c:v>5400</c:v>
                </c:pt>
                <c:pt idx="53">
                  <c:v>6000</c:v>
                </c:pt>
                <c:pt idx="54">
                  <c:v>6800</c:v>
                </c:pt>
                <c:pt idx="55">
                  <c:v>6100</c:v>
                </c:pt>
                <c:pt idx="56">
                  <c:v>5600</c:v>
                </c:pt>
                <c:pt idx="57">
                  <c:v>8400</c:v>
                </c:pt>
                <c:pt idx="58">
                  <c:v>4900</c:v>
                </c:pt>
                <c:pt idx="59">
                  <c:v>6200</c:v>
                </c:pt>
                <c:pt idx="60">
                  <c:v>7100</c:v>
                </c:pt>
                <c:pt idx="61">
                  <c:v>7300</c:v>
                </c:pt>
                <c:pt idx="62">
                  <c:v>14000</c:v>
                </c:pt>
                <c:pt idx="63">
                  <c:v>8000</c:v>
                </c:pt>
                <c:pt idx="64">
                  <c:v>11000</c:v>
                </c:pt>
                <c:pt idx="65">
                  <c:v>6200</c:v>
                </c:pt>
                <c:pt idx="66">
                  <c:v>9000</c:v>
                </c:pt>
                <c:pt idx="67">
                  <c:v>5100</c:v>
                </c:pt>
                <c:pt idx="68">
                  <c:v>3500</c:v>
                </c:pt>
                <c:pt idx="69">
                  <c:v>6700</c:v>
                </c:pt>
                <c:pt idx="70">
                  <c:v>5100</c:v>
                </c:pt>
                <c:pt idx="71">
                  <c:v>3600</c:v>
                </c:pt>
                <c:pt idx="72">
                  <c:v>5800</c:v>
                </c:pt>
                <c:pt idx="73">
                  <c:v>3000</c:v>
                </c:pt>
                <c:pt idx="74">
                  <c:v>4200</c:v>
                </c:pt>
                <c:pt idx="75">
                  <c:v>8600</c:v>
                </c:pt>
                <c:pt idx="76">
                  <c:v>3500</c:v>
                </c:pt>
                <c:pt idx="77">
                  <c:v>4800</c:v>
                </c:pt>
                <c:pt idx="78">
                  <c:v>2800</c:v>
                </c:pt>
                <c:pt idx="79">
                  <c:v>5500</c:v>
                </c:pt>
                <c:pt idx="80">
                  <c:v>5000</c:v>
                </c:pt>
                <c:pt idx="81">
                  <c:v>6100</c:v>
                </c:pt>
                <c:pt idx="82">
                  <c:v>6400</c:v>
                </c:pt>
                <c:pt idx="83">
                  <c:v>6200</c:v>
                </c:pt>
                <c:pt idx="84">
                  <c:v>5300</c:v>
                </c:pt>
                <c:pt idx="85">
                  <c:v>4600</c:v>
                </c:pt>
                <c:pt idx="86">
                  <c:v>5200</c:v>
                </c:pt>
                <c:pt idx="87">
                  <c:v>3900</c:v>
                </c:pt>
                <c:pt idx="88">
                  <c:v>4300</c:v>
                </c:pt>
                <c:pt idx="89">
                  <c:v>4400</c:v>
                </c:pt>
                <c:pt idx="90">
                  <c:v>3900</c:v>
                </c:pt>
                <c:pt idx="91">
                  <c:v>4100</c:v>
                </c:pt>
                <c:pt idx="92">
                  <c:v>4100</c:v>
                </c:pt>
                <c:pt idx="93">
                  <c:v>3500</c:v>
                </c:pt>
                <c:pt idx="94">
                  <c:v>5000</c:v>
                </c:pt>
                <c:pt idx="95">
                  <c:v>3600</c:v>
                </c:pt>
                <c:pt idx="96">
                  <c:v>8900</c:v>
                </c:pt>
                <c:pt idx="97">
                  <c:v>6900</c:v>
                </c:pt>
                <c:pt idx="98">
                  <c:v>4700</c:v>
                </c:pt>
                <c:pt idx="99">
                  <c:v>3800</c:v>
                </c:pt>
                <c:pt idx="100">
                  <c:v>5300</c:v>
                </c:pt>
                <c:pt idx="101">
                  <c:v>3900</c:v>
                </c:pt>
                <c:pt idx="102">
                  <c:v>6800</c:v>
                </c:pt>
                <c:pt idx="103">
                  <c:v>3900</c:v>
                </c:pt>
                <c:pt idx="104">
                  <c:v>6800</c:v>
                </c:pt>
                <c:pt idx="105">
                  <c:v>8300</c:v>
                </c:pt>
                <c:pt idx="106">
                  <c:v>3900</c:v>
                </c:pt>
                <c:pt idx="107">
                  <c:v>7600</c:v>
                </c:pt>
                <c:pt idx="108">
                  <c:v>3700</c:v>
                </c:pt>
                <c:pt idx="109">
                  <c:v>4200</c:v>
                </c:pt>
                <c:pt idx="110">
                  <c:v>3500</c:v>
                </c:pt>
                <c:pt idx="111">
                  <c:v>4900</c:v>
                </c:pt>
                <c:pt idx="112">
                  <c:v>5400</c:v>
                </c:pt>
                <c:pt idx="113">
                  <c:v>7700</c:v>
                </c:pt>
                <c:pt idx="114">
                  <c:v>3700</c:v>
                </c:pt>
                <c:pt idx="115">
                  <c:v>5300</c:v>
                </c:pt>
                <c:pt idx="116">
                  <c:v>8400</c:v>
                </c:pt>
                <c:pt idx="117">
                  <c:v>2000</c:v>
                </c:pt>
                <c:pt idx="118">
                  <c:v>4900</c:v>
                </c:pt>
                <c:pt idx="119">
                  <c:v>7200</c:v>
                </c:pt>
                <c:pt idx="120">
                  <c:v>10000</c:v>
                </c:pt>
                <c:pt idx="121">
                  <c:v>9300</c:v>
                </c:pt>
                <c:pt idx="122">
                  <c:v>8500</c:v>
                </c:pt>
                <c:pt idx="123">
                  <c:v>6300</c:v>
                </c:pt>
                <c:pt idx="124">
                  <c:v>2800</c:v>
                </c:pt>
                <c:pt idx="125">
                  <c:v>7500</c:v>
                </c:pt>
                <c:pt idx="126">
                  <c:v>5100</c:v>
                </c:pt>
                <c:pt idx="127">
                  <c:v>8400</c:v>
                </c:pt>
                <c:pt idx="128">
                  <c:v>12000</c:v>
                </c:pt>
                <c:pt idx="129">
                  <c:v>2500</c:v>
                </c:pt>
                <c:pt idx="130">
                  <c:v>6200</c:v>
                </c:pt>
                <c:pt idx="131">
                  <c:v>4900</c:v>
                </c:pt>
                <c:pt idx="132">
                  <c:v>5000</c:v>
                </c:pt>
                <c:pt idx="133">
                  <c:v>9700</c:v>
                </c:pt>
                <c:pt idx="134">
                  <c:v>5700</c:v>
                </c:pt>
                <c:pt idx="135">
                  <c:v>8100</c:v>
                </c:pt>
                <c:pt idx="136">
                  <c:v>8300</c:v>
                </c:pt>
                <c:pt idx="137">
                  <c:v>3900</c:v>
                </c:pt>
                <c:pt idx="138">
                  <c:v>9900</c:v>
                </c:pt>
                <c:pt idx="139">
                  <c:v>3600</c:v>
                </c:pt>
                <c:pt idx="140">
                  <c:v>6500</c:v>
                </c:pt>
                <c:pt idx="141">
                  <c:v>6700</c:v>
                </c:pt>
                <c:pt idx="142">
                  <c:v>3100</c:v>
                </c:pt>
                <c:pt idx="143">
                  <c:v>7600</c:v>
                </c:pt>
                <c:pt idx="144">
                  <c:v>7000</c:v>
                </c:pt>
                <c:pt idx="145">
                  <c:v>7800</c:v>
                </c:pt>
                <c:pt idx="146">
                  <c:v>5000</c:v>
                </c:pt>
                <c:pt idx="147">
                  <c:v>9400</c:v>
                </c:pt>
                <c:pt idx="148">
                  <c:v>9300</c:v>
                </c:pt>
              </c:numCache>
            </c:numRef>
          </c:xVal>
          <c:yVal>
            <c:numRef>
              <c:f>'San Juan'!$AJ$32:$AJ$180</c:f>
              <c:numCache>
                <c:formatCode>General</c:formatCode>
                <c:ptCount val="149"/>
                <c:pt idx="0">
                  <c:v>4.8</c:v>
                </c:pt>
                <c:pt idx="1">
                  <c:v>5.0999999999999996</c:v>
                </c:pt>
                <c:pt idx="2">
                  <c:v>10</c:v>
                </c:pt>
                <c:pt idx="3">
                  <c:v>6</c:v>
                </c:pt>
                <c:pt idx="4">
                  <c:v>4.7</c:v>
                </c:pt>
                <c:pt idx="5">
                  <c:v>5.0999999999999996</c:v>
                </c:pt>
                <c:pt idx="6">
                  <c:v>4.2</c:v>
                </c:pt>
                <c:pt idx="7">
                  <c:v>6</c:v>
                </c:pt>
                <c:pt idx="8">
                  <c:v>5.7</c:v>
                </c:pt>
                <c:pt idx="9">
                  <c:v>4.9000000000000004</c:v>
                </c:pt>
                <c:pt idx="10">
                  <c:v>6.2</c:v>
                </c:pt>
                <c:pt idx="11">
                  <c:v>4.2</c:v>
                </c:pt>
                <c:pt idx="12">
                  <c:v>6.3</c:v>
                </c:pt>
                <c:pt idx="13">
                  <c:v>9</c:v>
                </c:pt>
                <c:pt idx="14">
                  <c:v>6.8</c:v>
                </c:pt>
                <c:pt idx="15">
                  <c:v>4.5</c:v>
                </c:pt>
                <c:pt idx="16">
                  <c:v>5.5</c:v>
                </c:pt>
                <c:pt idx="17">
                  <c:v>5.3</c:v>
                </c:pt>
                <c:pt idx="18">
                  <c:v>4.4000000000000004</c:v>
                </c:pt>
                <c:pt idx="19">
                  <c:v>6.5</c:v>
                </c:pt>
                <c:pt idx="20">
                  <c:v>11</c:v>
                </c:pt>
                <c:pt idx="21">
                  <c:v>5.9</c:v>
                </c:pt>
                <c:pt idx="22">
                  <c:v>9.5</c:v>
                </c:pt>
                <c:pt idx="23">
                  <c:v>4.4000000000000004</c:v>
                </c:pt>
                <c:pt idx="24">
                  <c:v>17</c:v>
                </c:pt>
                <c:pt idx="25">
                  <c:v>3.8</c:v>
                </c:pt>
                <c:pt idx="26">
                  <c:v>16</c:v>
                </c:pt>
                <c:pt idx="27">
                  <c:v>5.0999999999999996</c:v>
                </c:pt>
                <c:pt idx="28">
                  <c:v>27</c:v>
                </c:pt>
                <c:pt idx="29">
                  <c:v>4.5999999999999996</c:v>
                </c:pt>
                <c:pt idx="30">
                  <c:v>22</c:v>
                </c:pt>
                <c:pt idx="31">
                  <c:v>8.6</c:v>
                </c:pt>
                <c:pt idx="32">
                  <c:v>5.2</c:v>
                </c:pt>
                <c:pt idx="33">
                  <c:v>2.1</c:v>
                </c:pt>
                <c:pt idx="34">
                  <c:v>4.3</c:v>
                </c:pt>
                <c:pt idx="35">
                  <c:v>3.9</c:v>
                </c:pt>
                <c:pt idx="36">
                  <c:v>2.7</c:v>
                </c:pt>
                <c:pt idx="37">
                  <c:v>2.1</c:v>
                </c:pt>
                <c:pt idx="38">
                  <c:v>8.9</c:v>
                </c:pt>
                <c:pt idx="39">
                  <c:v>5.6</c:v>
                </c:pt>
                <c:pt idx="40">
                  <c:v>6.9</c:v>
                </c:pt>
                <c:pt idx="41">
                  <c:v>5.6</c:v>
                </c:pt>
                <c:pt idx="42">
                  <c:v>3.2</c:v>
                </c:pt>
                <c:pt idx="43">
                  <c:v>5.4</c:v>
                </c:pt>
                <c:pt idx="44">
                  <c:v>5.7</c:v>
                </c:pt>
                <c:pt idx="45">
                  <c:v>5.3</c:v>
                </c:pt>
                <c:pt idx="46">
                  <c:v>3.8</c:v>
                </c:pt>
                <c:pt idx="47">
                  <c:v>29</c:v>
                </c:pt>
                <c:pt idx="48">
                  <c:v>2.9</c:v>
                </c:pt>
                <c:pt idx="49">
                  <c:v>4.9000000000000004</c:v>
                </c:pt>
                <c:pt idx="50">
                  <c:v>3.6</c:v>
                </c:pt>
                <c:pt idx="51">
                  <c:v>4.5</c:v>
                </c:pt>
                <c:pt idx="52">
                  <c:v>4.5999999999999996</c:v>
                </c:pt>
                <c:pt idx="53">
                  <c:v>6</c:v>
                </c:pt>
                <c:pt idx="54">
                  <c:v>6.2</c:v>
                </c:pt>
                <c:pt idx="55">
                  <c:v>8.1999999999999993</c:v>
                </c:pt>
                <c:pt idx="56">
                  <c:v>4.2</c:v>
                </c:pt>
                <c:pt idx="57">
                  <c:v>5.0999999999999996</c:v>
                </c:pt>
                <c:pt idx="58">
                  <c:v>5.8</c:v>
                </c:pt>
                <c:pt idx="59">
                  <c:v>6.2</c:v>
                </c:pt>
                <c:pt idx="60">
                  <c:v>5.2</c:v>
                </c:pt>
                <c:pt idx="61">
                  <c:v>5.0999999999999996</c:v>
                </c:pt>
                <c:pt idx="62">
                  <c:v>7.8</c:v>
                </c:pt>
                <c:pt idx="63">
                  <c:v>5.7</c:v>
                </c:pt>
                <c:pt idx="64">
                  <c:v>7.3</c:v>
                </c:pt>
                <c:pt idx="65">
                  <c:v>3.5</c:v>
                </c:pt>
                <c:pt idx="66">
                  <c:v>7</c:v>
                </c:pt>
                <c:pt idx="67">
                  <c:v>4.2</c:v>
                </c:pt>
                <c:pt idx="68">
                  <c:v>3.6</c:v>
                </c:pt>
                <c:pt idx="69">
                  <c:v>5.8</c:v>
                </c:pt>
                <c:pt idx="70">
                  <c:v>4.0999999999999996</c:v>
                </c:pt>
                <c:pt idx="71">
                  <c:v>4.4000000000000004</c:v>
                </c:pt>
                <c:pt idx="72">
                  <c:v>5.3</c:v>
                </c:pt>
                <c:pt idx="73">
                  <c:v>4.2</c:v>
                </c:pt>
                <c:pt idx="74">
                  <c:v>4.9000000000000004</c:v>
                </c:pt>
                <c:pt idx="75">
                  <c:v>7.6</c:v>
                </c:pt>
                <c:pt idx="76">
                  <c:v>4.2</c:v>
                </c:pt>
                <c:pt idx="77">
                  <c:v>4.8</c:v>
                </c:pt>
                <c:pt idx="78">
                  <c:v>3.6</c:v>
                </c:pt>
                <c:pt idx="79">
                  <c:v>5</c:v>
                </c:pt>
                <c:pt idx="80">
                  <c:v>5.0999999999999996</c:v>
                </c:pt>
                <c:pt idx="81">
                  <c:v>5.5</c:v>
                </c:pt>
                <c:pt idx="82">
                  <c:v>7.3</c:v>
                </c:pt>
                <c:pt idx="83">
                  <c:v>8.3000000000000007</c:v>
                </c:pt>
                <c:pt idx="84">
                  <c:v>8.8000000000000007</c:v>
                </c:pt>
                <c:pt idx="85">
                  <c:v>4.5999999999999996</c:v>
                </c:pt>
                <c:pt idx="86">
                  <c:v>5</c:v>
                </c:pt>
                <c:pt idx="87">
                  <c:v>7.4</c:v>
                </c:pt>
                <c:pt idx="88">
                  <c:v>3.2</c:v>
                </c:pt>
                <c:pt idx="89">
                  <c:v>4.2</c:v>
                </c:pt>
                <c:pt idx="90">
                  <c:v>3.3</c:v>
                </c:pt>
                <c:pt idx="91">
                  <c:v>4.3</c:v>
                </c:pt>
                <c:pt idx="92">
                  <c:v>3.6</c:v>
                </c:pt>
                <c:pt idx="93">
                  <c:v>4</c:v>
                </c:pt>
                <c:pt idx="94">
                  <c:v>4.2</c:v>
                </c:pt>
                <c:pt idx="95">
                  <c:v>3.5</c:v>
                </c:pt>
                <c:pt idx="96">
                  <c:v>7.5</c:v>
                </c:pt>
                <c:pt idx="97">
                  <c:v>6.3</c:v>
                </c:pt>
                <c:pt idx="98">
                  <c:v>4.4000000000000004</c:v>
                </c:pt>
                <c:pt idx="99">
                  <c:v>4.7</c:v>
                </c:pt>
                <c:pt idx="100">
                  <c:v>4.8</c:v>
                </c:pt>
                <c:pt idx="101">
                  <c:v>3.4</c:v>
                </c:pt>
                <c:pt idx="102">
                  <c:v>6</c:v>
                </c:pt>
                <c:pt idx="103">
                  <c:v>4</c:v>
                </c:pt>
                <c:pt idx="104">
                  <c:v>5.4</c:v>
                </c:pt>
                <c:pt idx="105">
                  <c:v>7</c:v>
                </c:pt>
                <c:pt idx="106">
                  <c:v>4.9000000000000004</c:v>
                </c:pt>
                <c:pt idx="107">
                  <c:v>6.1</c:v>
                </c:pt>
                <c:pt idx="108">
                  <c:v>3.6</c:v>
                </c:pt>
                <c:pt idx="109">
                  <c:v>4.2</c:v>
                </c:pt>
                <c:pt idx="110">
                  <c:v>4</c:v>
                </c:pt>
                <c:pt idx="111">
                  <c:v>5.3</c:v>
                </c:pt>
                <c:pt idx="112">
                  <c:v>6.4</c:v>
                </c:pt>
                <c:pt idx="113">
                  <c:v>7.7</c:v>
                </c:pt>
                <c:pt idx="114">
                  <c:v>5.9</c:v>
                </c:pt>
                <c:pt idx="115">
                  <c:v>4.7</c:v>
                </c:pt>
                <c:pt idx="116">
                  <c:v>8.8000000000000007</c:v>
                </c:pt>
                <c:pt idx="117">
                  <c:v>4.2</c:v>
                </c:pt>
                <c:pt idx="118">
                  <c:v>3.6</c:v>
                </c:pt>
                <c:pt idx="119">
                  <c:v>2.9</c:v>
                </c:pt>
                <c:pt idx="120">
                  <c:v>6.1</c:v>
                </c:pt>
                <c:pt idx="121">
                  <c:v>7.5</c:v>
                </c:pt>
                <c:pt idx="122">
                  <c:v>5.7</c:v>
                </c:pt>
                <c:pt idx="123">
                  <c:v>5.3</c:v>
                </c:pt>
                <c:pt idx="124">
                  <c:v>2.6</c:v>
                </c:pt>
                <c:pt idx="125">
                  <c:v>5.5</c:v>
                </c:pt>
                <c:pt idx="126">
                  <c:v>4.4000000000000004</c:v>
                </c:pt>
                <c:pt idx="127">
                  <c:v>6.5</c:v>
                </c:pt>
                <c:pt idx="128">
                  <c:v>7.4</c:v>
                </c:pt>
                <c:pt idx="129">
                  <c:v>3.9</c:v>
                </c:pt>
                <c:pt idx="130">
                  <c:v>4.5999999999999996</c:v>
                </c:pt>
                <c:pt idx="131">
                  <c:v>3.7</c:v>
                </c:pt>
                <c:pt idx="132">
                  <c:v>4.8</c:v>
                </c:pt>
                <c:pt idx="133">
                  <c:v>4.8</c:v>
                </c:pt>
                <c:pt idx="134">
                  <c:v>4.8</c:v>
                </c:pt>
                <c:pt idx="135">
                  <c:v>4.8</c:v>
                </c:pt>
                <c:pt idx="136">
                  <c:v>4.8</c:v>
                </c:pt>
                <c:pt idx="137">
                  <c:v>4.8</c:v>
                </c:pt>
                <c:pt idx="138">
                  <c:v>4.8</c:v>
                </c:pt>
                <c:pt idx="139">
                  <c:v>4.8</c:v>
                </c:pt>
                <c:pt idx="140">
                  <c:v>4.8</c:v>
                </c:pt>
                <c:pt idx="141">
                  <c:v>4.8</c:v>
                </c:pt>
                <c:pt idx="142">
                  <c:v>4.8</c:v>
                </c:pt>
                <c:pt idx="143">
                  <c:v>4.8</c:v>
                </c:pt>
                <c:pt idx="144">
                  <c:v>4.8</c:v>
                </c:pt>
                <c:pt idx="145">
                  <c:v>4.8</c:v>
                </c:pt>
                <c:pt idx="146">
                  <c:v>4.8</c:v>
                </c:pt>
                <c:pt idx="147">
                  <c:v>4.8</c:v>
                </c:pt>
                <c:pt idx="148">
                  <c:v>4.8</c:v>
                </c:pt>
              </c:numCache>
            </c:numRef>
          </c:yVal>
          <c:smooth val="0"/>
          <c:extLst>
            <c:ext xmlns:c16="http://schemas.microsoft.com/office/drawing/2014/chart" uri="{C3380CC4-5D6E-409C-BE32-E72D297353CC}">
              <c16:uniqueId val="{00000001-6C95-4FC5-973D-5731735B440E}"/>
            </c:ext>
          </c:extLst>
        </c:ser>
        <c:ser>
          <c:idx val="2"/>
          <c:order val="2"/>
          <c:tx>
            <c:strRef>
              <c:f>'San Juan'!$AU$13</c:f>
              <c:strCache>
                <c:ptCount val="1"/>
                <c:pt idx="0">
                  <c:v>Snowment 2016</c:v>
                </c:pt>
              </c:strCache>
            </c:strRef>
          </c:tx>
          <c:spPr>
            <a:ln w="25400" cap="rnd">
              <a:noFill/>
              <a:round/>
            </a:ln>
            <a:effectLst/>
          </c:spPr>
          <c:marker>
            <c:symbol val="circle"/>
            <c:size val="6"/>
            <c:spPr>
              <a:solidFill>
                <a:srgbClr val="CC0099"/>
              </a:solidFill>
              <a:ln w="9525">
                <a:solidFill>
                  <a:srgbClr val="CC0099"/>
                </a:solidFill>
              </a:ln>
              <a:effectLst/>
            </c:spPr>
          </c:marker>
          <c:xVal>
            <c:numRef>
              <c:f>'San Juan'!$AI$181:$AI$185</c:f>
              <c:numCache>
                <c:formatCode>General</c:formatCode>
                <c:ptCount val="5"/>
                <c:pt idx="0">
                  <c:v>12000</c:v>
                </c:pt>
                <c:pt idx="1">
                  <c:v>9500</c:v>
                </c:pt>
                <c:pt idx="2">
                  <c:v>14000</c:v>
                </c:pt>
                <c:pt idx="3">
                  <c:v>11000</c:v>
                </c:pt>
                <c:pt idx="4">
                  <c:v>10000</c:v>
                </c:pt>
              </c:numCache>
            </c:numRef>
          </c:xVal>
          <c:yVal>
            <c:numRef>
              <c:f>'San Juan'!$AJ$181:$AJ$185</c:f>
              <c:numCache>
                <c:formatCode>General</c:formatCode>
                <c:ptCount val="5"/>
                <c:pt idx="0">
                  <c:v>15</c:v>
                </c:pt>
                <c:pt idx="1">
                  <c:v>15</c:v>
                </c:pt>
                <c:pt idx="2">
                  <c:v>38</c:v>
                </c:pt>
                <c:pt idx="3">
                  <c:v>28</c:v>
                </c:pt>
                <c:pt idx="4">
                  <c:v>17</c:v>
                </c:pt>
              </c:numCache>
            </c:numRef>
          </c:yVal>
          <c:smooth val="0"/>
          <c:extLst>
            <c:ext xmlns:c16="http://schemas.microsoft.com/office/drawing/2014/chart" uri="{C3380CC4-5D6E-409C-BE32-E72D297353CC}">
              <c16:uniqueId val="{00000002-6C95-4FC5-973D-5731735B440E}"/>
            </c:ext>
          </c:extLst>
        </c:ser>
        <c:ser>
          <c:idx val="3"/>
          <c:order val="3"/>
          <c:tx>
            <c:v>GKM Plume</c:v>
          </c:tx>
          <c:spPr>
            <a:ln w="25400" cap="rnd">
              <a:noFill/>
              <a:round/>
            </a:ln>
            <a:effectLst/>
          </c:spPr>
          <c:marker>
            <c:symbol val="triangle"/>
            <c:size val="7"/>
            <c:spPr>
              <a:solidFill>
                <a:schemeClr val="accent4"/>
              </a:solidFill>
              <a:ln w="9525">
                <a:solidFill>
                  <a:schemeClr val="bg1">
                    <a:lumMod val="50000"/>
                  </a:schemeClr>
                </a:solidFill>
              </a:ln>
              <a:effectLst/>
            </c:spPr>
          </c:marker>
          <c:xVal>
            <c:numRef>
              <c:f>'San Juan'!$AI$6:$AI$30</c:f>
              <c:numCache>
                <c:formatCode>General</c:formatCode>
                <c:ptCount val="25"/>
                <c:pt idx="0">
                  <c:v>5200</c:v>
                </c:pt>
                <c:pt idx="1">
                  <c:v>4300</c:v>
                </c:pt>
                <c:pt idx="2">
                  <c:v>6900</c:v>
                </c:pt>
                <c:pt idx="3">
                  <c:v>7100</c:v>
                </c:pt>
                <c:pt idx="4">
                  <c:v>5000</c:v>
                </c:pt>
                <c:pt idx="5">
                  <c:v>6100</c:v>
                </c:pt>
                <c:pt idx="6">
                  <c:v>14000</c:v>
                </c:pt>
                <c:pt idx="7">
                  <c:v>18000</c:v>
                </c:pt>
                <c:pt idx="8">
                  <c:v>15000</c:v>
                </c:pt>
                <c:pt idx="9">
                  <c:v>7700</c:v>
                </c:pt>
                <c:pt idx="10">
                  <c:v>6200</c:v>
                </c:pt>
                <c:pt idx="11">
                  <c:v>5200</c:v>
                </c:pt>
                <c:pt idx="12">
                  <c:v>6700</c:v>
                </c:pt>
                <c:pt idx="13">
                  <c:v>7600</c:v>
                </c:pt>
                <c:pt idx="14">
                  <c:v>7100</c:v>
                </c:pt>
                <c:pt idx="15">
                  <c:v>14000</c:v>
                </c:pt>
                <c:pt idx="16">
                  <c:v>7600</c:v>
                </c:pt>
                <c:pt idx="17">
                  <c:v>16000</c:v>
                </c:pt>
                <c:pt idx="18">
                  <c:v>5800</c:v>
                </c:pt>
                <c:pt idx="19">
                  <c:v>8100</c:v>
                </c:pt>
                <c:pt idx="20">
                  <c:v>16000</c:v>
                </c:pt>
                <c:pt idx="21">
                  <c:v>15000</c:v>
                </c:pt>
                <c:pt idx="22">
                  <c:v>8700</c:v>
                </c:pt>
                <c:pt idx="23">
                  <c:v>12000</c:v>
                </c:pt>
                <c:pt idx="24">
                  <c:v>13000</c:v>
                </c:pt>
              </c:numCache>
            </c:numRef>
          </c:xVal>
          <c:yVal>
            <c:numRef>
              <c:f>'San Juan'!$AJ$6:$AJ$30</c:f>
              <c:numCache>
                <c:formatCode>General</c:formatCode>
                <c:ptCount val="25"/>
                <c:pt idx="0">
                  <c:v>4.0999999999999996</c:v>
                </c:pt>
                <c:pt idx="1">
                  <c:v>3.4</c:v>
                </c:pt>
                <c:pt idx="2">
                  <c:v>6.2</c:v>
                </c:pt>
                <c:pt idx="3">
                  <c:v>5.7</c:v>
                </c:pt>
                <c:pt idx="4">
                  <c:v>4.4000000000000004</c:v>
                </c:pt>
                <c:pt idx="5">
                  <c:v>6.2</c:v>
                </c:pt>
                <c:pt idx="6">
                  <c:v>12</c:v>
                </c:pt>
                <c:pt idx="7">
                  <c:v>10</c:v>
                </c:pt>
                <c:pt idx="8">
                  <c:v>7.7</c:v>
                </c:pt>
                <c:pt idx="9">
                  <c:v>7</c:v>
                </c:pt>
                <c:pt idx="10">
                  <c:v>5.6</c:v>
                </c:pt>
                <c:pt idx="11">
                  <c:v>6.9</c:v>
                </c:pt>
                <c:pt idx="12">
                  <c:v>6.6</c:v>
                </c:pt>
                <c:pt idx="13">
                  <c:v>6.7</c:v>
                </c:pt>
                <c:pt idx="14">
                  <c:v>7.2</c:v>
                </c:pt>
                <c:pt idx="15">
                  <c:v>9.6999999999999993</c:v>
                </c:pt>
                <c:pt idx="16">
                  <c:v>8</c:v>
                </c:pt>
                <c:pt idx="17">
                  <c:v>9.1999999999999993</c:v>
                </c:pt>
                <c:pt idx="18">
                  <c:v>13</c:v>
                </c:pt>
                <c:pt idx="19">
                  <c:v>6</c:v>
                </c:pt>
                <c:pt idx="20">
                  <c:v>17</c:v>
                </c:pt>
                <c:pt idx="21">
                  <c:v>11</c:v>
                </c:pt>
                <c:pt idx="22">
                  <c:v>5.3</c:v>
                </c:pt>
                <c:pt idx="23">
                  <c:v>6.8</c:v>
                </c:pt>
                <c:pt idx="24">
                  <c:v>20</c:v>
                </c:pt>
              </c:numCache>
            </c:numRef>
          </c:yVal>
          <c:smooth val="0"/>
          <c:extLst>
            <c:ext xmlns:c16="http://schemas.microsoft.com/office/drawing/2014/chart" uri="{C3380CC4-5D6E-409C-BE32-E72D297353CC}">
              <c16:uniqueId val="{00000003-6C95-4FC5-973D-5731735B440E}"/>
            </c:ext>
          </c:extLst>
        </c:ser>
        <c:dLbls>
          <c:showLegendKey val="0"/>
          <c:showVal val="0"/>
          <c:showCatName val="0"/>
          <c:showSerName val="0"/>
          <c:showPercent val="0"/>
          <c:showBubbleSize val="0"/>
        </c:dLbls>
        <c:axId val="1152698112"/>
        <c:axId val="1152698504"/>
      </c:scatterChart>
      <c:valAx>
        <c:axId val="1152698112"/>
        <c:scaling>
          <c:orientation val="minMax"/>
          <c:max val="20000"/>
          <c:min val="0"/>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Iron Concentration (mg/kg)</a:t>
                </a:r>
              </a:p>
            </c:rich>
          </c:tx>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1152698504"/>
        <c:crosses val="autoZero"/>
        <c:crossBetween val="midCat"/>
      </c:valAx>
      <c:valAx>
        <c:axId val="1152698504"/>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Lead Concentration (mg/kg)</a:t>
                </a:r>
              </a:p>
            </c:rich>
          </c:tx>
          <c:layout>
            <c:manualLayout>
              <c:xMode val="edge"/>
              <c:yMode val="edge"/>
              <c:x val="5.3844752353883168E-2"/>
              <c:y val="0.20314898893365957"/>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1152698112"/>
        <c:crosses val="autoZero"/>
        <c:crossBetween val="midCat"/>
      </c:valAx>
      <c:spPr>
        <a:noFill/>
        <a:ln>
          <a:noFill/>
        </a:ln>
        <a:effectLst/>
      </c:spPr>
    </c:plotArea>
    <c:legend>
      <c:legendPos val="t"/>
      <c:layout>
        <c:manualLayout>
          <c:xMode val="edge"/>
          <c:yMode val="edge"/>
          <c:x val="0.21263467410839706"/>
          <c:y val="0.13693276912174393"/>
          <c:w val="0.25536600080508115"/>
          <c:h val="0.23843734321501861"/>
        </c:manualLayout>
      </c:layout>
      <c:overlay val="0"/>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050" b="1">
          <a:solidFill>
            <a:sysClr val="windowText" lastClr="000000"/>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Animas Below Silverton (RK 16.4) </a:t>
            </a:r>
          </a:p>
        </c:rich>
      </c:tx>
      <c:layout>
        <c:manualLayout>
          <c:xMode val="edge"/>
          <c:yMode val="edge"/>
          <c:x val="0.33928455818022746"/>
          <c:y val="2.476305045202683E-3"/>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0735170603674541"/>
          <c:y val="0.10744906689281672"/>
          <c:w val="0.68940048118985142"/>
          <c:h val="0.68662483979714561"/>
        </c:manualLayout>
      </c:layout>
      <c:scatterChart>
        <c:scatterStyle val="lineMarker"/>
        <c:varyColors val="0"/>
        <c:ser>
          <c:idx val="0"/>
          <c:order val="0"/>
          <c:tx>
            <c:v>Aluminum</c:v>
          </c:tx>
          <c:spPr>
            <a:ln w="12700" cap="rnd">
              <a:solidFill>
                <a:schemeClr val="bg2">
                  <a:lumMod val="50000"/>
                </a:schemeClr>
              </a:solidFill>
              <a:prstDash val="sysDash"/>
              <a:round/>
            </a:ln>
            <a:effectLst/>
          </c:spPr>
          <c:marker>
            <c:symbol val="circle"/>
            <c:size val="8"/>
            <c:spPr>
              <a:solidFill>
                <a:schemeClr val="tx2">
                  <a:lumMod val="40000"/>
                  <a:lumOff val="60000"/>
                </a:schemeClr>
              </a:solidFill>
              <a:ln w="9525">
                <a:solidFill>
                  <a:schemeClr val="tx1">
                    <a:lumMod val="50000"/>
                    <a:lumOff val="50000"/>
                  </a:schemeClr>
                </a:solidFill>
              </a:ln>
              <a:effectLst/>
            </c:spPr>
          </c:marker>
          <c:xVal>
            <c:numRef>
              <c:f>Silverton!$B$40:$B$47</c:f>
              <c:numCache>
                <c:formatCode>m/d/yyyy</c:formatCode>
                <c:ptCount val="8"/>
                <c:pt idx="0">
                  <c:v>42493</c:v>
                </c:pt>
                <c:pt idx="1">
                  <c:v>42501</c:v>
                </c:pt>
                <c:pt idx="2">
                  <c:v>42509</c:v>
                </c:pt>
                <c:pt idx="3">
                  <c:v>42516</c:v>
                </c:pt>
                <c:pt idx="4">
                  <c:v>42522</c:v>
                </c:pt>
                <c:pt idx="5">
                  <c:v>42527.527777777781</c:v>
                </c:pt>
                <c:pt idx="6">
                  <c:v>42528</c:v>
                </c:pt>
                <c:pt idx="7">
                  <c:v>42536</c:v>
                </c:pt>
              </c:numCache>
            </c:numRef>
          </c:xVal>
          <c:yVal>
            <c:numRef>
              <c:f>Silverton!$C$40:$C$47</c:f>
              <c:numCache>
                <c:formatCode>General</c:formatCode>
                <c:ptCount val="8"/>
                <c:pt idx="0">
                  <c:v>14000</c:v>
                </c:pt>
                <c:pt idx="1">
                  <c:v>16000</c:v>
                </c:pt>
                <c:pt idx="2">
                  <c:v>12000</c:v>
                </c:pt>
                <c:pt idx="3">
                  <c:v>13000</c:v>
                </c:pt>
                <c:pt idx="4">
                  <c:v>15000</c:v>
                </c:pt>
                <c:pt idx="5">
                  <c:v>9700</c:v>
                </c:pt>
                <c:pt idx="6">
                  <c:v>5300</c:v>
                </c:pt>
                <c:pt idx="7">
                  <c:v>8400</c:v>
                </c:pt>
              </c:numCache>
            </c:numRef>
          </c:yVal>
          <c:smooth val="0"/>
          <c:extLst>
            <c:ext xmlns:c16="http://schemas.microsoft.com/office/drawing/2014/chart" uri="{C3380CC4-5D6E-409C-BE32-E72D297353CC}">
              <c16:uniqueId val="{00000000-ECD7-4C2E-AB09-BC76D0FE5A6C}"/>
            </c:ext>
          </c:extLst>
        </c:ser>
        <c:ser>
          <c:idx val="1"/>
          <c:order val="1"/>
          <c:tx>
            <c:v>Iron</c:v>
          </c:tx>
          <c:spPr>
            <a:ln w="12700" cap="rnd">
              <a:solidFill>
                <a:schemeClr val="bg1">
                  <a:lumMod val="50000"/>
                </a:schemeClr>
              </a:solidFill>
              <a:prstDash val="sysDash"/>
              <a:round/>
            </a:ln>
            <a:effectLst/>
          </c:spPr>
          <c:marker>
            <c:symbol val="circle"/>
            <c:size val="8"/>
            <c:spPr>
              <a:solidFill>
                <a:schemeClr val="accent2">
                  <a:lumMod val="60000"/>
                  <a:lumOff val="40000"/>
                </a:schemeClr>
              </a:solidFill>
              <a:ln w="9525">
                <a:solidFill>
                  <a:schemeClr val="tx1">
                    <a:lumMod val="65000"/>
                    <a:lumOff val="35000"/>
                  </a:schemeClr>
                </a:solidFill>
              </a:ln>
              <a:effectLst/>
            </c:spPr>
          </c:marker>
          <c:xVal>
            <c:numRef>
              <c:f>Silverton!$B$40:$B$47</c:f>
              <c:numCache>
                <c:formatCode>m/d/yyyy</c:formatCode>
                <c:ptCount val="8"/>
                <c:pt idx="0">
                  <c:v>42493</c:v>
                </c:pt>
                <c:pt idx="1">
                  <c:v>42501</c:v>
                </c:pt>
                <c:pt idx="2">
                  <c:v>42509</c:v>
                </c:pt>
                <c:pt idx="3">
                  <c:v>42516</c:v>
                </c:pt>
                <c:pt idx="4">
                  <c:v>42522</c:v>
                </c:pt>
                <c:pt idx="5">
                  <c:v>42527.527777777781</c:v>
                </c:pt>
                <c:pt idx="6">
                  <c:v>42528</c:v>
                </c:pt>
                <c:pt idx="7">
                  <c:v>42536</c:v>
                </c:pt>
              </c:numCache>
            </c:numRef>
          </c:xVal>
          <c:yVal>
            <c:numRef>
              <c:f>Silverton!$F$40:$F$47</c:f>
              <c:numCache>
                <c:formatCode>General</c:formatCode>
                <c:ptCount val="8"/>
                <c:pt idx="0">
                  <c:v>71000</c:v>
                </c:pt>
                <c:pt idx="1">
                  <c:v>45000</c:v>
                </c:pt>
                <c:pt idx="2">
                  <c:v>56000</c:v>
                </c:pt>
                <c:pt idx="3">
                  <c:v>120000</c:v>
                </c:pt>
                <c:pt idx="4">
                  <c:v>64000</c:v>
                </c:pt>
                <c:pt idx="5">
                  <c:v>53000</c:v>
                </c:pt>
                <c:pt idx="6">
                  <c:v>31000</c:v>
                </c:pt>
                <c:pt idx="7">
                  <c:v>47000</c:v>
                </c:pt>
              </c:numCache>
            </c:numRef>
          </c:yVal>
          <c:smooth val="0"/>
          <c:extLst>
            <c:ext xmlns:c16="http://schemas.microsoft.com/office/drawing/2014/chart" uri="{C3380CC4-5D6E-409C-BE32-E72D297353CC}">
              <c16:uniqueId val="{00000001-ECD7-4C2E-AB09-BC76D0FE5A6C}"/>
            </c:ext>
          </c:extLst>
        </c:ser>
        <c:dLbls>
          <c:showLegendKey val="0"/>
          <c:showVal val="0"/>
          <c:showCatName val="0"/>
          <c:showSerName val="0"/>
          <c:showPercent val="0"/>
          <c:showBubbleSize val="0"/>
        </c:dLbls>
        <c:axId val="1172661640"/>
        <c:axId val="1172662032"/>
      </c:scatterChart>
      <c:valAx>
        <c:axId val="1172661640"/>
        <c:scaling>
          <c:orientation val="minMax"/>
        </c:scaling>
        <c:delete val="0"/>
        <c:axPos val="b"/>
        <c:numFmt formatCode="m/d/yyyy" sourceLinked="1"/>
        <c:majorTickMark val="out"/>
        <c:minorTickMark val="out"/>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1" i="0" u="none" strike="noStrike" kern="1200" baseline="0">
                <a:solidFill>
                  <a:sysClr val="windowText" lastClr="000000"/>
                </a:solidFill>
                <a:latin typeface="+mn-lt"/>
                <a:ea typeface="+mn-ea"/>
                <a:cs typeface="+mn-cs"/>
              </a:defRPr>
            </a:pPr>
            <a:endParaRPr lang="en-US"/>
          </a:p>
        </c:txPr>
        <c:crossAx val="1172662032"/>
        <c:crosses val="autoZero"/>
        <c:crossBetween val="midCat"/>
      </c:valAx>
      <c:valAx>
        <c:axId val="1172662032"/>
        <c:scaling>
          <c:orientation val="minMax"/>
        </c:scaling>
        <c:delete val="0"/>
        <c:axPos val="l"/>
        <c:majorGridlines>
          <c:spPr>
            <a:ln w="9525" cap="flat" cmpd="sng" algn="ctr">
              <a:solidFill>
                <a:srgbClr val="E2E2E2"/>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Concentration (mg/kg)</a:t>
                </a:r>
              </a:p>
            </c:rich>
          </c:tx>
          <c:layout>
            <c:manualLayout>
              <c:xMode val="edge"/>
              <c:yMode val="edge"/>
              <c:x val="1.3888888888888888E-2"/>
              <c:y val="0.16254884806065908"/>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172661640"/>
        <c:crosses val="autoZero"/>
        <c:crossBetween val="midCat"/>
        <c:minorUnit val="5000"/>
      </c:valAx>
      <c:spPr>
        <a:noFill/>
        <a:ln>
          <a:solidFill>
            <a:schemeClr val="bg1">
              <a:lumMod val="50000"/>
            </a:schemeClr>
          </a:solidFill>
        </a:ln>
        <a:effectLst/>
      </c:spPr>
    </c:plotArea>
    <c:legend>
      <c:legendPos val="r"/>
      <c:layout>
        <c:manualLayout>
          <c:xMode val="edge"/>
          <c:yMode val="edge"/>
          <c:x val="0.65056496062992131"/>
          <c:y val="0.2222152268771895"/>
          <c:w val="0.23832392825896762"/>
          <c:h val="0.17440552234468237"/>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3"/>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1" i="0" u="none" strike="noStrike" kern="1200" spc="0" baseline="0">
                <a:solidFill>
                  <a:sysClr val="windowText" lastClr="000000"/>
                </a:solidFill>
                <a:latin typeface="+mn-lt"/>
                <a:ea typeface="+mn-ea"/>
                <a:cs typeface="+mn-cs"/>
              </a:defRPr>
            </a:pPr>
            <a:r>
              <a:rPr lang="en-US" sz="1050"/>
              <a:t>Lead During Snowmelt 2016</a:t>
            </a:r>
          </a:p>
        </c:rich>
      </c:tx>
      <c:layout>
        <c:manualLayout>
          <c:xMode val="edge"/>
          <c:yMode val="edge"/>
          <c:x val="0.2956092770512464"/>
          <c:y val="3.1702755741036343E-2"/>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0865649602474529"/>
          <c:y val="0.16921794204563373"/>
          <c:w val="0.72831391688880942"/>
          <c:h val="0.61301485420719415"/>
        </c:manualLayout>
      </c:layout>
      <c:scatterChart>
        <c:scatterStyle val="lineMarker"/>
        <c:varyColors val="0"/>
        <c:ser>
          <c:idx val="0"/>
          <c:order val="0"/>
          <c:spPr>
            <a:ln w="19050" cap="rnd">
              <a:solidFill>
                <a:schemeClr val="tx1">
                  <a:lumMod val="50000"/>
                  <a:lumOff val="50000"/>
                </a:schemeClr>
              </a:solidFill>
              <a:prstDash val="sysDash"/>
              <a:round/>
            </a:ln>
            <a:effectLst/>
          </c:spPr>
          <c:marker>
            <c:symbol val="circle"/>
            <c:size val="8"/>
            <c:spPr>
              <a:solidFill>
                <a:srgbClr val="A2362E"/>
              </a:solidFill>
              <a:ln w="9525">
                <a:solidFill>
                  <a:schemeClr val="tx1">
                    <a:lumMod val="65000"/>
                    <a:lumOff val="35000"/>
                  </a:schemeClr>
                </a:solidFill>
              </a:ln>
              <a:effectLst/>
            </c:spPr>
          </c:marker>
          <c:xVal>
            <c:numRef>
              <c:f>'San Juan'!$AD$181:$AD$185</c:f>
              <c:numCache>
                <c:formatCode>0.0</c:formatCode>
                <c:ptCount val="5"/>
                <c:pt idx="0">
                  <c:v>295.82961408</c:v>
                </c:pt>
                <c:pt idx="1">
                  <c:v>246.34228608000001</c:v>
                </c:pt>
                <c:pt idx="2">
                  <c:v>214.42899456000004</c:v>
                </c:pt>
                <c:pt idx="3">
                  <c:v>196.87105152000001</c:v>
                </c:pt>
                <c:pt idx="4">
                  <c:v>196.05028608000001</c:v>
                </c:pt>
              </c:numCache>
            </c:numRef>
          </c:xVal>
          <c:yVal>
            <c:numRef>
              <c:f>'San Juan'!$AJ$181:$AJ$185</c:f>
              <c:numCache>
                <c:formatCode>General</c:formatCode>
                <c:ptCount val="5"/>
                <c:pt idx="0">
                  <c:v>15</c:v>
                </c:pt>
                <c:pt idx="1">
                  <c:v>15</c:v>
                </c:pt>
                <c:pt idx="2">
                  <c:v>38</c:v>
                </c:pt>
                <c:pt idx="3">
                  <c:v>28</c:v>
                </c:pt>
                <c:pt idx="4">
                  <c:v>17</c:v>
                </c:pt>
              </c:numCache>
            </c:numRef>
          </c:yVal>
          <c:smooth val="0"/>
          <c:extLst>
            <c:ext xmlns:c16="http://schemas.microsoft.com/office/drawing/2014/chart" uri="{C3380CC4-5D6E-409C-BE32-E72D297353CC}">
              <c16:uniqueId val="{00000000-0C26-4953-A525-C9A906903B2A}"/>
            </c:ext>
          </c:extLst>
        </c:ser>
        <c:dLbls>
          <c:showLegendKey val="0"/>
          <c:showVal val="0"/>
          <c:showCatName val="0"/>
          <c:showSerName val="0"/>
          <c:showPercent val="0"/>
          <c:showBubbleSize val="0"/>
        </c:dLbls>
        <c:axId val="1152699288"/>
        <c:axId val="1152699680"/>
      </c:scatterChart>
      <c:valAx>
        <c:axId val="1152699288"/>
        <c:scaling>
          <c:orientation val="minMax"/>
          <c:min val="190"/>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t>Distance from Source (km)</a:t>
                </a:r>
              </a:p>
            </c:rich>
          </c:tx>
          <c:layout>
            <c:manualLayout>
              <c:xMode val="edge"/>
              <c:yMode val="edge"/>
              <c:x val="0.32014403325858881"/>
              <c:y val="0.91904497578037192"/>
            </c:manualLayout>
          </c:layout>
          <c:overlay val="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152699680"/>
        <c:crosses val="autoZero"/>
        <c:crossBetween val="midCat"/>
        <c:minorUnit val="10"/>
      </c:valAx>
      <c:valAx>
        <c:axId val="11526996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t>Concentration (mg/kg)</a:t>
                </a:r>
              </a:p>
            </c:rich>
          </c:tx>
          <c:layout>
            <c:manualLayout>
              <c:xMode val="edge"/>
              <c:yMode val="edge"/>
              <c:x val="2.6463461075145137E-2"/>
              <c:y val="0.23515635046859004"/>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152699288"/>
        <c:crosses val="autoZero"/>
        <c:crossBetween val="midCat"/>
      </c:valAx>
      <c:spPr>
        <a:noFill/>
        <a:ln w="6350">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000" b="1">
          <a:solidFill>
            <a:sysClr val="windowText" lastClr="000000"/>
          </a:solidFill>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chemeClr val="tx1">
                    <a:lumMod val="65000"/>
                    <a:lumOff val="35000"/>
                  </a:schemeClr>
                </a:solidFill>
                <a:latin typeface="+mn-lt"/>
                <a:ea typeface="+mn-ea"/>
                <a:cs typeface="+mn-cs"/>
              </a:defRPr>
            </a:pPr>
            <a:r>
              <a:rPr lang="en-US" sz="1300"/>
              <a:t>San Juan Copper in Relation to Iron</a:t>
            </a:r>
          </a:p>
        </c:rich>
      </c:tx>
      <c:layout>
        <c:manualLayout>
          <c:xMode val="edge"/>
          <c:yMode val="edge"/>
          <c:x val="0.2946290699050429"/>
          <c:y val="3.3113014457611431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6576413282392238"/>
          <c:y val="0.13601713880958277"/>
          <c:w val="0.74968755084191485"/>
          <c:h val="0.64850317876247709"/>
        </c:manualLayout>
      </c:layout>
      <c:scatterChart>
        <c:scatterStyle val="lineMarker"/>
        <c:varyColors val="0"/>
        <c:ser>
          <c:idx val="0"/>
          <c:order val="0"/>
          <c:tx>
            <c:strRef>
              <c:f>'San Juan'!$AU$11</c:f>
              <c:strCache>
                <c:ptCount val="1"/>
                <c:pt idx="0">
                  <c:v>Pre-Event</c:v>
                </c:pt>
              </c:strCache>
            </c:strRef>
          </c:tx>
          <c:spPr>
            <a:ln w="19050" cap="rnd">
              <a:noFill/>
              <a:round/>
            </a:ln>
            <a:effectLst/>
          </c:spPr>
          <c:marker>
            <c:symbol val="circle"/>
            <c:size val="6"/>
            <c:spPr>
              <a:solidFill>
                <a:schemeClr val="tx2">
                  <a:lumMod val="40000"/>
                  <a:lumOff val="60000"/>
                </a:schemeClr>
              </a:solidFill>
              <a:ln w="9525">
                <a:solidFill>
                  <a:schemeClr val="tx1">
                    <a:lumMod val="50000"/>
                    <a:lumOff val="50000"/>
                  </a:schemeClr>
                </a:solidFill>
              </a:ln>
              <a:effectLst/>
            </c:spPr>
          </c:marker>
          <c:xVal>
            <c:numRef>
              <c:f>'San Juan'!$AI$201:$AI$220</c:f>
              <c:numCache>
                <c:formatCode>General</c:formatCode>
                <c:ptCount val="20"/>
                <c:pt idx="0">
                  <c:v>210</c:v>
                </c:pt>
                <c:pt idx="1">
                  <c:v>1200</c:v>
                </c:pt>
                <c:pt idx="2">
                  <c:v>800</c:v>
                </c:pt>
                <c:pt idx="3">
                  <c:v>1300</c:v>
                </c:pt>
                <c:pt idx="4">
                  <c:v>1800</c:v>
                </c:pt>
                <c:pt idx="5">
                  <c:v>2600</c:v>
                </c:pt>
                <c:pt idx="6">
                  <c:v>4400</c:v>
                </c:pt>
                <c:pt idx="7">
                  <c:v>6300</c:v>
                </c:pt>
                <c:pt idx="8">
                  <c:v>2900</c:v>
                </c:pt>
                <c:pt idx="9">
                  <c:v>2900</c:v>
                </c:pt>
                <c:pt idx="10">
                  <c:v>3800</c:v>
                </c:pt>
                <c:pt idx="11">
                  <c:v>8900</c:v>
                </c:pt>
                <c:pt idx="12">
                  <c:v>26000</c:v>
                </c:pt>
                <c:pt idx="13">
                  <c:v>630</c:v>
                </c:pt>
                <c:pt idx="14">
                  <c:v>11000</c:v>
                </c:pt>
                <c:pt idx="15">
                  <c:v>13093</c:v>
                </c:pt>
                <c:pt idx="16">
                  <c:v>7326</c:v>
                </c:pt>
                <c:pt idx="17">
                  <c:v>1308</c:v>
                </c:pt>
                <c:pt idx="19">
                  <c:v>9600</c:v>
                </c:pt>
              </c:numCache>
            </c:numRef>
          </c:xVal>
          <c:yVal>
            <c:numRef>
              <c:f>'San Juan'!$AH$201:$AH$220</c:f>
              <c:numCache>
                <c:formatCode>General</c:formatCode>
                <c:ptCount val="20"/>
                <c:pt idx="0">
                  <c:v>3</c:v>
                </c:pt>
                <c:pt idx="1">
                  <c:v>50</c:v>
                </c:pt>
                <c:pt idx="2">
                  <c:v>1</c:v>
                </c:pt>
                <c:pt idx="3">
                  <c:v>1</c:v>
                </c:pt>
                <c:pt idx="4">
                  <c:v>5</c:v>
                </c:pt>
                <c:pt idx="5">
                  <c:v>3</c:v>
                </c:pt>
                <c:pt idx="6">
                  <c:v>8</c:v>
                </c:pt>
                <c:pt idx="7">
                  <c:v>8</c:v>
                </c:pt>
                <c:pt idx="8">
                  <c:v>4</c:v>
                </c:pt>
                <c:pt idx="9">
                  <c:v>3</c:v>
                </c:pt>
                <c:pt idx="10">
                  <c:v>5</c:v>
                </c:pt>
                <c:pt idx="11">
                  <c:v>13</c:v>
                </c:pt>
                <c:pt idx="12">
                  <c:v>3</c:v>
                </c:pt>
                <c:pt idx="13">
                  <c:v>4</c:v>
                </c:pt>
                <c:pt idx="14">
                  <c:v>9</c:v>
                </c:pt>
                <c:pt idx="15">
                  <c:v>8</c:v>
                </c:pt>
                <c:pt idx="16">
                  <c:v>6.1</c:v>
                </c:pt>
                <c:pt idx="17">
                  <c:v>2</c:v>
                </c:pt>
                <c:pt idx="18">
                  <c:v>4</c:v>
                </c:pt>
                <c:pt idx="19">
                  <c:v>9</c:v>
                </c:pt>
              </c:numCache>
            </c:numRef>
          </c:yVal>
          <c:smooth val="0"/>
          <c:extLst>
            <c:ext xmlns:c16="http://schemas.microsoft.com/office/drawing/2014/chart" uri="{C3380CC4-5D6E-409C-BE32-E72D297353CC}">
              <c16:uniqueId val="{00000000-B017-4552-B245-F7037053ADA5}"/>
            </c:ext>
          </c:extLst>
        </c:ser>
        <c:ser>
          <c:idx val="1"/>
          <c:order val="1"/>
          <c:tx>
            <c:strRef>
              <c:f>'San Juan'!$AU$12</c:f>
              <c:strCache>
                <c:ptCount val="1"/>
                <c:pt idx="0">
                  <c:v>Fall 2015</c:v>
                </c:pt>
              </c:strCache>
            </c:strRef>
          </c:tx>
          <c:spPr>
            <a:ln w="25400" cap="rnd">
              <a:noFill/>
              <a:round/>
            </a:ln>
            <a:effectLst/>
          </c:spPr>
          <c:marker>
            <c:symbol val="square"/>
            <c:size val="5"/>
            <c:spPr>
              <a:noFill/>
              <a:ln w="9525">
                <a:solidFill>
                  <a:schemeClr val="accent2">
                    <a:lumMod val="50000"/>
                  </a:schemeClr>
                </a:solidFill>
              </a:ln>
              <a:effectLst/>
            </c:spPr>
          </c:marker>
          <c:xVal>
            <c:numRef>
              <c:f>'San Juan'!$AI$6:$AI$180</c:f>
              <c:numCache>
                <c:formatCode>General</c:formatCode>
                <c:ptCount val="175"/>
                <c:pt idx="0">
                  <c:v>5200</c:v>
                </c:pt>
                <c:pt idx="1">
                  <c:v>4300</c:v>
                </c:pt>
                <c:pt idx="2">
                  <c:v>6900</c:v>
                </c:pt>
                <c:pt idx="3">
                  <c:v>7100</c:v>
                </c:pt>
                <c:pt idx="4">
                  <c:v>5000</c:v>
                </c:pt>
                <c:pt idx="5">
                  <c:v>6100</c:v>
                </c:pt>
                <c:pt idx="6">
                  <c:v>14000</c:v>
                </c:pt>
                <c:pt idx="7">
                  <c:v>18000</c:v>
                </c:pt>
                <c:pt idx="8">
                  <c:v>15000</c:v>
                </c:pt>
                <c:pt idx="9">
                  <c:v>7700</c:v>
                </c:pt>
                <c:pt idx="10">
                  <c:v>6200</c:v>
                </c:pt>
                <c:pt idx="11">
                  <c:v>5200</c:v>
                </c:pt>
                <c:pt idx="12">
                  <c:v>6700</c:v>
                </c:pt>
                <c:pt idx="13">
                  <c:v>7600</c:v>
                </c:pt>
                <c:pt idx="14">
                  <c:v>7100</c:v>
                </c:pt>
                <c:pt idx="15">
                  <c:v>14000</c:v>
                </c:pt>
                <c:pt idx="16">
                  <c:v>7600</c:v>
                </c:pt>
                <c:pt idx="17">
                  <c:v>16000</c:v>
                </c:pt>
                <c:pt idx="18">
                  <c:v>5800</c:v>
                </c:pt>
                <c:pt idx="19">
                  <c:v>8100</c:v>
                </c:pt>
                <c:pt idx="20">
                  <c:v>16000</c:v>
                </c:pt>
                <c:pt idx="21">
                  <c:v>15000</c:v>
                </c:pt>
                <c:pt idx="22">
                  <c:v>8700</c:v>
                </c:pt>
                <c:pt idx="23">
                  <c:v>12000</c:v>
                </c:pt>
                <c:pt idx="24">
                  <c:v>13000</c:v>
                </c:pt>
                <c:pt idx="25">
                  <c:v>11000</c:v>
                </c:pt>
                <c:pt idx="26">
                  <c:v>5900</c:v>
                </c:pt>
                <c:pt idx="27">
                  <c:v>6800</c:v>
                </c:pt>
                <c:pt idx="28">
                  <c:v>12000</c:v>
                </c:pt>
                <c:pt idx="29">
                  <c:v>7100</c:v>
                </c:pt>
                <c:pt idx="30">
                  <c:v>3900</c:v>
                </c:pt>
                <c:pt idx="31">
                  <c:v>6200</c:v>
                </c:pt>
                <c:pt idx="32">
                  <c:v>6200</c:v>
                </c:pt>
                <c:pt idx="33">
                  <c:v>6200</c:v>
                </c:pt>
                <c:pt idx="34">
                  <c:v>6000</c:v>
                </c:pt>
                <c:pt idx="35">
                  <c:v>8700</c:v>
                </c:pt>
                <c:pt idx="36">
                  <c:v>8000</c:v>
                </c:pt>
                <c:pt idx="37">
                  <c:v>6100</c:v>
                </c:pt>
                <c:pt idx="38">
                  <c:v>5700</c:v>
                </c:pt>
                <c:pt idx="39">
                  <c:v>8700</c:v>
                </c:pt>
                <c:pt idx="40">
                  <c:v>8500</c:v>
                </c:pt>
                <c:pt idx="41">
                  <c:v>6900</c:v>
                </c:pt>
                <c:pt idx="42">
                  <c:v>5500</c:v>
                </c:pt>
                <c:pt idx="43">
                  <c:v>5500</c:v>
                </c:pt>
                <c:pt idx="44">
                  <c:v>4200</c:v>
                </c:pt>
                <c:pt idx="45">
                  <c:v>7100</c:v>
                </c:pt>
                <c:pt idx="46">
                  <c:v>11000</c:v>
                </c:pt>
                <c:pt idx="47">
                  <c:v>6100</c:v>
                </c:pt>
                <c:pt idx="48">
                  <c:v>7900</c:v>
                </c:pt>
                <c:pt idx="49">
                  <c:v>5400</c:v>
                </c:pt>
                <c:pt idx="50">
                  <c:v>9600</c:v>
                </c:pt>
                <c:pt idx="51">
                  <c:v>4700</c:v>
                </c:pt>
                <c:pt idx="52">
                  <c:v>11000</c:v>
                </c:pt>
                <c:pt idx="53">
                  <c:v>5500</c:v>
                </c:pt>
                <c:pt idx="54">
                  <c:v>9900</c:v>
                </c:pt>
                <c:pt idx="55">
                  <c:v>4800</c:v>
                </c:pt>
                <c:pt idx="56">
                  <c:v>11000</c:v>
                </c:pt>
                <c:pt idx="57">
                  <c:v>8400</c:v>
                </c:pt>
                <c:pt idx="58">
                  <c:v>5400</c:v>
                </c:pt>
                <c:pt idx="59">
                  <c:v>8400</c:v>
                </c:pt>
                <c:pt idx="60">
                  <c:v>6700</c:v>
                </c:pt>
                <c:pt idx="61">
                  <c:v>5000</c:v>
                </c:pt>
                <c:pt idx="62">
                  <c:v>5100</c:v>
                </c:pt>
                <c:pt idx="63">
                  <c:v>4000</c:v>
                </c:pt>
                <c:pt idx="64">
                  <c:v>9700</c:v>
                </c:pt>
                <c:pt idx="65">
                  <c:v>5900</c:v>
                </c:pt>
                <c:pt idx="66">
                  <c:v>7600</c:v>
                </c:pt>
                <c:pt idx="67">
                  <c:v>6600</c:v>
                </c:pt>
                <c:pt idx="68">
                  <c:v>5200</c:v>
                </c:pt>
                <c:pt idx="69">
                  <c:v>6500</c:v>
                </c:pt>
                <c:pt idx="70">
                  <c:v>6100</c:v>
                </c:pt>
                <c:pt idx="71">
                  <c:v>4000</c:v>
                </c:pt>
                <c:pt idx="72">
                  <c:v>4500</c:v>
                </c:pt>
                <c:pt idx="73">
                  <c:v>9900</c:v>
                </c:pt>
                <c:pt idx="74">
                  <c:v>5000</c:v>
                </c:pt>
                <c:pt idx="75">
                  <c:v>5000</c:v>
                </c:pt>
                <c:pt idx="76">
                  <c:v>4900</c:v>
                </c:pt>
                <c:pt idx="77">
                  <c:v>6300</c:v>
                </c:pt>
                <c:pt idx="78">
                  <c:v>5400</c:v>
                </c:pt>
                <c:pt idx="79">
                  <c:v>6000</c:v>
                </c:pt>
                <c:pt idx="80">
                  <c:v>6800</c:v>
                </c:pt>
                <c:pt idx="81">
                  <c:v>6100</c:v>
                </c:pt>
                <c:pt idx="82">
                  <c:v>5600</c:v>
                </c:pt>
                <c:pt idx="83">
                  <c:v>8400</c:v>
                </c:pt>
                <c:pt idx="84">
                  <c:v>4900</c:v>
                </c:pt>
                <c:pt idx="85">
                  <c:v>6200</c:v>
                </c:pt>
                <c:pt idx="86">
                  <c:v>7100</c:v>
                </c:pt>
                <c:pt idx="87">
                  <c:v>7300</c:v>
                </c:pt>
                <c:pt idx="88">
                  <c:v>14000</c:v>
                </c:pt>
                <c:pt idx="89">
                  <c:v>8000</c:v>
                </c:pt>
                <c:pt idx="90">
                  <c:v>11000</c:v>
                </c:pt>
                <c:pt idx="91">
                  <c:v>6200</c:v>
                </c:pt>
                <c:pt idx="92">
                  <c:v>9000</c:v>
                </c:pt>
                <c:pt idx="93">
                  <c:v>5100</c:v>
                </c:pt>
                <c:pt idx="94">
                  <c:v>3500</c:v>
                </c:pt>
                <c:pt idx="95">
                  <c:v>6700</c:v>
                </c:pt>
                <c:pt idx="96">
                  <c:v>5100</c:v>
                </c:pt>
                <c:pt idx="97">
                  <c:v>3600</c:v>
                </c:pt>
                <c:pt idx="98">
                  <c:v>5800</c:v>
                </c:pt>
                <c:pt idx="99">
                  <c:v>3000</c:v>
                </c:pt>
                <c:pt idx="100">
                  <c:v>4200</c:v>
                </c:pt>
                <c:pt idx="101">
                  <c:v>8600</c:v>
                </c:pt>
                <c:pt idx="102">
                  <c:v>3500</c:v>
                </c:pt>
                <c:pt idx="103">
                  <c:v>4800</c:v>
                </c:pt>
                <c:pt idx="104">
                  <c:v>2800</c:v>
                </c:pt>
                <c:pt idx="105">
                  <c:v>5500</c:v>
                </c:pt>
                <c:pt idx="106">
                  <c:v>5000</c:v>
                </c:pt>
                <c:pt idx="107">
                  <c:v>6100</c:v>
                </c:pt>
                <c:pt idx="108">
                  <c:v>6400</c:v>
                </c:pt>
                <c:pt idx="109">
                  <c:v>6200</c:v>
                </c:pt>
                <c:pt idx="110">
                  <c:v>5300</c:v>
                </c:pt>
                <c:pt idx="111">
                  <c:v>4600</c:v>
                </c:pt>
                <c:pt idx="112">
                  <c:v>5200</c:v>
                </c:pt>
                <c:pt idx="113">
                  <c:v>3900</c:v>
                </c:pt>
                <c:pt idx="114">
                  <c:v>4300</c:v>
                </c:pt>
                <c:pt idx="115">
                  <c:v>4400</c:v>
                </c:pt>
                <c:pt idx="116">
                  <c:v>3900</c:v>
                </c:pt>
                <c:pt idx="117">
                  <c:v>4100</c:v>
                </c:pt>
                <c:pt idx="118">
                  <c:v>4100</c:v>
                </c:pt>
                <c:pt idx="119">
                  <c:v>3500</c:v>
                </c:pt>
                <c:pt idx="120">
                  <c:v>5000</c:v>
                </c:pt>
                <c:pt idx="121">
                  <c:v>3600</c:v>
                </c:pt>
                <c:pt idx="122">
                  <c:v>8900</c:v>
                </c:pt>
                <c:pt idx="123">
                  <c:v>6900</c:v>
                </c:pt>
                <c:pt idx="124">
                  <c:v>4700</c:v>
                </c:pt>
                <c:pt idx="125">
                  <c:v>3800</c:v>
                </c:pt>
                <c:pt idx="126">
                  <c:v>5300</c:v>
                </c:pt>
                <c:pt idx="127">
                  <c:v>3900</c:v>
                </c:pt>
                <c:pt idx="128">
                  <c:v>6800</c:v>
                </c:pt>
                <c:pt idx="129">
                  <c:v>3900</c:v>
                </c:pt>
                <c:pt idx="130">
                  <c:v>6800</c:v>
                </c:pt>
                <c:pt idx="131">
                  <c:v>8300</c:v>
                </c:pt>
                <c:pt idx="132">
                  <c:v>3900</c:v>
                </c:pt>
                <c:pt idx="133">
                  <c:v>7600</c:v>
                </c:pt>
                <c:pt idx="134">
                  <c:v>3700</c:v>
                </c:pt>
                <c:pt idx="135">
                  <c:v>4200</c:v>
                </c:pt>
                <c:pt idx="136">
                  <c:v>3500</c:v>
                </c:pt>
                <c:pt idx="137">
                  <c:v>4900</c:v>
                </c:pt>
                <c:pt idx="138">
                  <c:v>5400</c:v>
                </c:pt>
                <c:pt idx="139">
                  <c:v>7700</c:v>
                </c:pt>
                <c:pt idx="140">
                  <c:v>3700</c:v>
                </c:pt>
                <c:pt idx="141">
                  <c:v>5300</c:v>
                </c:pt>
                <c:pt idx="142">
                  <c:v>8400</c:v>
                </c:pt>
                <c:pt idx="143">
                  <c:v>2000</c:v>
                </c:pt>
                <c:pt idx="144">
                  <c:v>4900</c:v>
                </c:pt>
                <c:pt idx="145">
                  <c:v>7200</c:v>
                </c:pt>
                <c:pt idx="146">
                  <c:v>10000</c:v>
                </c:pt>
                <c:pt idx="147">
                  <c:v>9300</c:v>
                </c:pt>
                <c:pt idx="148">
                  <c:v>8500</c:v>
                </c:pt>
                <c:pt idx="149">
                  <c:v>6300</c:v>
                </c:pt>
                <c:pt idx="150">
                  <c:v>2800</c:v>
                </c:pt>
                <c:pt idx="151">
                  <c:v>7500</c:v>
                </c:pt>
                <c:pt idx="152">
                  <c:v>5100</c:v>
                </c:pt>
                <c:pt idx="153">
                  <c:v>8400</c:v>
                </c:pt>
                <c:pt idx="154">
                  <c:v>12000</c:v>
                </c:pt>
                <c:pt idx="155">
                  <c:v>2500</c:v>
                </c:pt>
                <c:pt idx="156">
                  <c:v>6200</c:v>
                </c:pt>
                <c:pt idx="157">
                  <c:v>4900</c:v>
                </c:pt>
                <c:pt idx="158">
                  <c:v>5000</c:v>
                </c:pt>
                <c:pt idx="159">
                  <c:v>9700</c:v>
                </c:pt>
                <c:pt idx="160">
                  <c:v>5700</c:v>
                </c:pt>
                <c:pt idx="161">
                  <c:v>8100</c:v>
                </c:pt>
                <c:pt idx="162">
                  <c:v>8300</c:v>
                </c:pt>
                <c:pt idx="163">
                  <c:v>3900</c:v>
                </c:pt>
                <c:pt idx="164">
                  <c:v>9900</c:v>
                </c:pt>
                <c:pt idx="165">
                  <c:v>3600</c:v>
                </c:pt>
                <c:pt idx="166">
                  <c:v>6500</c:v>
                </c:pt>
                <c:pt idx="167">
                  <c:v>6700</c:v>
                </c:pt>
                <c:pt idx="168">
                  <c:v>3100</c:v>
                </c:pt>
                <c:pt idx="169">
                  <c:v>7600</c:v>
                </c:pt>
                <c:pt idx="170">
                  <c:v>7000</c:v>
                </c:pt>
                <c:pt idx="171">
                  <c:v>7800</c:v>
                </c:pt>
                <c:pt idx="172">
                  <c:v>5000</c:v>
                </c:pt>
                <c:pt idx="173">
                  <c:v>9400</c:v>
                </c:pt>
                <c:pt idx="174">
                  <c:v>9300</c:v>
                </c:pt>
              </c:numCache>
            </c:numRef>
          </c:xVal>
          <c:yVal>
            <c:numRef>
              <c:f>'San Juan'!$AH$6:$AH$180</c:f>
              <c:numCache>
                <c:formatCode>General</c:formatCode>
                <c:ptCount val="175"/>
                <c:pt idx="0">
                  <c:v>3.8</c:v>
                </c:pt>
                <c:pt idx="1">
                  <c:v>3.7</c:v>
                </c:pt>
                <c:pt idx="2">
                  <c:v>6</c:v>
                </c:pt>
                <c:pt idx="3">
                  <c:v>5.6</c:v>
                </c:pt>
                <c:pt idx="4">
                  <c:v>3.1</c:v>
                </c:pt>
                <c:pt idx="5">
                  <c:v>3.7</c:v>
                </c:pt>
                <c:pt idx="6">
                  <c:v>5.5</c:v>
                </c:pt>
                <c:pt idx="7">
                  <c:v>12</c:v>
                </c:pt>
                <c:pt idx="8">
                  <c:v>7.5</c:v>
                </c:pt>
                <c:pt idx="9">
                  <c:v>3.8</c:v>
                </c:pt>
                <c:pt idx="10">
                  <c:v>4.0999999999999996</c:v>
                </c:pt>
                <c:pt idx="11">
                  <c:v>4.2</c:v>
                </c:pt>
                <c:pt idx="12">
                  <c:v>4.9000000000000004</c:v>
                </c:pt>
                <c:pt idx="13">
                  <c:v>5.9</c:v>
                </c:pt>
                <c:pt idx="14">
                  <c:v>3.9</c:v>
                </c:pt>
                <c:pt idx="15">
                  <c:v>12</c:v>
                </c:pt>
                <c:pt idx="16">
                  <c:v>6.7</c:v>
                </c:pt>
                <c:pt idx="17">
                  <c:v>10</c:v>
                </c:pt>
                <c:pt idx="18">
                  <c:v>3.8</c:v>
                </c:pt>
                <c:pt idx="19">
                  <c:v>5.8</c:v>
                </c:pt>
                <c:pt idx="20">
                  <c:v>12</c:v>
                </c:pt>
                <c:pt idx="21">
                  <c:v>10</c:v>
                </c:pt>
                <c:pt idx="22">
                  <c:v>4.2</c:v>
                </c:pt>
                <c:pt idx="23">
                  <c:v>6.3</c:v>
                </c:pt>
                <c:pt idx="24">
                  <c:v>10</c:v>
                </c:pt>
                <c:pt idx="25">
                  <c:v>10</c:v>
                </c:pt>
                <c:pt idx="26">
                  <c:v>3.4</c:v>
                </c:pt>
                <c:pt idx="27">
                  <c:v>4.7</c:v>
                </c:pt>
                <c:pt idx="28">
                  <c:v>11</c:v>
                </c:pt>
                <c:pt idx="29">
                  <c:v>5.7</c:v>
                </c:pt>
                <c:pt idx="30">
                  <c:v>4.5999999999999996</c:v>
                </c:pt>
                <c:pt idx="31">
                  <c:v>5.2</c:v>
                </c:pt>
                <c:pt idx="32">
                  <c:v>4.3</c:v>
                </c:pt>
                <c:pt idx="33">
                  <c:v>3.7</c:v>
                </c:pt>
                <c:pt idx="34">
                  <c:v>2.7</c:v>
                </c:pt>
                <c:pt idx="35">
                  <c:v>5.4</c:v>
                </c:pt>
                <c:pt idx="36">
                  <c:v>5.9</c:v>
                </c:pt>
                <c:pt idx="37">
                  <c:v>3.4</c:v>
                </c:pt>
                <c:pt idx="38">
                  <c:v>3</c:v>
                </c:pt>
                <c:pt idx="39">
                  <c:v>8.1</c:v>
                </c:pt>
                <c:pt idx="40">
                  <c:v>6.2</c:v>
                </c:pt>
                <c:pt idx="41">
                  <c:v>3</c:v>
                </c:pt>
                <c:pt idx="42">
                  <c:v>4.7</c:v>
                </c:pt>
                <c:pt idx="43">
                  <c:v>4.5999999999999996</c:v>
                </c:pt>
                <c:pt idx="44">
                  <c:v>3.2</c:v>
                </c:pt>
                <c:pt idx="45">
                  <c:v>6</c:v>
                </c:pt>
                <c:pt idx="46">
                  <c:v>9.6</c:v>
                </c:pt>
                <c:pt idx="47">
                  <c:v>4.5</c:v>
                </c:pt>
                <c:pt idx="48">
                  <c:v>7.3</c:v>
                </c:pt>
                <c:pt idx="49">
                  <c:v>4</c:v>
                </c:pt>
                <c:pt idx="50">
                  <c:v>11</c:v>
                </c:pt>
                <c:pt idx="51">
                  <c:v>3.4</c:v>
                </c:pt>
                <c:pt idx="52">
                  <c:v>12</c:v>
                </c:pt>
                <c:pt idx="53">
                  <c:v>3.8</c:v>
                </c:pt>
                <c:pt idx="54">
                  <c:v>14</c:v>
                </c:pt>
                <c:pt idx="55">
                  <c:v>3.2</c:v>
                </c:pt>
                <c:pt idx="56">
                  <c:v>14</c:v>
                </c:pt>
                <c:pt idx="57">
                  <c:v>9.3000000000000007</c:v>
                </c:pt>
                <c:pt idx="58">
                  <c:v>4.8</c:v>
                </c:pt>
                <c:pt idx="59">
                  <c:v>2</c:v>
                </c:pt>
                <c:pt idx="60">
                  <c:v>3.5</c:v>
                </c:pt>
                <c:pt idx="61">
                  <c:v>3.4</c:v>
                </c:pt>
                <c:pt idx="62">
                  <c:v>2</c:v>
                </c:pt>
                <c:pt idx="63">
                  <c:v>1.7</c:v>
                </c:pt>
                <c:pt idx="64">
                  <c:v>4.4000000000000004</c:v>
                </c:pt>
                <c:pt idx="65">
                  <c:v>4.5999999999999996</c:v>
                </c:pt>
                <c:pt idx="66">
                  <c:v>6.7</c:v>
                </c:pt>
                <c:pt idx="67">
                  <c:v>7.4</c:v>
                </c:pt>
                <c:pt idx="68">
                  <c:v>2.2000000000000002</c:v>
                </c:pt>
                <c:pt idx="69">
                  <c:v>5</c:v>
                </c:pt>
                <c:pt idx="70">
                  <c:v>4.4000000000000004</c:v>
                </c:pt>
                <c:pt idx="71">
                  <c:v>3.4</c:v>
                </c:pt>
                <c:pt idx="72">
                  <c:v>3.1</c:v>
                </c:pt>
                <c:pt idx="73">
                  <c:v>15</c:v>
                </c:pt>
                <c:pt idx="74">
                  <c:v>1.9</c:v>
                </c:pt>
                <c:pt idx="75">
                  <c:v>3.5</c:v>
                </c:pt>
                <c:pt idx="76">
                  <c:v>2.7</c:v>
                </c:pt>
                <c:pt idx="77">
                  <c:v>3.7</c:v>
                </c:pt>
                <c:pt idx="78">
                  <c:v>3.6</c:v>
                </c:pt>
                <c:pt idx="79">
                  <c:v>4.2</c:v>
                </c:pt>
                <c:pt idx="80">
                  <c:v>5.6</c:v>
                </c:pt>
                <c:pt idx="81">
                  <c:v>8.1</c:v>
                </c:pt>
                <c:pt idx="82">
                  <c:v>3.8</c:v>
                </c:pt>
                <c:pt idx="83">
                  <c:v>5.9</c:v>
                </c:pt>
                <c:pt idx="84">
                  <c:v>4.0999999999999996</c:v>
                </c:pt>
                <c:pt idx="85">
                  <c:v>3.5</c:v>
                </c:pt>
                <c:pt idx="86">
                  <c:v>4</c:v>
                </c:pt>
                <c:pt idx="87">
                  <c:v>5</c:v>
                </c:pt>
                <c:pt idx="88">
                  <c:v>12</c:v>
                </c:pt>
                <c:pt idx="89">
                  <c:v>6.5</c:v>
                </c:pt>
                <c:pt idx="90">
                  <c:v>6.2</c:v>
                </c:pt>
                <c:pt idx="91">
                  <c:v>2.9</c:v>
                </c:pt>
                <c:pt idx="92">
                  <c:v>9</c:v>
                </c:pt>
                <c:pt idx="93">
                  <c:v>3.7</c:v>
                </c:pt>
                <c:pt idx="94">
                  <c:v>2.2000000000000002</c:v>
                </c:pt>
                <c:pt idx="95">
                  <c:v>5.6</c:v>
                </c:pt>
                <c:pt idx="96">
                  <c:v>3.3</c:v>
                </c:pt>
                <c:pt idx="97">
                  <c:v>2.2999999999999998</c:v>
                </c:pt>
                <c:pt idx="98">
                  <c:v>5.7</c:v>
                </c:pt>
                <c:pt idx="99">
                  <c:v>2.8</c:v>
                </c:pt>
                <c:pt idx="100">
                  <c:v>3</c:v>
                </c:pt>
                <c:pt idx="101">
                  <c:v>6.4</c:v>
                </c:pt>
                <c:pt idx="102">
                  <c:v>2.4</c:v>
                </c:pt>
                <c:pt idx="103">
                  <c:v>4.3</c:v>
                </c:pt>
                <c:pt idx="104">
                  <c:v>2</c:v>
                </c:pt>
                <c:pt idx="105">
                  <c:v>4.5</c:v>
                </c:pt>
                <c:pt idx="106">
                  <c:v>4.0999999999999996</c:v>
                </c:pt>
                <c:pt idx="107">
                  <c:v>4.5999999999999996</c:v>
                </c:pt>
                <c:pt idx="108">
                  <c:v>7.1</c:v>
                </c:pt>
                <c:pt idx="109">
                  <c:v>8</c:v>
                </c:pt>
                <c:pt idx="110">
                  <c:v>3.8</c:v>
                </c:pt>
                <c:pt idx="111">
                  <c:v>4.5999999999999996</c:v>
                </c:pt>
                <c:pt idx="112">
                  <c:v>2.9</c:v>
                </c:pt>
                <c:pt idx="113">
                  <c:v>2.9</c:v>
                </c:pt>
                <c:pt idx="114">
                  <c:v>2.8</c:v>
                </c:pt>
                <c:pt idx="115">
                  <c:v>2.9</c:v>
                </c:pt>
                <c:pt idx="116">
                  <c:v>2.2999999999999998</c:v>
                </c:pt>
                <c:pt idx="117">
                  <c:v>2.8</c:v>
                </c:pt>
                <c:pt idx="118">
                  <c:v>2.2000000000000002</c:v>
                </c:pt>
                <c:pt idx="119">
                  <c:v>2.2999999999999998</c:v>
                </c:pt>
                <c:pt idx="120">
                  <c:v>3.4</c:v>
                </c:pt>
                <c:pt idx="121">
                  <c:v>2.6</c:v>
                </c:pt>
                <c:pt idx="122">
                  <c:v>8.6</c:v>
                </c:pt>
                <c:pt idx="123">
                  <c:v>5.5</c:v>
                </c:pt>
                <c:pt idx="124">
                  <c:v>3.4</c:v>
                </c:pt>
                <c:pt idx="125">
                  <c:v>3.2</c:v>
                </c:pt>
                <c:pt idx="126">
                  <c:v>3.8</c:v>
                </c:pt>
                <c:pt idx="127">
                  <c:v>2.4</c:v>
                </c:pt>
                <c:pt idx="128">
                  <c:v>5.9</c:v>
                </c:pt>
                <c:pt idx="129">
                  <c:v>2.7</c:v>
                </c:pt>
                <c:pt idx="130">
                  <c:v>4.5999999999999996</c:v>
                </c:pt>
                <c:pt idx="131">
                  <c:v>6.3</c:v>
                </c:pt>
                <c:pt idx="132">
                  <c:v>3</c:v>
                </c:pt>
                <c:pt idx="133">
                  <c:v>5.2</c:v>
                </c:pt>
                <c:pt idx="134">
                  <c:v>2.1</c:v>
                </c:pt>
                <c:pt idx="135">
                  <c:v>2.9</c:v>
                </c:pt>
                <c:pt idx="136">
                  <c:v>2.5</c:v>
                </c:pt>
                <c:pt idx="137">
                  <c:v>3.4</c:v>
                </c:pt>
                <c:pt idx="138">
                  <c:v>4.4000000000000004</c:v>
                </c:pt>
                <c:pt idx="139">
                  <c:v>8</c:v>
                </c:pt>
                <c:pt idx="140">
                  <c:v>2.7</c:v>
                </c:pt>
                <c:pt idx="141">
                  <c:v>3.6</c:v>
                </c:pt>
                <c:pt idx="142">
                  <c:v>9.5</c:v>
                </c:pt>
                <c:pt idx="143">
                  <c:v>2.6</c:v>
                </c:pt>
                <c:pt idx="144">
                  <c:v>2.9</c:v>
                </c:pt>
                <c:pt idx="145">
                  <c:v>2.6</c:v>
                </c:pt>
                <c:pt idx="146">
                  <c:v>7.4</c:v>
                </c:pt>
                <c:pt idx="147">
                  <c:v>8.8000000000000007</c:v>
                </c:pt>
                <c:pt idx="148">
                  <c:v>7.1</c:v>
                </c:pt>
                <c:pt idx="149">
                  <c:v>4.4000000000000004</c:v>
                </c:pt>
                <c:pt idx="150">
                  <c:v>1.9</c:v>
                </c:pt>
                <c:pt idx="151">
                  <c:v>5.7</c:v>
                </c:pt>
                <c:pt idx="152">
                  <c:v>3.1</c:v>
                </c:pt>
                <c:pt idx="153">
                  <c:v>7.4</c:v>
                </c:pt>
                <c:pt idx="154">
                  <c:v>9</c:v>
                </c:pt>
                <c:pt idx="155">
                  <c:v>1.9</c:v>
                </c:pt>
                <c:pt idx="156">
                  <c:v>4.5999999999999996</c:v>
                </c:pt>
                <c:pt idx="157">
                  <c:v>3.5</c:v>
                </c:pt>
                <c:pt idx="158">
                  <c:v>3.9</c:v>
                </c:pt>
                <c:pt idx="159">
                  <c:v>7.9</c:v>
                </c:pt>
                <c:pt idx="160">
                  <c:v>3.7</c:v>
                </c:pt>
                <c:pt idx="161">
                  <c:v>4.0999999999999996</c:v>
                </c:pt>
                <c:pt idx="162">
                  <c:v>5.6</c:v>
                </c:pt>
                <c:pt idx="163">
                  <c:v>2.7</c:v>
                </c:pt>
                <c:pt idx="164">
                  <c:v>5.6</c:v>
                </c:pt>
                <c:pt idx="165">
                  <c:v>2.2999999999999998</c:v>
                </c:pt>
                <c:pt idx="166">
                  <c:v>4.3</c:v>
                </c:pt>
                <c:pt idx="167">
                  <c:v>5</c:v>
                </c:pt>
                <c:pt idx="168">
                  <c:v>1.6</c:v>
                </c:pt>
                <c:pt idx="169">
                  <c:v>4.2</c:v>
                </c:pt>
                <c:pt idx="170">
                  <c:v>3</c:v>
                </c:pt>
                <c:pt idx="171">
                  <c:v>6.4</c:v>
                </c:pt>
                <c:pt idx="172">
                  <c:v>2.1</c:v>
                </c:pt>
                <c:pt idx="173">
                  <c:v>6.8</c:v>
                </c:pt>
                <c:pt idx="174">
                  <c:v>6.3</c:v>
                </c:pt>
              </c:numCache>
            </c:numRef>
          </c:yVal>
          <c:smooth val="0"/>
          <c:extLst>
            <c:ext xmlns:c16="http://schemas.microsoft.com/office/drawing/2014/chart" uri="{C3380CC4-5D6E-409C-BE32-E72D297353CC}">
              <c16:uniqueId val="{00000001-B017-4552-B245-F7037053ADA5}"/>
            </c:ext>
          </c:extLst>
        </c:ser>
        <c:ser>
          <c:idx val="2"/>
          <c:order val="2"/>
          <c:tx>
            <c:strRef>
              <c:f>'San Juan'!$AU$13</c:f>
              <c:strCache>
                <c:ptCount val="1"/>
                <c:pt idx="0">
                  <c:v>Snowment 2016</c:v>
                </c:pt>
              </c:strCache>
            </c:strRef>
          </c:tx>
          <c:spPr>
            <a:ln w="25400" cap="rnd">
              <a:noFill/>
              <a:round/>
            </a:ln>
            <a:effectLst/>
          </c:spPr>
          <c:marker>
            <c:symbol val="triangle"/>
            <c:size val="7"/>
            <c:spPr>
              <a:solidFill>
                <a:schemeClr val="accent2">
                  <a:lumMod val="60000"/>
                  <a:lumOff val="40000"/>
                </a:schemeClr>
              </a:solidFill>
              <a:ln w="9525">
                <a:solidFill>
                  <a:schemeClr val="accent2">
                    <a:lumMod val="75000"/>
                  </a:schemeClr>
                </a:solidFill>
              </a:ln>
              <a:effectLst/>
            </c:spPr>
          </c:marker>
          <c:xVal>
            <c:numRef>
              <c:f>'San Juan'!$AI$181:$AI$185</c:f>
              <c:numCache>
                <c:formatCode>General</c:formatCode>
                <c:ptCount val="5"/>
                <c:pt idx="0">
                  <c:v>12000</c:v>
                </c:pt>
                <c:pt idx="1">
                  <c:v>9500</c:v>
                </c:pt>
                <c:pt idx="2">
                  <c:v>14000</c:v>
                </c:pt>
                <c:pt idx="3">
                  <c:v>11000</c:v>
                </c:pt>
                <c:pt idx="4">
                  <c:v>10000</c:v>
                </c:pt>
              </c:numCache>
            </c:numRef>
          </c:xVal>
          <c:yVal>
            <c:numRef>
              <c:f>'San Juan'!$AH$181:$AH$185</c:f>
              <c:numCache>
                <c:formatCode>General</c:formatCode>
                <c:ptCount val="5"/>
                <c:pt idx="0">
                  <c:v>11</c:v>
                </c:pt>
                <c:pt idx="1">
                  <c:v>9.6999999999999993</c:v>
                </c:pt>
                <c:pt idx="2">
                  <c:v>21</c:v>
                </c:pt>
                <c:pt idx="3">
                  <c:v>13</c:v>
                </c:pt>
                <c:pt idx="4">
                  <c:v>9.1999999999999993</c:v>
                </c:pt>
              </c:numCache>
            </c:numRef>
          </c:yVal>
          <c:smooth val="0"/>
          <c:extLst>
            <c:ext xmlns:c16="http://schemas.microsoft.com/office/drawing/2014/chart" uri="{C3380CC4-5D6E-409C-BE32-E72D297353CC}">
              <c16:uniqueId val="{00000002-B017-4552-B245-F7037053ADA5}"/>
            </c:ext>
          </c:extLst>
        </c:ser>
        <c:dLbls>
          <c:showLegendKey val="0"/>
          <c:showVal val="0"/>
          <c:showCatName val="0"/>
          <c:showSerName val="0"/>
          <c:showPercent val="0"/>
          <c:showBubbleSize val="0"/>
        </c:dLbls>
        <c:axId val="1152700464"/>
        <c:axId val="1152700856"/>
      </c:scatterChart>
      <c:valAx>
        <c:axId val="1152700464"/>
        <c:scaling>
          <c:orientation val="minMax"/>
          <c:max val="20000"/>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1" i="0" u="none" strike="noStrike" kern="1200" baseline="0">
                    <a:solidFill>
                      <a:schemeClr val="tx1">
                        <a:lumMod val="65000"/>
                        <a:lumOff val="35000"/>
                      </a:schemeClr>
                    </a:solidFill>
                    <a:latin typeface="+mn-lt"/>
                    <a:ea typeface="+mn-ea"/>
                    <a:cs typeface="+mn-cs"/>
                  </a:defRPr>
                </a:pPr>
                <a:r>
                  <a:rPr lang="en-US" sz="1300"/>
                  <a:t>Iron Concentration (mg/kg)</a:t>
                </a:r>
              </a:p>
            </c:rich>
          </c:tx>
          <c:overlay val="0"/>
          <c:spPr>
            <a:noFill/>
            <a:ln>
              <a:noFill/>
            </a:ln>
            <a:effectLst/>
          </c:spPr>
          <c:txPr>
            <a:bodyPr rot="0" spcFirstLastPara="1" vertOverflow="ellipsis" vert="horz" wrap="square" anchor="ctr" anchorCtr="1"/>
            <a:lstStyle/>
            <a:p>
              <a:pPr>
                <a:defRPr sz="13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1152700856"/>
        <c:crosses val="autoZero"/>
        <c:crossBetween val="midCat"/>
      </c:valAx>
      <c:valAx>
        <c:axId val="1152700856"/>
        <c:scaling>
          <c:orientation val="minMax"/>
          <c:max val="4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a:t>Copper Concentration (mg/kg)</a:t>
                </a:r>
              </a:p>
            </c:rich>
          </c:tx>
          <c:layout>
            <c:manualLayout>
              <c:xMode val="edge"/>
              <c:yMode val="edge"/>
              <c:x val="2.7933728903138017E-2"/>
              <c:y val="0.20676668011028485"/>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1152700464"/>
        <c:crosses val="autoZero"/>
        <c:crossBetween val="midCat"/>
      </c:valAx>
      <c:spPr>
        <a:noFill/>
        <a:ln>
          <a:noFill/>
        </a:ln>
        <a:effectLst/>
      </c:spPr>
    </c:plotArea>
    <c:legend>
      <c:legendPos val="t"/>
      <c:layout>
        <c:manualLayout>
          <c:xMode val="edge"/>
          <c:yMode val="edge"/>
          <c:x val="0.25135121928442439"/>
          <c:y val="0.13693276912174393"/>
          <c:w val="0.32021742050098873"/>
          <c:h val="0.25203986888057445"/>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400" b="1"/>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chemeClr val="tx1">
                    <a:lumMod val="65000"/>
                    <a:lumOff val="35000"/>
                  </a:schemeClr>
                </a:solidFill>
                <a:latin typeface="+mn-lt"/>
                <a:ea typeface="+mn-ea"/>
                <a:cs typeface="+mn-cs"/>
              </a:defRPr>
            </a:pPr>
            <a:r>
              <a:rPr lang="en-US" sz="1300"/>
              <a:t>San Juan River</a:t>
            </a:r>
          </a:p>
        </c:rich>
      </c:tx>
      <c:layout>
        <c:manualLayout>
          <c:xMode val="edge"/>
          <c:yMode val="edge"/>
          <c:x val="0.39684157268372133"/>
          <c:y val="3.311311974292605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2037842009894453"/>
          <c:y val="0.13601713880958277"/>
          <c:w val="0.71166743142112066"/>
          <c:h val="0.64850317876247709"/>
        </c:manualLayout>
      </c:layout>
      <c:scatterChart>
        <c:scatterStyle val="lineMarker"/>
        <c:varyColors val="0"/>
        <c:ser>
          <c:idx val="0"/>
          <c:order val="0"/>
          <c:tx>
            <c:strRef>
              <c:f>'San Juan'!$AU$11</c:f>
              <c:strCache>
                <c:ptCount val="1"/>
                <c:pt idx="0">
                  <c:v>Pre-Event</c:v>
                </c:pt>
              </c:strCache>
            </c:strRef>
          </c:tx>
          <c:spPr>
            <a:ln w="19050" cap="rnd">
              <a:noFill/>
              <a:round/>
            </a:ln>
            <a:effectLst/>
          </c:spPr>
          <c:marker>
            <c:symbol val="circle"/>
            <c:size val="6"/>
            <c:spPr>
              <a:solidFill>
                <a:schemeClr val="tx2">
                  <a:lumMod val="40000"/>
                  <a:lumOff val="60000"/>
                </a:schemeClr>
              </a:solidFill>
              <a:ln w="9525">
                <a:solidFill>
                  <a:schemeClr val="tx1">
                    <a:lumMod val="50000"/>
                    <a:lumOff val="50000"/>
                  </a:schemeClr>
                </a:solidFill>
              </a:ln>
              <a:effectLst/>
            </c:spPr>
          </c:marker>
          <c:xVal>
            <c:numRef>
              <c:f>'San Juan'!$AI$201:$AI$220</c:f>
              <c:numCache>
                <c:formatCode>General</c:formatCode>
                <c:ptCount val="20"/>
                <c:pt idx="0">
                  <c:v>210</c:v>
                </c:pt>
                <c:pt idx="1">
                  <c:v>1200</c:v>
                </c:pt>
                <c:pt idx="2">
                  <c:v>800</c:v>
                </c:pt>
                <c:pt idx="3">
                  <c:v>1300</c:v>
                </c:pt>
                <c:pt idx="4">
                  <c:v>1800</c:v>
                </c:pt>
                <c:pt idx="5">
                  <c:v>2600</c:v>
                </c:pt>
                <c:pt idx="6">
                  <c:v>4400</c:v>
                </c:pt>
                <c:pt idx="7">
                  <c:v>6300</c:v>
                </c:pt>
                <c:pt idx="8">
                  <c:v>2900</c:v>
                </c:pt>
                <c:pt idx="9">
                  <c:v>2900</c:v>
                </c:pt>
                <c:pt idx="10">
                  <c:v>3800</c:v>
                </c:pt>
                <c:pt idx="11">
                  <c:v>8900</c:v>
                </c:pt>
                <c:pt idx="12">
                  <c:v>26000</c:v>
                </c:pt>
                <c:pt idx="13">
                  <c:v>630</c:v>
                </c:pt>
                <c:pt idx="14">
                  <c:v>11000</c:v>
                </c:pt>
                <c:pt idx="15">
                  <c:v>13093</c:v>
                </c:pt>
                <c:pt idx="16">
                  <c:v>7326</c:v>
                </c:pt>
                <c:pt idx="17">
                  <c:v>1308</c:v>
                </c:pt>
                <c:pt idx="19">
                  <c:v>9600</c:v>
                </c:pt>
              </c:numCache>
            </c:numRef>
          </c:xVal>
          <c:yVal>
            <c:numRef>
              <c:f>'San Juan'!$AL$201:$AL$220</c:f>
              <c:numCache>
                <c:formatCode>General</c:formatCode>
                <c:ptCount val="20"/>
                <c:pt idx="0">
                  <c:v>10</c:v>
                </c:pt>
                <c:pt idx="1">
                  <c:v>26</c:v>
                </c:pt>
                <c:pt idx="2">
                  <c:v>16</c:v>
                </c:pt>
                <c:pt idx="3">
                  <c:v>19</c:v>
                </c:pt>
                <c:pt idx="4">
                  <c:v>24</c:v>
                </c:pt>
                <c:pt idx="5">
                  <c:v>19</c:v>
                </c:pt>
                <c:pt idx="6">
                  <c:v>40</c:v>
                </c:pt>
                <c:pt idx="7">
                  <c:v>28</c:v>
                </c:pt>
                <c:pt idx="8">
                  <c:v>29</c:v>
                </c:pt>
                <c:pt idx="9">
                  <c:v>18</c:v>
                </c:pt>
                <c:pt idx="10">
                  <c:v>26</c:v>
                </c:pt>
                <c:pt idx="11">
                  <c:v>62</c:v>
                </c:pt>
                <c:pt idx="12">
                  <c:v>22</c:v>
                </c:pt>
                <c:pt idx="13">
                  <c:v>13</c:v>
                </c:pt>
                <c:pt idx="14">
                  <c:v>36</c:v>
                </c:pt>
                <c:pt idx="15">
                  <c:v>45</c:v>
                </c:pt>
                <c:pt idx="16">
                  <c:v>23</c:v>
                </c:pt>
                <c:pt idx="17">
                  <c:v>6.36</c:v>
                </c:pt>
                <c:pt idx="19">
                  <c:v>40</c:v>
                </c:pt>
              </c:numCache>
            </c:numRef>
          </c:yVal>
          <c:smooth val="0"/>
          <c:extLst>
            <c:ext xmlns:c16="http://schemas.microsoft.com/office/drawing/2014/chart" uri="{C3380CC4-5D6E-409C-BE32-E72D297353CC}">
              <c16:uniqueId val="{00000000-BE49-4098-AD2A-6A2C1AF700BB}"/>
            </c:ext>
          </c:extLst>
        </c:ser>
        <c:ser>
          <c:idx val="1"/>
          <c:order val="1"/>
          <c:tx>
            <c:strRef>
              <c:f>'San Juan'!$AU$12</c:f>
              <c:strCache>
                <c:ptCount val="1"/>
                <c:pt idx="0">
                  <c:v>Fall 2015</c:v>
                </c:pt>
              </c:strCache>
            </c:strRef>
          </c:tx>
          <c:spPr>
            <a:ln w="25400" cap="rnd">
              <a:noFill/>
              <a:round/>
            </a:ln>
            <a:effectLst/>
          </c:spPr>
          <c:marker>
            <c:symbol val="square"/>
            <c:size val="5"/>
            <c:spPr>
              <a:noFill/>
              <a:ln w="9525">
                <a:solidFill>
                  <a:schemeClr val="accent2">
                    <a:lumMod val="50000"/>
                  </a:schemeClr>
                </a:solidFill>
              </a:ln>
              <a:effectLst/>
            </c:spPr>
          </c:marker>
          <c:xVal>
            <c:numRef>
              <c:f>'San Juan'!$AI$6:$AI$180</c:f>
              <c:numCache>
                <c:formatCode>General</c:formatCode>
                <c:ptCount val="175"/>
                <c:pt idx="0">
                  <c:v>5200</c:v>
                </c:pt>
                <c:pt idx="1">
                  <c:v>4300</c:v>
                </c:pt>
                <c:pt idx="2">
                  <c:v>6900</c:v>
                </c:pt>
                <c:pt idx="3">
                  <c:v>7100</c:v>
                </c:pt>
                <c:pt idx="4">
                  <c:v>5000</c:v>
                </c:pt>
                <c:pt idx="5">
                  <c:v>6100</c:v>
                </c:pt>
                <c:pt idx="6">
                  <c:v>14000</c:v>
                </c:pt>
                <c:pt idx="7">
                  <c:v>18000</c:v>
                </c:pt>
                <c:pt idx="8">
                  <c:v>15000</c:v>
                </c:pt>
                <c:pt idx="9">
                  <c:v>7700</c:v>
                </c:pt>
                <c:pt idx="10">
                  <c:v>6200</c:v>
                </c:pt>
                <c:pt idx="11">
                  <c:v>5200</c:v>
                </c:pt>
                <c:pt idx="12">
                  <c:v>6700</c:v>
                </c:pt>
                <c:pt idx="13">
                  <c:v>7600</c:v>
                </c:pt>
                <c:pt idx="14">
                  <c:v>7100</c:v>
                </c:pt>
                <c:pt idx="15">
                  <c:v>14000</c:v>
                </c:pt>
                <c:pt idx="16">
                  <c:v>7600</c:v>
                </c:pt>
                <c:pt idx="17">
                  <c:v>16000</c:v>
                </c:pt>
                <c:pt idx="18">
                  <c:v>5800</c:v>
                </c:pt>
                <c:pt idx="19">
                  <c:v>8100</c:v>
                </c:pt>
                <c:pt idx="20">
                  <c:v>16000</c:v>
                </c:pt>
                <c:pt idx="21">
                  <c:v>15000</c:v>
                </c:pt>
                <c:pt idx="22">
                  <c:v>8700</c:v>
                </c:pt>
                <c:pt idx="23">
                  <c:v>12000</c:v>
                </c:pt>
                <c:pt idx="24">
                  <c:v>13000</c:v>
                </c:pt>
                <c:pt idx="25">
                  <c:v>11000</c:v>
                </c:pt>
                <c:pt idx="26">
                  <c:v>5900</c:v>
                </c:pt>
                <c:pt idx="27">
                  <c:v>6800</c:v>
                </c:pt>
                <c:pt idx="28">
                  <c:v>12000</c:v>
                </c:pt>
                <c:pt idx="29">
                  <c:v>7100</c:v>
                </c:pt>
                <c:pt idx="30">
                  <c:v>3900</c:v>
                </c:pt>
                <c:pt idx="31">
                  <c:v>6200</c:v>
                </c:pt>
                <c:pt idx="32">
                  <c:v>6200</c:v>
                </c:pt>
                <c:pt idx="33">
                  <c:v>6200</c:v>
                </c:pt>
                <c:pt idx="34">
                  <c:v>6000</c:v>
                </c:pt>
                <c:pt idx="35">
                  <c:v>8700</c:v>
                </c:pt>
                <c:pt idx="36">
                  <c:v>8000</c:v>
                </c:pt>
                <c:pt idx="37">
                  <c:v>6100</c:v>
                </c:pt>
                <c:pt idx="38">
                  <c:v>5700</c:v>
                </c:pt>
                <c:pt idx="39">
                  <c:v>8700</c:v>
                </c:pt>
                <c:pt idx="40">
                  <c:v>8500</c:v>
                </c:pt>
                <c:pt idx="41">
                  <c:v>6900</c:v>
                </c:pt>
                <c:pt idx="42">
                  <c:v>5500</c:v>
                </c:pt>
                <c:pt idx="43">
                  <c:v>5500</c:v>
                </c:pt>
                <c:pt idx="44">
                  <c:v>4200</c:v>
                </c:pt>
                <c:pt idx="45">
                  <c:v>7100</c:v>
                </c:pt>
                <c:pt idx="46">
                  <c:v>11000</c:v>
                </c:pt>
                <c:pt idx="47">
                  <c:v>6100</c:v>
                </c:pt>
                <c:pt idx="48">
                  <c:v>7900</c:v>
                </c:pt>
                <c:pt idx="49">
                  <c:v>5400</c:v>
                </c:pt>
                <c:pt idx="50">
                  <c:v>9600</c:v>
                </c:pt>
                <c:pt idx="51">
                  <c:v>4700</c:v>
                </c:pt>
                <c:pt idx="52">
                  <c:v>11000</c:v>
                </c:pt>
                <c:pt idx="53">
                  <c:v>5500</c:v>
                </c:pt>
                <c:pt idx="54">
                  <c:v>9900</c:v>
                </c:pt>
                <c:pt idx="55">
                  <c:v>4800</c:v>
                </c:pt>
                <c:pt idx="56">
                  <c:v>11000</c:v>
                </c:pt>
                <c:pt idx="57">
                  <c:v>8400</c:v>
                </c:pt>
                <c:pt idx="58">
                  <c:v>5400</c:v>
                </c:pt>
                <c:pt idx="59">
                  <c:v>8400</c:v>
                </c:pt>
                <c:pt idx="60">
                  <c:v>6700</c:v>
                </c:pt>
                <c:pt idx="61">
                  <c:v>5000</c:v>
                </c:pt>
                <c:pt idx="62">
                  <c:v>5100</c:v>
                </c:pt>
                <c:pt idx="63">
                  <c:v>4000</c:v>
                </c:pt>
                <c:pt idx="64">
                  <c:v>9700</c:v>
                </c:pt>
                <c:pt idx="65">
                  <c:v>5900</c:v>
                </c:pt>
                <c:pt idx="66">
                  <c:v>7600</c:v>
                </c:pt>
                <c:pt idx="67">
                  <c:v>6600</c:v>
                </c:pt>
                <c:pt idx="68">
                  <c:v>5200</c:v>
                </c:pt>
                <c:pt idx="69">
                  <c:v>6500</c:v>
                </c:pt>
                <c:pt idx="70">
                  <c:v>6100</c:v>
                </c:pt>
                <c:pt idx="71">
                  <c:v>4000</c:v>
                </c:pt>
                <c:pt idx="72">
                  <c:v>4500</c:v>
                </c:pt>
                <c:pt idx="73">
                  <c:v>9900</c:v>
                </c:pt>
                <c:pt idx="74">
                  <c:v>5000</c:v>
                </c:pt>
                <c:pt idx="75">
                  <c:v>5000</c:v>
                </c:pt>
                <c:pt idx="76">
                  <c:v>4900</c:v>
                </c:pt>
                <c:pt idx="77">
                  <c:v>6300</c:v>
                </c:pt>
                <c:pt idx="78">
                  <c:v>5400</c:v>
                </c:pt>
                <c:pt idx="79">
                  <c:v>6000</c:v>
                </c:pt>
                <c:pt idx="80">
                  <c:v>6800</c:v>
                </c:pt>
                <c:pt idx="81">
                  <c:v>6100</c:v>
                </c:pt>
                <c:pt idx="82">
                  <c:v>5600</c:v>
                </c:pt>
                <c:pt idx="83">
                  <c:v>8400</c:v>
                </c:pt>
                <c:pt idx="84">
                  <c:v>4900</c:v>
                </c:pt>
                <c:pt idx="85">
                  <c:v>6200</c:v>
                </c:pt>
                <c:pt idx="86">
                  <c:v>7100</c:v>
                </c:pt>
                <c:pt idx="87">
                  <c:v>7300</c:v>
                </c:pt>
                <c:pt idx="88">
                  <c:v>14000</c:v>
                </c:pt>
                <c:pt idx="89">
                  <c:v>8000</c:v>
                </c:pt>
                <c:pt idx="90">
                  <c:v>11000</c:v>
                </c:pt>
                <c:pt idx="91">
                  <c:v>6200</c:v>
                </c:pt>
                <c:pt idx="92">
                  <c:v>9000</c:v>
                </c:pt>
                <c:pt idx="93">
                  <c:v>5100</c:v>
                </c:pt>
                <c:pt idx="94">
                  <c:v>3500</c:v>
                </c:pt>
                <c:pt idx="95">
                  <c:v>6700</c:v>
                </c:pt>
                <c:pt idx="96">
                  <c:v>5100</c:v>
                </c:pt>
                <c:pt idx="97">
                  <c:v>3600</c:v>
                </c:pt>
                <c:pt idx="98">
                  <c:v>5800</c:v>
                </c:pt>
                <c:pt idx="99">
                  <c:v>3000</c:v>
                </c:pt>
                <c:pt idx="100">
                  <c:v>4200</c:v>
                </c:pt>
                <c:pt idx="101">
                  <c:v>8600</c:v>
                </c:pt>
                <c:pt idx="102">
                  <c:v>3500</c:v>
                </c:pt>
                <c:pt idx="103">
                  <c:v>4800</c:v>
                </c:pt>
                <c:pt idx="104">
                  <c:v>2800</c:v>
                </c:pt>
                <c:pt idx="105">
                  <c:v>5500</c:v>
                </c:pt>
                <c:pt idx="106">
                  <c:v>5000</c:v>
                </c:pt>
                <c:pt idx="107">
                  <c:v>6100</c:v>
                </c:pt>
                <c:pt idx="108">
                  <c:v>6400</c:v>
                </c:pt>
                <c:pt idx="109">
                  <c:v>6200</c:v>
                </c:pt>
                <c:pt idx="110">
                  <c:v>5300</c:v>
                </c:pt>
                <c:pt idx="111">
                  <c:v>4600</c:v>
                </c:pt>
                <c:pt idx="112">
                  <c:v>5200</c:v>
                </c:pt>
                <c:pt idx="113">
                  <c:v>3900</c:v>
                </c:pt>
                <c:pt idx="114">
                  <c:v>4300</c:v>
                </c:pt>
                <c:pt idx="115">
                  <c:v>4400</c:v>
                </c:pt>
                <c:pt idx="116">
                  <c:v>3900</c:v>
                </c:pt>
                <c:pt idx="117">
                  <c:v>4100</c:v>
                </c:pt>
                <c:pt idx="118">
                  <c:v>4100</c:v>
                </c:pt>
                <c:pt idx="119">
                  <c:v>3500</c:v>
                </c:pt>
                <c:pt idx="120">
                  <c:v>5000</c:v>
                </c:pt>
                <c:pt idx="121">
                  <c:v>3600</c:v>
                </c:pt>
                <c:pt idx="122">
                  <c:v>8900</c:v>
                </c:pt>
                <c:pt idx="123">
                  <c:v>6900</c:v>
                </c:pt>
                <c:pt idx="124">
                  <c:v>4700</c:v>
                </c:pt>
                <c:pt idx="125">
                  <c:v>3800</c:v>
                </c:pt>
                <c:pt idx="126">
                  <c:v>5300</c:v>
                </c:pt>
                <c:pt idx="127">
                  <c:v>3900</c:v>
                </c:pt>
                <c:pt idx="128">
                  <c:v>6800</c:v>
                </c:pt>
                <c:pt idx="129">
                  <c:v>3900</c:v>
                </c:pt>
                <c:pt idx="130">
                  <c:v>6800</c:v>
                </c:pt>
                <c:pt idx="131">
                  <c:v>8300</c:v>
                </c:pt>
                <c:pt idx="132">
                  <c:v>3900</c:v>
                </c:pt>
                <c:pt idx="133">
                  <c:v>7600</c:v>
                </c:pt>
                <c:pt idx="134">
                  <c:v>3700</c:v>
                </c:pt>
                <c:pt idx="135">
                  <c:v>4200</c:v>
                </c:pt>
                <c:pt idx="136">
                  <c:v>3500</c:v>
                </c:pt>
                <c:pt idx="137">
                  <c:v>4900</c:v>
                </c:pt>
                <c:pt idx="138">
                  <c:v>5400</c:v>
                </c:pt>
                <c:pt idx="139">
                  <c:v>7700</c:v>
                </c:pt>
                <c:pt idx="140">
                  <c:v>3700</c:v>
                </c:pt>
                <c:pt idx="141">
                  <c:v>5300</c:v>
                </c:pt>
                <c:pt idx="142">
                  <c:v>8400</c:v>
                </c:pt>
                <c:pt idx="143">
                  <c:v>2000</c:v>
                </c:pt>
                <c:pt idx="144">
                  <c:v>4900</c:v>
                </c:pt>
                <c:pt idx="145">
                  <c:v>7200</c:v>
                </c:pt>
                <c:pt idx="146">
                  <c:v>10000</c:v>
                </c:pt>
                <c:pt idx="147">
                  <c:v>9300</c:v>
                </c:pt>
                <c:pt idx="148">
                  <c:v>8500</c:v>
                </c:pt>
                <c:pt idx="149">
                  <c:v>6300</c:v>
                </c:pt>
                <c:pt idx="150">
                  <c:v>2800</c:v>
                </c:pt>
                <c:pt idx="151">
                  <c:v>7500</c:v>
                </c:pt>
                <c:pt idx="152">
                  <c:v>5100</c:v>
                </c:pt>
                <c:pt idx="153">
                  <c:v>8400</c:v>
                </c:pt>
                <c:pt idx="154">
                  <c:v>12000</c:v>
                </c:pt>
                <c:pt idx="155">
                  <c:v>2500</c:v>
                </c:pt>
                <c:pt idx="156">
                  <c:v>6200</c:v>
                </c:pt>
                <c:pt idx="157">
                  <c:v>4900</c:v>
                </c:pt>
                <c:pt idx="158">
                  <c:v>5000</c:v>
                </c:pt>
                <c:pt idx="159">
                  <c:v>9700</c:v>
                </c:pt>
                <c:pt idx="160">
                  <c:v>5700</c:v>
                </c:pt>
                <c:pt idx="161">
                  <c:v>8100</c:v>
                </c:pt>
                <c:pt idx="162">
                  <c:v>8300</c:v>
                </c:pt>
                <c:pt idx="163">
                  <c:v>3900</c:v>
                </c:pt>
                <c:pt idx="164">
                  <c:v>9900</c:v>
                </c:pt>
                <c:pt idx="165">
                  <c:v>3600</c:v>
                </c:pt>
                <c:pt idx="166">
                  <c:v>6500</c:v>
                </c:pt>
                <c:pt idx="167">
                  <c:v>6700</c:v>
                </c:pt>
                <c:pt idx="168">
                  <c:v>3100</c:v>
                </c:pt>
                <c:pt idx="169">
                  <c:v>7600</c:v>
                </c:pt>
                <c:pt idx="170">
                  <c:v>7000</c:v>
                </c:pt>
                <c:pt idx="171">
                  <c:v>7800</c:v>
                </c:pt>
                <c:pt idx="172">
                  <c:v>5000</c:v>
                </c:pt>
                <c:pt idx="173">
                  <c:v>9400</c:v>
                </c:pt>
                <c:pt idx="174">
                  <c:v>9300</c:v>
                </c:pt>
              </c:numCache>
            </c:numRef>
          </c:xVal>
          <c:yVal>
            <c:numRef>
              <c:f>'San Juan'!$AL$6:$AL$180</c:f>
              <c:numCache>
                <c:formatCode>General</c:formatCode>
                <c:ptCount val="175"/>
                <c:pt idx="0">
                  <c:v>15</c:v>
                </c:pt>
                <c:pt idx="1">
                  <c:v>13</c:v>
                </c:pt>
                <c:pt idx="2">
                  <c:v>18</c:v>
                </c:pt>
                <c:pt idx="3">
                  <c:v>19</c:v>
                </c:pt>
                <c:pt idx="4">
                  <c:v>11</c:v>
                </c:pt>
                <c:pt idx="5">
                  <c:v>14</c:v>
                </c:pt>
                <c:pt idx="6">
                  <c:v>37</c:v>
                </c:pt>
                <c:pt idx="7">
                  <c:v>47</c:v>
                </c:pt>
                <c:pt idx="8">
                  <c:v>28</c:v>
                </c:pt>
                <c:pt idx="9">
                  <c:v>22</c:v>
                </c:pt>
                <c:pt idx="10">
                  <c:v>20</c:v>
                </c:pt>
                <c:pt idx="11">
                  <c:v>32</c:v>
                </c:pt>
                <c:pt idx="12">
                  <c:v>26</c:v>
                </c:pt>
                <c:pt idx="13">
                  <c:v>30</c:v>
                </c:pt>
                <c:pt idx="14">
                  <c:v>18</c:v>
                </c:pt>
                <c:pt idx="15">
                  <c:v>44</c:v>
                </c:pt>
                <c:pt idx="16">
                  <c:v>28</c:v>
                </c:pt>
                <c:pt idx="17">
                  <c:v>36</c:v>
                </c:pt>
                <c:pt idx="18">
                  <c:v>28</c:v>
                </c:pt>
                <c:pt idx="19">
                  <c:v>23</c:v>
                </c:pt>
                <c:pt idx="20">
                  <c:v>74</c:v>
                </c:pt>
                <c:pt idx="21">
                  <c:v>51</c:v>
                </c:pt>
                <c:pt idx="22">
                  <c:v>21</c:v>
                </c:pt>
                <c:pt idx="23">
                  <c:v>28</c:v>
                </c:pt>
                <c:pt idx="24">
                  <c:v>76</c:v>
                </c:pt>
                <c:pt idx="25">
                  <c:v>33</c:v>
                </c:pt>
                <c:pt idx="26">
                  <c:v>15</c:v>
                </c:pt>
                <c:pt idx="27">
                  <c:v>23</c:v>
                </c:pt>
                <c:pt idx="28">
                  <c:v>43</c:v>
                </c:pt>
                <c:pt idx="29">
                  <c:v>23</c:v>
                </c:pt>
                <c:pt idx="30">
                  <c:v>17</c:v>
                </c:pt>
                <c:pt idx="31">
                  <c:v>18</c:v>
                </c:pt>
                <c:pt idx="32">
                  <c:v>16</c:v>
                </c:pt>
                <c:pt idx="33">
                  <c:v>15</c:v>
                </c:pt>
                <c:pt idx="34">
                  <c:v>14</c:v>
                </c:pt>
                <c:pt idx="35">
                  <c:v>22</c:v>
                </c:pt>
                <c:pt idx="36">
                  <c:v>24</c:v>
                </c:pt>
                <c:pt idx="37">
                  <c:v>15</c:v>
                </c:pt>
                <c:pt idx="38">
                  <c:v>18</c:v>
                </c:pt>
                <c:pt idx="39">
                  <c:v>38</c:v>
                </c:pt>
                <c:pt idx="40">
                  <c:v>23</c:v>
                </c:pt>
                <c:pt idx="41">
                  <c:v>13</c:v>
                </c:pt>
                <c:pt idx="42">
                  <c:v>20</c:v>
                </c:pt>
                <c:pt idx="43">
                  <c:v>21</c:v>
                </c:pt>
                <c:pt idx="44">
                  <c:v>14</c:v>
                </c:pt>
                <c:pt idx="45">
                  <c:v>24</c:v>
                </c:pt>
                <c:pt idx="46">
                  <c:v>48</c:v>
                </c:pt>
                <c:pt idx="47">
                  <c:v>14</c:v>
                </c:pt>
                <c:pt idx="48">
                  <c:v>42</c:v>
                </c:pt>
                <c:pt idx="49">
                  <c:v>18</c:v>
                </c:pt>
                <c:pt idx="50">
                  <c:v>73</c:v>
                </c:pt>
                <c:pt idx="51">
                  <c:v>13</c:v>
                </c:pt>
                <c:pt idx="52">
                  <c:v>75</c:v>
                </c:pt>
                <c:pt idx="53">
                  <c:v>14</c:v>
                </c:pt>
                <c:pt idx="54">
                  <c:v>110</c:v>
                </c:pt>
                <c:pt idx="55">
                  <c:v>13</c:v>
                </c:pt>
                <c:pt idx="56">
                  <c:v>93</c:v>
                </c:pt>
                <c:pt idx="57">
                  <c:v>36</c:v>
                </c:pt>
                <c:pt idx="58">
                  <c:v>13</c:v>
                </c:pt>
                <c:pt idx="59">
                  <c:v>8.6999999999999993</c:v>
                </c:pt>
                <c:pt idx="60">
                  <c:v>16</c:v>
                </c:pt>
                <c:pt idx="61">
                  <c:v>15</c:v>
                </c:pt>
                <c:pt idx="62">
                  <c:v>11</c:v>
                </c:pt>
                <c:pt idx="63">
                  <c:v>6.9</c:v>
                </c:pt>
                <c:pt idx="64">
                  <c:v>37</c:v>
                </c:pt>
                <c:pt idx="65">
                  <c:v>23</c:v>
                </c:pt>
                <c:pt idx="66">
                  <c:v>30</c:v>
                </c:pt>
                <c:pt idx="67">
                  <c:v>22</c:v>
                </c:pt>
                <c:pt idx="68">
                  <c:v>9.8000000000000007</c:v>
                </c:pt>
                <c:pt idx="69">
                  <c:v>22</c:v>
                </c:pt>
                <c:pt idx="70">
                  <c:v>25</c:v>
                </c:pt>
                <c:pt idx="71">
                  <c:v>21</c:v>
                </c:pt>
                <c:pt idx="72">
                  <c:v>12</c:v>
                </c:pt>
                <c:pt idx="73">
                  <c:v>120</c:v>
                </c:pt>
                <c:pt idx="74">
                  <c:v>7.6</c:v>
                </c:pt>
                <c:pt idx="75">
                  <c:v>14</c:v>
                </c:pt>
                <c:pt idx="76">
                  <c:v>16</c:v>
                </c:pt>
                <c:pt idx="77">
                  <c:v>15</c:v>
                </c:pt>
                <c:pt idx="78">
                  <c:v>16</c:v>
                </c:pt>
                <c:pt idx="79">
                  <c:v>22</c:v>
                </c:pt>
                <c:pt idx="80">
                  <c:v>22</c:v>
                </c:pt>
                <c:pt idx="81">
                  <c:v>33</c:v>
                </c:pt>
                <c:pt idx="82">
                  <c:v>14</c:v>
                </c:pt>
                <c:pt idx="83">
                  <c:v>21</c:v>
                </c:pt>
                <c:pt idx="84">
                  <c:v>20</c:v>
                </c:pt>
                <c:pt idx="85">
                  <c:v>30</c:v>
                </c:pt>
                <c:pt idx="86">
                  <c:v>19</c:v>
                </c:pt>
                <c:pt idx="87">
                  <c:v>20</c:v>
                </c:pt>
                <c:pt idx="88">
                  <c:v>39</c:v>
                </c:pt>
                <c:pt idx="89">
                  <c:v>23</c:v>
                </c:pt>
                <c:pt idx="90">
                  <c:v>32</c:v>
                </c:pt>
                <c:pt idx="91">
                  <c:v>12</c:v>
                </c:pt>
                <c:pt idx="92">
                  <c:v>30</c:v>
                </c:pt>
                <c:pt idx="93">
                  <c:v>14</c:v>
                </c:pt>
                <c:pt idx="94">
                  <c:v>13</c:v>
                </c:pt>
                <c:pt idx="95">
                  <c:v>22</c:v>
                </c:pt>
                <c:pt idx="96">
                  <c:v>13</c:v>
                </c:pt>
                <c:pt idx="97">
                  <c:v>16</c:v>
                </c:pt>
                <c:pt idx="98">
                  <c:v>17</c:v>
                </c:pt>
                <c:pt idx="99">
                  <c:v>14</c:v>
                </c:pt>
                <c:pt idx="100">
                  <c:v>19</c:v>
                </c:pt>
                <c:pt idx="101">
                  <c:v>23</c:v>
                </c:pt>
                <c:pt idx="102">
                  <c:v>16</c:v>
                </c:pt>
                <c:pt idx="103">
                  <c:v>17</c:v>
                </c:pt>
                <c:pt idx="104">
                  <c:v>14</c:v>
                </c:pt>
                <c:pt idx="105">
                  <c:v>17</c:v>
                </c:pt>
                <c:pt idx="106">
                  <c:v>21</c:v>
                </c:pt>
                <c:pt idx="107">
                  <c:v>19</c:v>
                </c:pt>
                <c:pt idx="108">
                  <c:v>27</c:v>
                </c:pt>
                <c:pt idx="109">
                  <c:v>32</c:v>
                </c:pt>
                <c:pt idx="110">
                  <c:v>17</c:v>
                </c:pt>
                <c:pt idx="111">
                  <c:v>15</c:v>
                </c:pt>
                <c:pt idx="112">
                  <c:v>13</c:v>
                </c:pt>
                <c:pt idx="113">
                  <c:v>16</c:v>
                </c:pt>
                <c:pt idx="114">
                  <c:v>11</c:v>
                </c:pt>
                <c:pt idx="115">
                  <c:v>16</c:v>
                </c:pt>
                <c:pt idx="116">
                  <c:v>11</c:v>
                </c:pt>
                <c:pt idx="117">
                  <c:v>15</c:v>
                </c:pt>
                <c:pt idx="118">
                  <c:v>11</c:v>
                </c:pt>
                <c:pt idx="119">
                  <c:v>15</c:v>
                </c:pt>
                <c:pt idx="120">
                  <c:v>19</c:v>
                </c:pt>
                <c:pt idx="121">
                  <c:v>14</c:v>
                </c:pt>
                <c:pt idx="122">
                  <c:v>32</c:v>
                </c:pt>
                <c:pt idx="123">
                  <c:v>25</c:v>
                </c:pt>
                <c:pt idx="124">
                  <c:v>13</c:v>
                </c:pt>
                <c:pt idx="125">
                  <c:v>21</c:v>
                </c:pt>
                <c:pt idx="126">
                  <c:v>17</c:v>
                </c:pt>
                <c:pt idx="127">
                  <c:v>11</c:v>
                </c:pt>
                <c:pt idx="128">
                  <c:v>22</c:v>
                </c:pt>
                <c:pt idx="129">
                  <c:v>18</c:v>
                </c:pt>
                <c:pt idx="130">
                  <c:v>20</c:v>
                </c:pt>
                <c:pt idx="131">
                  <c:v>28</c:v>
                </c:pt>
                <c:pt idx="132">
                  <c:v>22</c:v>
                </c:pt>
                <c:pt idx="133">
                  <c:v>21</c:v>
                </c:pt>
                <c:pt idx="134">
                  <c:v>13</c:v>
                </c:pt>
                <c:pt idx="135">
                  <c:v>12</c:v>
                </c:pt>
                <c:pt idx="136">
                  <c:v>14</c:v>
                </c:pt>
                <c:pt idx="137">
                  <c:v>14</c:v>
                </c:pt>
                <c:pt idx="138">
                  <c:v>13</c:v>
                </c:pt>
                <c:pt idx="139">
                  <c:v>33</c:v>
                </c:pt>
                <c:pt idx="140">
                  <c:v>19</c:v>
                </c:pt>
                <c:pt idx="141">
                  <c:v>14</c:v>
                </c:pt>
                <c:pt idx="142">
                  <c:v>37</c:v>
                </c:pt>
                <c:pt idx="143">
                  <c:v>18</c:v>
                </c:pt>
                <c:pt idx="144">
                  <c:v>12</c:v>
                </c:pt>
                <c:pt idx="145">
                  <c:v>11</c:v>
                </c:pt>
                <c:pt idx="146">
                  <c:v>24</c:v>
                </c:pt>
                <c:pt idx="147">
                  <c:v>30</c:v>
                </c:pt>
                <c:pt idx="148">
                  <c:v>24</c:v>
                </c:pt>
                <c:pt idx="149">
                  <c:v>18</c:v>
                </c:pt>
                <c:pt idx="150">
                  <c:v>8.1</c:v>
                </c:pt>
                <c:pt idx="151">
                  <c:v>20</c:v>
                </c:pt>
                <c:pt idx="152">
                  <c:v>14</c:v>
                </c:pt>
                <c:pt idx="153">
                  <c:v>29</c:v>
                </c:pt>
                <c:pt idx="154">
                  <c:v>34</c:v>
                </c:pt>
                <c:pt idx="155">
                  <c:v>14</c:v>
                </c:pt>
                <c:pt idx="156">
                  <c:v>18</c:v>
                </c:pt>
                <c:pt idx="157">
                  <c:v>14</c:v>
                </c:pt>
                <c:pt idx="158">
                  <c:v>18</c:v>
                </c:pt>
                <c:pt idx="159">
                  <c:v>29</c:v>
                </c:pt>
                <c:pt idx="160">
                  <c:v>13</c:v>
                </c:pt>
                <c:pt idx="161">
                  <c:v>23</c:v>
                </c:pt>
                <c:pt idx="162">
                  <c:v>22</c:v>
                </c:pt>
                <c:pt idx="163">
                  <c:v>11</c:v>
                </c:pt>
                <c:pt idx="164">
                  <c:v>20</c:v>
                </c:pt>
                <c:pt idx="165">
                  <c:v>9.6</c:v>
                </c:pt>
                <c:pt idx="166">
                  <c:v>23</c:v>
                </c:pt>
                <c:pt idx="167">
                  <c:v>20</c:v>
                </c:pt>
                <c:pt idx="168">
                  <c:v>8.9</c:v>
                </c:pt>
                <c:pt idx="169">
                  <c:v>16</c:v>
                </c:pt>
                <c:pt idx="170">
                  <c:v>21</c:v>
                </c:pt>
                <c:pt idx="171">
                  <c:v>29</c:v>
                </c:pt>
                <c:pt idx="172">
                  <c:v>10</c:v>
                </c:pt>
                <c:pt idx="173">
                  <c:v>25</c:v>
                </c:pt>
                <c:pt idx="174">
                  <c:v>32</c:v>
                </c:pt>
              </c:numCache>
            </c:numRef>
          </c:yVal>
          <c:smooth val="0"/>
          <c:extLst>
            <c:ext xmlns:c16="http://schemas.microsoft.com/office/drawing/2014/chart" uri="{C3380CC4-5D6E-409C-BE32-E72D297353CC}">
              <c16:uniqueId val="{00000001-BE49-4098-AD2A-6A2C1AF700BB}"/>
            </c:ext>
          </c:extLst>
        </c:ser>
        <c:ser>
          <c:idx val="2"/>
          <c:order val="2"/>
          <c:tx>
            <c:strRef>
              <c:f>'San Juan'!$AU$13</c:f>
              <c:strCache>
                <c:ptCount val="1"/>
                <c:pt idx="0">
                  <c:v>Snowment 2016</c:v>
                </c:pt>
              </c:strCache>
            </c:strRef>
          </c:tx>
          <c:spPr>
            <a:ln w="25400" cap="rnd">
              <a:noFill/>
              <a:round/>
            </a:ln>
            <a:effectLst/>
          </c:spPr>
          <c:marker>
            <c:symbol val="triangle"/>
            <c:size val="7"/>
            <c:spPr>
              <a:solidFill>
                <a:schemeClr val="accent2">
                  <a:lumMod val="60000"/>
                  <a:lumOff val="40000"/>
                </a:schemeClr>
              </a:solidFill>
              <a:ln w="9525">
                <a:solidFill>
                  <a:schemeClr val="accent2">
                    <a:lumMod val="75000"/>
                  </a:schemeClr>
                </a:solidFill>
              </a:ln>
              <a:effectLst/>
            </c:spPr>
          </c:marker>
          <c:xVal>
            <c:numRef>
              <c:f>'San Juan'!$AI$181:$AI$185</c:f>
              <c:numCache>
                <c:formatCode>General</c:formatCode>
                <c:ptCount val="5"/>
                <c:pt idx="0">
                  <c:v>12000</c:v>
                </c:pt>
                <c:pt idx="1">
                  <c:v>9500</c:v>
                </c:pt>
                <c:pt idx="2">
                  <c:v>14000</c:v>
                </c:pt>
                <c:pt idx="3">
                  <c:v>11000</c:v>
                </c:pt>
                <c:pt idx="4">
                  <c:v>10000</c:v>
                </c:pt>
              </c:numCache>
            </c:numRef>
          </c:xVal>
          <c:yVal>
            <c:numRef>
              <c:f>'San Juan'!$AL$181:$AL$185</c:f>
              <c:numCache>
                <c:formatCode>General</c:formatCode>
                <c:ptCount val="5"/>
                <c:pt idx="0">
                  <c:v>59</c:v>
                </c:pt>
                <c:pt idx="1">
                  <c:v>70</c:v>
                </c:pt>
                <c:pt idx="2">
                  <c:v>150</c:v>
                </c:pt>
                <c:pt idx="3">
                  <c:v>100</c:v>
                </c:pt>
                <c:pt idx="4">
                  <c:v>71</c:v>
                </c:pt>
              </c:numCache>
            </c:numRef>
          </c:yVal>
          <c:smooth val="0"/>
          <c:extLst>
            <c:ext xmlns:c16="http://schemas.microsoft.com/office/drawing/2014/chart" uri="{C3380CC4-5D6E-409C-BE32-E72D297353CC}">
              <c16:uniqueId val="{00000002-BE49-4098-AD2A-6A2C1AF700BB}"/>
            </c:ext>
          </c:extLst>
        </c:ser>
        <c:dLbls>
          <c:showLegendKey val="0"/>
          <c:showVal val="0"/>
          <c:showCatName val="0"/>
          <c:showSerName val="0"/>
          <c:showPercent val="0"/>
          <c:showBubbleSize val="0"/>
        </c:dLbls>
        <c:axId val="1152701640"/>
        <c:axId val="1152702032"/>
      </c:scatterChart>
      <c:valAx>
        <c:axId val="1152701640"/>
        <c:scaling>
          <c:orientation val="minMax"/>
          <c:max val="20000"/>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1" i="0" u="none" strike="noStrike" kern="1200" baseline="0">
                    <a:solidFill>
                      <a:schemeClr val="tx1">
                        <a:lumMod val="65000"/>
                        <a:lumOff val="35000"/>
                      </a:schemeClr>
                    </a:solidFill>
                    <a:latin typeface="+mn-lt"/>
                    <a:ea typeface="+mn-ea"/>
                    <a:cs typeface="+mn-cs"/>
                  </a:defRPr>
                </a:pPr>
                <a:r>
                  <a:rPr lang="en-US" sz="1300"/>
                  <a:t>Iron Concentration (mg/kg)</a:t>
                </a:r>
              </a:p>
            </c:rich>
          </c:tx>
          <c:overlay val="0"/>
          <c:spPr>
            <a:noFill/>
            <a:ln>
              <a:noFill/>
            </a:ln>
            <a:effectLst/>
          </c:spPr>
          <c:txPr>
            <a:bodyPr rot="0" spcFirstLastPara="1" vertOverflow="ellipsis" vert="horz" wrap="square" anchor="ctr" anchorCtr="1"/>
            <a:lstStyle/>
            <a:p>
              <a:pPr>
                <a:defRPr sz="13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1152702032"/>
        <c:crosses val="autoZero"/>
        <c:crossBetween val="midCat"/>
      </c:valAx>
      <c:valAx>
        <c:axId val="1152702032"/>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a:t>Zinc Concentration (mg/kg)</a:t>
                </a:r>
              </a:p>
            </c:rich>
          </c:tx>
          <c:layout>
            <c:manualLayout>
              <c:xMode val="edge"/>
              <c:yMode val="edge"/>
              <c:x val="4.6497802062183749E-2"/>
              <c:y val="0.19360042696542648"/>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1152701640"/>
        <c:crosses val="autoZero"/>
        <c:crossBetween val="midCat"/>
      </c:valAx>
      <c:spPr>
        <a:noFill/>
        <a:ln>
          <a:noFill/>
        </a:ln>
        <a:effectLst/>
      </c:spPr>
    </c:plotArea>
    <c:legend>
      <c:legendPos val="t"/>
      <c:layout>
        <c:manualLayout>
          <c:xMode val="edge"/>
          <c:yMode val="edge"/>
          <c:x val="0.55955178312978882"/>
          <c:y val="0.5682501624730194"/>
          <c:w val="0.40317011132756475"/>
          <c:h val="0.22442245967376168"/>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400" b="1"/>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r>
              <a:rPr lang="en-US"/>
              <a:t>San Juan Cadmium in Relation to Iron</a:t>
            </a:r>
          </a:p>
        </c:rich>
      </c:tx>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6576413282392238"/>
          <c:y val="0.18562108796070043"/>
          <c:w val="0.74968755084191485"/>
          <c:h val="0.59889927686423239"/>
        </c:manualLayout>
      </c:layout>
      <c:scatterChart>
        <c:scatterStyle val="lineMarker"/>
        <c:varyColors val="0"/>
        <c:ser>
          <c:idx val="1"/>
          <c:order val="0"/>
          <c:tx>
            <c:strRef>
              <c:f>'San Juan'!$AU$12</c:f>
              <c:strCache>
                <c:ptCount val="1"/>
                <c:pt idx="0">
                  <c:v>Fall 2015</c:v>
                </c:pt>
              </c:strCache>
            </c:strRef>
          </c:tx>
          <c:spPr>
            <a:ln w="25400" cap="rnd">
              <a:noFill/>
              <a:round/>
            </a:ln>
            <a:effectLst/>
          </c:spPr>
          <c:marker>
            <c:symbol val="square"/>
            <c:size val="5"/>
            <c:spPr>
              <a:noFill/>
              <a:ln w="9525">
                <a:solidFill>
                  <a:schemeClr val="accent2">
                    <a:lumMod val="50000"/>
                  </a:schemeClr>
                </a:solidFill>
              </a:ln>
              <a:effectLst/>
            </c:spPr>
          </c:marker>
          <c:xVal>
            <c:numRef>
              <c:f>'San Juan'!$AI$6:$AI$180</c:f>
              <c:numCache>
                <c:formatCode>General</c:formatCode>
                <c:ptCount val="175"/>
                <c:pt idx="0">
                  <c:v>5200</c:v>
                </c:pt>
                <c:pt idx="1">
                  <c:v>4300</c:v>
                </c:pt>
                <c:pt idx="2">
                  <c:v>6900</c:v>
                </c:pt>
                <c:pt idx="3">
                  <c:v>7100</c:v>
                </c:pt>
                <c:pt idx="4">
                  <c:v>5000</c:v>
                </c:pt>
                <c:pt idx="5">
                  <c:v>6100</c:v>
                </c:pt>
                <c:pt idx="6">
                  <c:v>14000</c:v>
                </c:pt>
                <c:pt idx="7">
                  <c:v>18000</c:v>
                </c:pt>
                <c:pt idx="8">
                  <c:v>15000</c:v>
                </c:pt>
                <c:pt idx="9">
                  <c:v>7700</c:v>
                </c:pt>
                <c:pt idx="10">
                  <c:v>6200</c:v>
                </c:pt>
                <c:pt idx="11">
                  <c:v>5200</c:v>
                </c:pt>
                <c:pt idx="12">
                  <c:v>6700</c:v>
                </c:pt>
                <c:pt idx="13">
                  <c:v>7600</c:v>
                </c:pt>
                <c:pt idx="14">
                  <c:v>7100</c:v>
                </c:pt>
                <c:pt idx="15">
                  <c:v>14000</c:v>
                </c:pt>
                <c:pt idx="16">
                  <c:v>7600</c:v>
                </c:pt>
                <c:pt idx="17">
                  <c:v>16000</c:v>
                </c:pt>
                <c:pt idx="18">
                  <c:v>5800</c:v>
                </c:pt>
                <c:pt idx="19">
                  <c:v>8100</c:v>
                </c:pt>
                <c:pt idx="20">
                  <c:v>16000</c:v>
                </c:pt>
                <c:pt idx="21">
                  <c:v>15000</c:v>
                </c:pt>
                <c:pt idx="22">
                  <c:v>8700</c:v>
                </c:pt>
                <c:pt idx="23">
                  <c:v>12000</c:v>
                </c:pt>
                <c:pt idx="24">
                  <c:v>13000</c:v>
                </c:pt>
                <c:pt idx="25">
                  <c:v>11000</c:v>
                </c:pt>
                <c:pt idx="26">
                  <c:v>5900</c:v>
                </c:pt>
                <c:pt idx="27">
                  <c:v>6800</c:v>
                </c:pt>
                <c:pt idx="28">
                  <c:v>12000</c:v>
                </c:pt>
                <c:pt idx="29">
                  <c:v>7100</c:v>
                </c:pt>
                <c:pt idx="30">
                  <c:v>3900</c:v>
                </c:pt>
                <c:pt idx="31">
                  <c:v>6200</c:v>
                </c:pt>
                <c:pt idx="32">
                  <c:v>6200</c:v>
                </c:pt>
                <c:pt idx="33">
                  <c:v>6200</c:v>
                </c:pt>
                <c:pt idx="34">
                  <c:v>6000</c:v>
                </c:pt>
                <c:pt idx="35">
                  <c:v>8700</c:v>
                </c:pt>
                <c:pt idx="36">
                  <c:v>8000</c:v>
                </c:pt>
                <c:pt idx="37">
                  <c:v>6100</c:v>
                </c:pt>
                <c:pt idx="38">
                  <c:v>5700</c:v>
                </c:pt>
                <c:pt idx="39">
                  <c:v>8700</c:v>
                </c:pt>
                <c:pt idx="40">
                  <c:v>8500</c:v>
                </c:pt>
                <c:pt idx="41">
                  <c:v>6900</c:v>
                </c:pt>
                <c:pt idx="42">
                  <c:v>5500</c:v>
                </c:pt>
                <c:pt idx="43">
                  <c:v>5500</c:v>
                </c:pt>
                <c:pt idx="44">
                  <c:v>4200</c:v>
                </c:pt>
                <c:pt idx="45">
                  <c:v>7100</c:v>
                </c:pt>
                <c:pt idx="46">
                  <c:v>11000</c:v>
                </c:pt>
                <c:pt idx="47">
                  <c:v>6100</c:v>
                </c:pt>
                <c:pt idx="48">
                  <c:v>7900</c:v>
                </c:pt>
                <c:pt idx="49">
                  <c:v>5400</c:v>
                </c:pt>
                <c:pt idx="50">
                  <c:v>9600</c:v>
                </c:pt>
                <c:pt idx="51">
                  <c:v>4700</c:v>
                </c:pt>
                <c:pt idx="52">
                  <c:v>11000</c:v>
                </c:pt>
                <c:pt idx="53">
                  <c:v>5500</c:v>
                </c:pt>
                <c:pt idx="54">
                  <c:v>9900</c:v>
                </c:pt>
                <c:pt idx="55">
                  <c:v>4800</c:v>
                </c:pt>
                <c:pt idx="56">
                  <c:v>11000</c:v>
                </c:pt>
                <c:pt idx="57">
                  <c:v>8400</c:v>
                </c:pt>
                <c:pt idx="58">
                  <c:v>5400</c:v>
                </c:pt>
                <c:pt idx="59">
                  <c:v>8400</c:v>
                </c:pt>
                <c:pt idx="60">
                  <c:v>6700</c:v>
                </c:pt>
                <c:pt idx="61">
                  <c:v>5000</c:v>
                </c:pt>
                <c:pt idx="62">
                  <c:v>5100</c:v>
                </c:pt>
                <c:pt idx="63">
                  <c:v>4000</c:v>
                </c:pt>
                <c:pt idx="64">
                  <c:v>9700</c:v>
                </c:pt>
                <c:pt idx="65">
                  <c:v>5900</c:v>
                </c:pt>
                <c:pt idx="66">
                  <c:v>7600</c:v>
                </c:pt>
                <c:pt idx="67">
                  <c:v>6600</c:v>
                </c:pt>
                <c:pt idx="68">
                  <c:v>5200</c:v>
                </c:pt>
                <c:pt idx="69">
                  <c:v>6500</c:v>
                </c:pt>
                <c:pt idx="70">
                  <c:v>6100</c:v>
                </c:pt>
                <c:pt idx="71">
                  <c:v>4000</c:v>
                </c:pt>
                <c:pt idx="72">
                  <c:v>4500</c:v>
                </c:pt>
                <c:pt idx="73">
                  <c:v>9900</c:v>
                </c:pt>
                <c:pt idx="74">
                  <c:v>5000</c:v>
                </c:pt>
                <c:pt idx="75">
                  <c:v>5000</c:v>
                </c:pt>
                <c:pt idx="76">
                  <c:v>4900</c:v>
                </c:pt>
                <c:pt idx="77">
                  <c:v>6300</c:v>
                </c:pt>
                <c:pt idx="78">
                  <c:v>5400</c:v>
                </c:pt>
                <c:pt idx="79">
                  <c:v>6000</c:v>
                </c:pt>
                <c:pt idx="80">
                  <c:v>6800</c:v>
                </c:pt>
                <c:pt idx="81">
                  <c:v>6100</c:v>
                </c:pt>
                <c:pt idx="82">
                  <c:v>5600</c:v>
                </c:pt>
                <c:pt idx="83">
                  <c:v>8400</c:v>
                </c:pt>
                <c:pt idx="84">
                  <c:v>4900</c:v>
                </c:pt>
                <c:pt idx="85">
                  <c:v>6200</c:v>
                </c:pt>
                <c:pt idx="86">
                  <c:v>7100</c:v>
                </c:pt>
                <c:pt idx="87">
                  <c:v>7300</c:v>
                </c:pt>
                <c:pt idx="88">
                  <c:v>14000</c:v>
                </c:pt>
                <c:pt idx="89">
                  <c:v>8000</c:v>
                </c:pt>
                <c:pt idx="90">
                  <c:v>11000</c:v>
                </c:pt>
                <c:pt idx="91">
                  <c:v>6200</c:v>
                </c:pt>
                <c:pt idx="92">
                  <c:v>9000</c:v>
                </c:pt>
                <c:pt idx="93">
                  <c:v>5100</c:v>
                </c:pt>
                <c:pt idx="94">
                  <c:v>3500</c:v>
                </c:pt>
                <c:pt idx="95">
                  <c:v>6700</c:v>
                </c:pt>
                <c:pt idx="96">
                  <c:v>5100</c:v>
                </c:pt>
                <c:pt idx="97">
                  <c:v>3600</c:v>
                </c:pt>
                <c:pt idx="98">
                  <c:v>5800</c:v>
                </c:pt>
                <c:pt idx="99">
                  <c:v>3000</c:v>
                </c:pt>
                <c:pt idx="100">
                  <c:v>4200</c:v>
                </c:pt>
                <c:pt idx="101">
                  <c:v>8600</c:v>
                </c:pt>
                <c:pt idx="102">
                  <c:v>3500</c:v>
                </c:pt>
                <c:pt idx="103">
                  <c:v>4800</c:v>
                </c:pt>
                <c:pt idx="104">
                  <c:v>2800</c:v>
                </c:pt>
                <c:pt idx="105">
                  <c:v>5500</c:v>
                </c:pt>
                <c:pt idx="106">
                  <c:v>5000</c:v>
                </c:pt>
                <c:pt idx="107">
                  <c:v>6100</c:v>
                </c:pt>
                <c:pt idx="108">
                  <c:v>6400</c:v>
                </c:pt>
                <c:pt idx="109">
                  <c:v>6200</c:v>
                </c:pt>
                <c:pt idx="110">
                  <c:v>5300</c:v>
                </c:pt>
                <c:pt idx="111">
                  <c:v>4600</c:v>
                </c:pt>
                <c:pt idx="112">
                  <c:v>5200</c:v>
                </c:pt>
                <c:pt idx="113">
                  <c:v>3900</c:v>
                </c:pt>
                <c:pt idx="114">
                  <c:v>4300</c:v>
                </c:pt>
                <c:pt idx="115">
                  <c:v>4400</c:v>
                </c:pt>
                <c:pt idx="116">
                  <c:v>3900</c:v>
                </c:pt>
                <c:pt idx="117">
                  <c:v>4100</c:v>
                </c:pt>
                <c:pt idx="118">
                  <c:v>4100</c:v>
                </c:pt>
                <c:pt idx="119">
                  <c:v>3500</c:v>
                </c:pt>
                <c:pt idx="120">
                  <c:v>5000</c:v>
                </c:pt>
                <c:pt idx="121">
                  <c:v>3600</c:v>
                </c:pt>
                <c:pt idx="122">
                  <c:v>8900</c:v>
                </c:pt>
                <c:pt idx="123">
                  <c:v>6900</c:v>
                </c:pt>
                <c:pt idx="124">
                  <c:v>4700</c:v>
                </c:pt>
                <c:pt idx="125">
                  <c:v>3800</c:v>
                </c:pt>
                <c:pt idx="126">
                  <c:v>5300</c:v>
                </c:pt>
                <c:pt idx="127">
                  <c:v>3900</c:v>
                </c:pt>
                <c:pt idx="128">
                  <c:v>6800</c:v>
                </c:pt>
                <c:pt idx="129">
                  <c:v>3900</c:v>
                </c:pt>
                <c:pt idx="130">
                  <c:v>6800</c:v>
                </c:pt>
                <c:pt idx="131">
                  <c:v>8300</c:v>
                </c:pt>
                <c:pt idx="132">
                  <c:v>3900</c:v>
                </c:pt>
                <c:pt idx="133">
                  <c:v>7600</c:v>
                </c:pt>
                <c:pt idx="134">
                  <c:v>3700</c:v>
                </c:pt>
                <c:pt idx="135">
                  <c:v>4200</c:v>
                </c:pt>
                <c:pt idx="136">
                  <c:v>3500</c:v>
                </c:pt>
                <c:pt idx="137">
                  <c:v>4900</c:v>
                </c:pt>
                <c:pt idx="138">
                  <c:v>5400</c:v>
                </c:pt>
                <c:pt idx="139">
                  <c:v>7700</c:v>
                </c:pt>
                <c:pt idx="140">
                  <c:v>3700</c:v>
                </c:pt>
                <c:pt idx="141">
                  <c:v>5300</c:v>
                </c:pt>
                <c:pt idx="142">
                  <c:v>8400</c:v>
                </c:pt>
                <c:pt idx="143">
                  <c:v>2000</c:v>
                </c:pt>
                <c:pt idx="144">
                  <c:v>4900</c:v>
                </c:pt>
                <c:pt idx="145">
                  <c:v>7200</c:v>
                </c:pt>
                <c:pt idx="146">
                  <c:v>10000</c:v>
                </c:pt>
                <c:pt idx="147">
                  <c:v>9300</c:v>
                </c:pt>
                <c:pt idx="148">
                  <c:v>8500</c:v>
                </c:pt>
                <c:pt idx="149">
                  <c:v>6300</c:v>
                </c:pt>
                <c:pt idx="150">
                  <c:v>2800</c:v>
                </c:pt>
                <c:pt idx="151">
                  <c:v>7500</c:v>
                </c:pt>
                <c:pt idx="152">
                  <c:v>5100</c:v>
                </c:pt>
                <c:pt idx="153">
                  <c:v>8400</c:v>
                </c:pt>
                <c:pt idx="154">
                  <c:v>12000</c:v>
                </c:pt>
                <c:pt idx="155">
                  <c:v>2500</c:v>
                </c:pt>
                <c:pt idx="156">
                  <c:v>6200</c:v>
                </c:pt>
                <c:pt idx="157">
                  <c:v>4900</c:v>
                </c:pt>
                <c:pt idx="158">
                  <c:v>5000</c:v>
                </c:pt>
                <c:pt idx="159">
                  <c:v>9700</c:v>
                </c:pt>
                <c:pt idx="160">
                  <c:v>5700</c:v>
                </c:pt>
                <c:pt idx="161">
                  <c:v>8100</c:v>
                </c:pt>
                <c:pt idx="162">
                  <c:v>8300</c:v>
                </c:pt>
                <c:pt idx="163">
                  <c:v>3900</c:v>
                </c:pt>
                <c:pt idx="164">
                  <c:v>9900</c:v>
                </c:pt>
                <c:pt idx="165">
                  <c:v>3600</c:v>
                </c:pt>
                <c:pt idx="166">
                  <c:v>6500</c:v>
                </c:pt>
                <c:pt idx="167">
                  <c:v>6700</c:v>
                </c:pt>
                <c:pt idx="168">
                  <c:v>3100</c:v>
                </c:pt>
                <c:pt idx="169">
                  <c:v>7600</c:v>
                </c:pt>
                <c:pt idx="170">
                  <c:v>7000</c:v>
                </c:pt>
                <c:pt idx="171">
                  <c:v>7800</c:v>
                </c:pt>
                <c:pt idx="172">
                  <c:v>5000</c:v>
                </c:pt>
                <c:pt idx="173">
                  <c:v>9400</c:v>
                </c:pt>
                <c:pt idx="174">
                  <c:v>9300</c:v>
                </c:pt>
              </c:numCache>
            </c:numRef>
          </c:xVal>
          <c:yVal>
            <c:numRef>
              <c:f>'San Juan'!$AG$6:$AG$180</c:f>
              <c:numCache>
                <c:formatCode>General</c:formatCode>
                <c:ptCount val="175"/>
                <c:pt idx="0">
                  <c:v>3.4000000000000002E-2</c:v>
                </c:pt>
                <c:pt idx="1">
                  <c:v>2.8000000000000001E-2</c:v>
                </c:pt>
                <c:pt idx="2">
                  <c:v>5.1999999999999998E-2</c:v>
                </c:pt>
                <c:pt idx="3">
                  <c:v>4.7E-2</c:v>
                </c:pt>
                <c:pt idx="4">
                  <c:v>2.1000000000000001E-2</c:v>
                </c:pt>
                <c:pt idx="5">
                  <c:v>3.4000000000000002E-2</c:v>
                </c:pt>
                <c:pt idx="6">
                  <c:v>0.32</c:v>
                </c:pt>
                <c:pt idx="7">
                  <c:v>0.37</c:v>
                </c:pt>
                <c:pt idx="8">
                  <c:v>0.36</c:v>
                </c:pt>
                <c:pt idx="9">
                  <c:v>0.32</c:v>
                </c:pt>
                <c:pt idx="10">
                  <c:v>0.32</c:v>
                </c:pt>
                <c:pt idx="11">
                  <c:v>0.33</c:v>
                </c:pt>
                <c:pt idx="12">
                  <c:v>0.33</c:v>
                </c:pt>
                <c:pt idx="13">
                  <c:v>0.33</c:v>
                </c:pt>
                <c:pt idx="14">
                  <c:v>0.32</c:v>
                </c:pt>
                <c:pt idx="15">
                  <c:v>0.35</c:v>
                </c:pt>
                <c:pt idx="16">
                  <c:v>0.33</c:v>
                </c:pt>
                <c:pt idx="17">
                  <c:v>0.36</c:v>
                </c:pt>
                <c:pt idx="18">
                  <c:v>0.31</c:v>
                </c:pt>
                <c:pt idx="19">
                  <c:v>0.34</c:v>
                </c:pt>
                <c:pt idx="20">
                  <c:v>0.39</c:v>
                </c:pt>
                <c:pt idx="21">
                  <c:v>0.37</c:v>
                </c:pt>
                <c:pt idx="22">
                  <c:v>0.35</c:v>
                </c:pt>
                <c:pt idx="23">
                  <c:v>0.36</c:v>
                </c:pt>
                <c:pt idx="24">
                  <c:v>0.25</c:v>
                </c:pt>
                <c:pt idx="25">
                  <c:v>0.14000000000000001</c:v>
                </c:pt>
                <c:pt idx="26">
                  <c:v>0.13</c:v>
                </c:pt>
                <c:pt idx="27">
                  <c:v>4.1000000000000002E-2</c:v>
                </c:pt>
                <c:pt idx="28">
                  <c:v>0.13</c:v>
                </c:pt>
                <c:pt idx="29">
                  <c:v>5.1999999999999998E-2</c:v>
                </c:pt>
                <c:pt idx="30">
                  <c:v>4.4999999999999998E-2</c:v>
                </c:pt>
                <c:pt idx="31">
                  <c:v>6.2E-2</c:v>
                </c:pt>
                <c:pt idx="32">
                  <c:v>0.05</c:v>
                </c:pt>
                <c:pt idx="33">
                  <c:v>0.11</c:v>
                </c:pt>
                <c:pt idx="34">
                  <c:v>2.8000000000000001E-2</c:v>
                </c:pt>
                <c:pt idx="35">
                  <c:v>6.0999999999999999E-2</c:v>
                </c:pt>
                <c:pt idx="36">
                  <c:v>4.1000000000000002E-2</c:v>
                </c:pt>
                <c:pt idx="37">
                  <c:v>3.6999999999999998E-2</c:v>
                </c:pt>
                <c:pt idx="38">
                  <c:v>2.7E-2</c:v>
                </c:pt>
                <c:pt idx="39">
                  <c:v>9.5000000000000001E-2</c:v>
                </c:pt>
                <c:pt idx="40">
                  <c:v>7.6999999999999999E-2</c:v>
                </c:pt>
                <c:pt idx="41">
                  <c:v>3.2000000000000001E-2</c:v>
                </c:pt>
                <c:pt idx="42">
                  <c:v>4.9000000000000002E-2</c:v>
                </c:pt>
                <c:pt idx="43">
                  <c:v>5.0999999999999997E-2</c:v>
                </c:pt>
                <c:pt idx="44">
                  <c:v>2.5999999999999999E-2</c:v>
                </c:pt>
                <c:pt idx="45">
                  <c:v>7.8E-2</c:v>
                </c:pt>
                <c:pt idx="46">
                  <c:v>0.13</c:v>
                </c:pt>
                <c:pt idx="47">
                  <c:v>4.3999999999999997E-2</c:v>
                </c:pt>
                <c:pt idx="48">
                  <c:v>0.11</c:v>
                </c:pt>
                <c:pt idx="49">
                  <c:v>3.5999999999999997E-2</c:v>
                </c:pt>
                <c:pt idx="50">
                  <c:v>0.14000000000000001</c:v>
                </c:pt>
                <c:pt idx="51">
                  <c:v>2.1000000000000001E-2</c:v>
                </c:pt>
                <c:pt idx="52">
                  <c:v>0.22</c:v>
                </c:pt>
                <c:pt idx="53">
                  <c:v>3.1E-2</c:v>
                </c:pt>
                <c:pt idx="54">
                  <c:v>0.31</c:v>
                </c:pt>
                <c:pt idx="55">
                  <c:v>3.4000000000000002E-2</c:v>
                </c:pt>
                <c:pt idx="56">
                  <c:v>0.23</c:v>
                </c:pt>
                <c:pt idx="57">
                  <c:v>0.15</c:v>
                </c:pt>
                <c:pt idx="58">
                  <c:v>2.1999999999999999E-2</c:v>
                </c:pt>
                <c:pt idx="59">
                  <c:v>2.4E-2</c:v>
                </c:pt>
                <c:pt idx="60">
                  <c:v>3.1E-2</c:v>
                </c:pt>
                <c:pt idx="61">
                  <c:v>1.7000000000000001E-2</c:v>
                </c:pt>
                <c:pt idx="62">
                  <c:v>2.8000000000000001E-2</c:v>
                </c:pt>
                <c:pt idx="63">
                  <c:v>3.5000000000000003E-2</c:v>
                </c:pt>
                <c:pt idx="64">
                  <c:v>7.1999999999999995E-2</c:v>
                </c:pt>
                <c:pt idx="65">
                  <c:v>3.5999999999999997E-2</c:v>
                </c:pt>
                <c:pt idx="66">
                  <c:v>0.13</c:v>
                </c:pt>
                <c:pt idx="67">
                  <c:v>2.5000000000000001E-2</c:v>
                </c:pt>
                <c:pt idx="68">
                  <c:v>4.3999999999999997E-2</c:v>
                </c:pt>
                <c:pt idx="69">
                  <c:v>6.4000000000000001E-2</c:v>
                </c:pt>
                <c:pt idx="70">
                  <c:v>0.06</c:v>
                </c:pt>
                <c:pt idx="71">
                  <c:v>5.6000000000000001E-2</c:v>
                </c:pt>
                <c:pt idx="72">
                  <c:v>2.3E-2</c:v>
                </c:pt>
                <c:pt idx="73">
                  <c:v>0.28000000000000003</c:v>
                </c:pt>
                <c:pt idx="74">
                  <c:v>1.6E-2</c:v>
                </c:pt>
                <c:pt idx="75">
                  <c:v>3.3000000000000002E-2</c:v>
                </c:pt>
                <c:pt idx="76">
                  <c:v>4.4999999999999998E-2</c:v>
                </c:pt>
                <c:pt idx="77">
                  <c:v>3.6999999999999998E-2</c:v>
                </c:pt>
                <c:pt idx="78">
                  <c:v>4.5999999999999999E-2</c:v>
                </c:pt>
                <c:pt idx="79">
                  <c:v>7.4999999999999997E-2</c:v>
                </c:pt>
                <c:pt idx="80">
                  <c:v>5.5E-2</c:v>
                </c:pt>
                <c:pt idx="81">
                  <c:v>0.06</c:v>
                </c:pt>
                <c:pt idx="82">
                  <c:v>3.5000000000000003E-2</c:v>
                </c:pt>
                <c:pt idx="83">
                  <c:v>0.05</c:v>
                </c:pt>
                <c:pt idx="84">
                  <c:v>0.05</c:v>
                </c:pt>
                <c:pt idx="85">
                  <c:v>0.06</c:v>
                </c:pt>
                <c:pt idx="86">
                  <c:v>3.6999999999999998E-2</c:v>
                </c:pt>
                <c:pt idx="87">
                  <c:v>3.5999999999999997E-2</c:v>
                </c:pt>
                <c:pt idx="88">
                  <c:v>9.4E-2</c:v>
                </c:pt>
                <c:pt idx="89">
                  <c:v>5.0999999999999997E-2</c:v>
                </c:pt>
                <c:pt idx="90">
                  <c:v>5.6000000000000001E-2</c:v>
                </c:pt>
                <c:pt idx="91">
                  <c:v>0.03</c:v>
                </c:pt>
                <c:pt idx="92">
                  <c:v>7.3999999999999996E-2</c:v>
                </c:pt>
                <c:pt idx="93">
                  <c:v>3.3000000000000002E-2</c:v>
                </c:pt>
                <c:pt idx="94">
                  <c:v>1.7999999999999999E-2</c:v>
                </c:pt>
                <c:pt idx="95">
                  <c:v>6.6000000000000003E-2</c:v>
                </c:pt>
                <c:pt idx="96">
                  <c:v>3.1E-2</c:v>
                </c:pt>
                <c:pt idx="97">
                  <c:v>2.5999999999999999E-2</c:v>
                </c:pt>
                <c:pt idx="98">
                  <c:v>3.6999999999999998E-2</c:v>
                </c:pt>
                <c:pt idx="99">
                  <c:v>2.5999999999999999E-2</c:v>
                </c:pt>
                <c:pt idx="100">
                  <c:v>3.1E-2</c:v>
                </c:pt>
                <c:pt idx="101">
                  <c:v>4.9000000000000002E-2</c:v>
                </c:pt>
                <c:pt idx="102">
                  <c:v>4.1000000000000002E-2</c:v>
                </c:pt>
                <c:pt idx="103">
                  <c:v>2.1999999999999999E-2</c:v>
                </c:pt>
                <c:pt idx="104">
                  <c:v>1.4E-2</c:v>
                </c:pt>
                <c:pt idx="105">
                  <c:v>3.6999999999999998E-2</c:v>
                </c:pt>
                <c:pt idx="106">
                  <c:v>4.5999999999999999E-2</c:v>
                </c:pt>
                <c:pt idx="107">
                  <c:v>0.04</c:v>
                </c:pt>
                <c:pt idx="108">
                  <c:v>0.11</c:v>
                </c:pt>
                <c:pt idx="109">
                  <c:v>0.09</c:v>
                </c:pt>
                <c:pt idx="110">
                  <c:v>2.9000000000000001E-2</c:v>
                </c:pt>
                <c:pt idx="111">
                  <c:v>2.5000000000000001E-2</c:v>
                </c:pt>
                <c:pt idx="112">
                  <c:v>3.2000000000000001E-2</c:v>
                </c:pt>
                <c:pt idx="113">
                  <c:v>3.5999999999999997E-2</c:v>
                </c:pt>
                <c:pt idx="114">
                  <c:v>2.3E-2</c:v>
                </c:pt>
                <c:pt idx="115">
                  <c:v>2.3E-2</c:v>
                </c:pt>
                <c:pt idx="116">
                  <c:v>2.1000000000000001E-2</c:v>
                </c:pt>
                <c:pt idx="117">
                  <c:v>3.9E-2</c:v>
                </c:pt>
                <c:pt idx="118">
                  <c:v>0.03</c:v>
                </c:pt>
                <c:pt idx="119">
                  <c:v>0.02</c:v>
                </c:pt>
                <c:pt idx="120">
                  <c:v>4.2000000000000003E-2</c:v>
                </c:pt>
                <c:pt idx="121">
                  <c:v>3.1E-2</c:v>
                </c:pt>
                <c:pt idx="122">
                  <c:v>0.1</c:v>
                </c:pt>
                <c:pt idx="123">
                  <c:v>5.7000000000000002E-2</c:v>
                </c:pt>
                <c:pt idx="124">
                  <c:v>2.8000000000000001E-2</c:v>
                </c:pt>
                <c:pt idx="125">
                  <c:v>2.1000000000000001E-2</c:v>
                </c:pt>
                <c:pt idx="126">
                  <c:v>2.5999999999999999E-2</c:v>
                </c:pt>
                <c:pt idx="127">
                  <c:v>1.4999999999999999E-2</c:v>
                </c:pt>
                <c:pt idx="128">
                  <c:v>5.6000000000000001E-2</c:v>
                </c:pt>
                <c:pt idx="129">
                  <c:v>3.7999999999999999E-2</c:v>
                </c:pt>
                <c:pt idx="130">
                  <c:v>4.5999999999999999E-2</c:v>
                </c:pt>
                <c:pt idx="131">
                  <c:v>6.6000000000000003E-2</c:v>
                </c:pt>
                <c:pt idx="132">
                  <c:v>5.1999999999999998E-2</c:v>
                </c:pt>
                <c:pt idx="133">
                  <c:v>0.04</c:v>
                </c:pt>
                <c:pt idx="134">
                  <c:v>2.1999999999999999E-2</c:v>
                </c:pt>
                <c:pt idx="135">
                  <c:v>2.1000000000000001E-2</c:v>
                </c:pt>
                <c:pt idx="136">
                  <c:v>2.7E-2</c:v>
                </c:pt>
                <c:pt idx="137">
                  <c:v>2.1999999999999999E-2</c:v>
                </c:pt>
                <c:pt idx="138">
                  <c:v>3.9E-2</c:v>
                </c:pt>
                <c:pt idx="139">
                  <c:v>8.7999999999999995E-2</c:v>
                </c:pt>
                <c:pt idx="140">
                  <c:v>2.9000000000000001E-2</c:v>
                </c:pt>
                <c:pt idx="141">
                  <c:v>2.8000000000000001E-2</c:v>
                </c:pt>
                <c:pt idx="142">
                  <c:v>0.12</c:v>
                </c:pt>
                <c:pt idx="143">
                  <c:v>2.5999999999999999E-2</c:v>
                </c:pt>
                <c:pt idx="144">
                  <c:v>2.1999999999999999E-2</c:v>
                </c:pt>
                <c:pt idx="145">
                  <c:v>2.3E-2</c:v>
                </c:pt>
                <c:pt idx="146">
                  <c:v>5.6000000000000001E-2</c:v>
                </c:pt>
                <c:pt idx="147">
                  <c:v>8.3000000000000004E-2</c:v>
                </c:pt>
                <c:pt idx="148">
                  <c:v>5.3999999999999999E-2</c:v>
                </c:pt>
                <c:pt idx="149">
                  <c:v>4.2000000000000003E-2</c:v>
                </c:pt>
                <c:pt idx="150">
                  <c:v>2.1000000000000001E-2</c:v>
                </c:pt>
                <c:pt idx="151">
                  <c:v>5.1999999999999998E-2</c:v>
                </c:pt>
                <c:pt idx="152">
                  <c:v>3.4000000000000002E-2</c:v>
                </c:pt>
                <c:pt idx="153">
                  <c:v>5.6000000000000001E-2</c:v>
                </c:pt>
                <c:pt idx="154">
                  <c:v>8.3000000000000004E-2</c:v>
                </c:pt>
                <c:pt idx="155">
                  <c:v>1.9E-2</c:v>
                </c:pt>
                <c:pt idx="156">
                  <c:v>0.04</c:v>
                </c:pt>
                <c:pt idx="157">
                  <c:v>2.4E-2</c:v>
                </c:pt>
                <c:pt idx="158">
                  <c:v>3.9E-2</c:v>
                </c:pt>
                <c:pt idx="159">
                  <c:v>8.4000000000000005E-2</c:v>
                </c:pt>
                <c:pt idx="160">
                  <c:v>4.8000000000000001E-2</c:v>
                </c:pt>
                <c:pt idx="161">
                  <c:v>0.08</c:v>
                </c:pt>
                <c:pt idx="162">
                  <c:v>9.9000000000000005E-2</c:v>
                </c:pt>
                <c:pt idx="163">
                  <c:v>1.4999999999999999E-2</c:v>
                </c:pt>
                <c:pt idx="164">
                  <c:v>4.8000000000000001E-2</c:v>
                </c:pt>
                <c:pt idx="165">
                  <c:v>2.1999999999999999E-2</c:v>
                </c:pt>
                <c:pt idx="166">
                  <c:v>5.1999999999999998E-2</c:v>
                </c:pt>
                <c:pt idx="167">
                  <c:v>6.0999999999999999E-2</c:v>
                </c:pt>
                <c:pt idx="168">
                  <c:v>2.1000000000000001E-2</c:v>
                </c:pt>
                <c:pt idx="169">
                  <c:v>3.7999999999999999E-2</c:v>
                </c:pt>
                <c:pt idx="170">
                  <c:v>2.8000000000000001E-2</c:v>
                </c:pt>
                <c:pt idx="171">
                  <c:v>7.2999999999999995E-2</c:v>
                </c:pt>
                <c:pt idx="172">
                  <c:v>2.9000000000000001E-2</c:v>
                </c:pt>
                <c:pt idx="173">
                  <c:v>5.8999999999999997E-2</c:v>
                </c:pt>
                <c:pt idx="174">
                  <c:v>6.8000000000000005E-2</c:v>
                </c:pt>
              </c:numCache>
            </c:numRef>
          </c:yVal>
          <c:smooth val="0"/>
          <c:extLst>
            <c:ext xmlns:c16="http://schemas.microsoft.com/office/drawing/2014/chart" uri="{C3380CC4-5D6E-409C-BE32-E72D297353CC}">
              <c16:uniqueId val="{00000000-C9FF-4756-B269-C74A670DFD20}"/>
            </c:ext>
          </c:extLst>
        </c:ser>
        <c:ser>
          <c:idx val="2"/>
          <c:order val="1"/>
          <c:tx>
            <c:strRef>
              <c:f>'San Juan'!$AU$13</c:f>
              <c:strCache>
                <c:ptCount val="1"/>
                <c:pt idx="0">
                  <c:v>Snowment 2016</c:v>
                </c:pt>
              </c:strCache>
            </c:strRef>
          </c:tx>
          <c:spPr>
            <a:ln w="25400" cap="rnd">
              <a:noFill/>
              <a:round/>
            </a:ln>
            <a:effectLst/>
          </c:spPr>
          <c:marker>
            <c:symbol val="triangle"/>
            <c:size val="7"/>
            <c:spPr>
              <a:solidFill>
                <a:schemeClr val="accent2">
                  <a:lumMod val="60000"/>
                  <a:lumOff val="40000"/>
                </a:schemeClr>
              </a:solidFill>
              <a:ln w="9525">
                <a:solidFill>
                  <a:schemeClr val="accent2">
                    <a:lumMod val="75000"/>
                  </a:schemeClr>
                </a:solidFill>
              </a:ln>
              <a:effectLst/>
            </c:spPr>
          </c:marker>
          <c:xVal>
            <c:numRef>
              <c:f>'San Juan'!$AI$181:$AI$185</c:f>
              <c:numCache>
                <c:formatCode>General</c:formatCode>
                <c:ptCount val="5"/>
                <c:pt idx="0">
                  <c:v>12000</c:v>
                </c:pt>
                <c:pt idx="1">
                  <c:v>9500</c:v>
                </c:pt>
                <c:pt idx="2">
                  <c:v>14000</c:v>
                </c:pt>
                <c:pt idx="3">
                  <c:v>11000</c:v>
                </c:pt>
                <c:pt idx="4">
                  <c:v>10000</c:v>
                </c:pt>
              </c:numCache>
            </c:numRef>
          </c:xVal>
          <c:yVal>
            <c:numRef>
              <c:f>'San Juan'!$AG$181:$AG$185</c:f>
              <c:numCache>
                <c:formatCode>General</c:formatCode>
                <c:ptCount val="5"/>
                <c:pt idx="0">
                  <c:v>0.39</c:v>
                </c:pt>
                <c:pt idx="1">
                  <c:v>0.21</c:v>
                </c:pt>
                <c:pt idx="2">
                  <c:v>0.46</c:v>
                </c:pt>
                <c:pt idx="3">
                  <c:v>0.21</c:v>
                </c:pt>
                <c:pt idx="4">
                  <c:v>0.16</c:v>
                </c:pt>
              </c:numCache>
            </c:numRef>
          </c:yVal>
          <c:smooth val="0"/>
          <c:extLst>
            <c:ext xmlns:c16="http://schemas.microsoft.com/office/drawing/2014/chart" uri="{C3380CC4-5D6E-409C-BE32-E72D297353CC}">
              <c16:uniqueId val="{00000001-C9FF-4756-B269-C74A670DFD20}"/>
            </c:ext>
          </c:extLst>
        </c:ser>
        <c:dLbls>
          <c:showLegendKey val="0"/>
          <c:showVal val="0"/>
          <c:showCatName val="0"/>
          <c:showSerName val="0"/>
          <c:showPercent val="0"/>
          <c:showBubbleSize val="0"/>
        </c:dLbls>
        <c:axId val="1152703992"/>
        <c:axId val="1152704384"/>
      </c:scatterChart>
      <c:valAx>
        <c:axId val="1152703992"/>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a:t>Iron Concentration (mg/kg)</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52704384"/>
        <c:crosses val="autoZero"/>
        <c:crossBetween val="midCat"/>
      </c:valAx>
      <c:valAx>
        <c:axId val="1152704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a:t>Cadmium Concentration (mg/kg)</a:t>
                </a:r>
              </a:p>
            </c:rich>
          </c:tx>
          <c:layout>
            <c:manualLayout>
              <c:xMode val="edge"/>
              <c:yMode val="edge"/>
              <c:x val="1.9294891168906918E-2"/>
              <c:y val="0.17187485823531318"/>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52703992"/>
        <c:crosses val="autoZero"/>
        <c:crossBetween val="midCat"/>
      </c:valAx>
      <c:spPr>
        <a:noFill/>
        <a:ln>
          <a:noFill/>
        </a:ln>
        <a:effectLst/>
      </c:spPr>
    </c:plotArea>
    <c:legend>
      <c:legendPos val="t"/>
      <c:layout>
        <c:manualLayout>
          <c:xMode val="edge"/>
          <c:yMode val="edge"/>
          <c:x val="0.18278443188607837"/>
          <c:y val="0.1762007452529912"/>
          <c:w val="0.32021742050098873"/>
          <c:h val="0.17824238055739539"/>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chemeClr val="tx1">
                    <a:lumMod val="65000"/>
                    <a:lumOff val="35000"/>
                  </a:schemeClr>
                </a:solidFill>
                <a:latin typeface="+mn-lt"/>
                <a:ea typeface="+mn-ea"/>
                <a:cs typeface="+mn-cs"/>
              </a:defRPr>
            </a:pPr>
            <a:r>
              <a:rPr lang="en-US" sz="1300"/>
              <a:t>San Juan Zinc in Relation to Iron</a:t>
            </a:r>
          </a:p>
        </c:rich>
      </c:tx>
      <c:layout>
        <c:manualLayout>
          <c:xMode val="edge"/>
          <c:yMode val="edge"/>
          <c:x val="0.30290354421555227"/>
          <c:y val="3.311298807155471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6576413282392238"/>
          <c:y val="0.13601713880958277"/>
          <c:w val="0.74968755084191485"/>
          <c:h val="0.64850317876247709"/>
        </c:manualLayout>
      </c:layout>
      <c:scatterChart>
        <c:scatterStyle val="lineMarker"/>
        <c:varyColors val="0"/>
        <c:ser>
          <c:idx val="0"/>
          <c:order val="0"/>
          <c:tx>
            <c:strRef>
              <c:f>'San Juan'!$AU$11</c:f>
              <c:strCache>
                <c:ptCount val="1"/>
                <c:pt idx="0">
                  <c:v>Pre-Event</c:v>
                </c:pt>
              </c:strCache>
            </c:strRef>
          </c:tx>
          <c:spPr>
            <a:ln w="25400" cap="rnd">
              <a:noFill/>
              <a:round/>
            </a:ln>
            <a:effectLst/>
          </c:spPr>
          <c:marker>
            <c:symbol val="circle"/>
            <c:size val="6"/>
            <c:spPr>
              <a:solidFill>
                <a:schemeClr val="tx2">
                  <a:lumMod val="40000"/>
                  <a:lumOff val="60000"/>
                </a:schemeClr>
              </a:solidFill>
              <a:ln w="9525">
                <a:solidFill>
                  <a:schemeClr val="tx1">
                    <a:lumMod val="50000"/>
                    <a:lumOff val="50000"/>
                  </a:schemeClr>
                </a:solidFill>
              </a:ln>
              <a:effectLst/>
            </c:spPr>
          </c:marker>
          <c:xVal>
            <c:numRef>
              <c:f>'San Juan'!$AI$201:$AI$220</c:f>
              <c:numCache>
                <c:formatCode>General</c:formatCode>
                <c:ptCount val="20"/>
                <c:pt idx="0">
                  <c:v>210</c:v>
                </c:pt>
                <c:pt idx="1">
                  <c:v>1200</c:v>
                </c:pt>
                <c:pt idx="2">
                  <c:v>800</c:v>
                </c:pt>
                <c:pt idx="3">
                  <c:v>1300</c:v>
                </c:pt>
                <c:pt idx="4">
                  <c:v>1800</c:v>
                </c:pt>
                <c:pt idx="5">
                  <c:v>2600</c:v>
                </c:pt>
                <c:pt idx="6">
                  <c:v>4400</c:v>
                </c:pt>
                <c:pt idx="7">
                  <c:v>6300</c:v>
                </c:pt>
                <c:pt idx="8">
                  <c:v>2900</c:v>
                </c:pt>
                <c:pt idx="9">
                  <c:v>2900</c:v>
                </c:pt>
                <c:pt idx="10">
                  <c:v>3800</c:v>
                </c:pt>
                <c:pt idx="11">
                  <c:v>8900</c:v>
                </c:pt>
                <c:pt idx="12">
                  <c:v>26000</c:v>
                </c:pt>
                <c:pt idx="13">
                  <c:v>630</c:v>
                </c:pt>
                <c:pt idx="14">
                  <c:v>11000</c:v>
                </c:pt>
                <c:pt idx="15">
                  <c:v>13093</c:v>
                </c:pt>
                <c:pt idx="16">
                  <c:v>7326</c:v>
                </c:pt>
                <c:pt idx="17">
                  <c:v>1308</c:v>
                </c:pt>
                <c:pt idx="19">
                  <c:v>9600</c:v>
                </c:pt>
              </c:numCache>
            </c:numRef>
          </c:xVal>
          <c:yVal>
            <c:numRef>
              <c:f>'San Juan'!$AL$201:$AL$220</c:f>
              <c:numCache>
                <c:formatCode>General</c:formatCode>
                <c:ptCount val="20"/>
                <c:pt idx="0">
                  <c:v>10</c:v>
                </c:pt>
                <c:pt idx="1">
                  <c:v>26</c:v>
                </c:pt>
                <c:pt idx="2">
                  <c:v>16</c:v>
                </c:pt>
                <c:pt idx="3">
                  <c:v>19</c:v>
                </c:pt>
                <c:pt idx="4">
                  <c:v>24</c:v>
                </c:pt>
                <c:pt idx="5">
                  <c:v>19</c:v>
                </c:pt>
                <c:pt idx="6">
                  <c:v>40</c:v>
                </c:pt>
                <c:pt idx="7">
                  <c:v>28</c:v>
                </c:pt>
                <c:pt idx="8">
                  <c:v>29</c:v>
                </c:pt>
                <c:pt idx="9">
                  <c:v>18</c:v>
                </c:pt>
                <c:pt idx="10">
                  <c:v>26</c:v>
                </c:pt>
                <c:pt idx="11">
                  <c:v>62</c:v>
                </c:pt>
                <c:pt idx="12">
                  <c:v>22</c:v>
                </c:pt>
                <c:pt idx="13">
                  <c:v>13</c:v>
                </c:pt>
                <c:pt idx="14">
                  <c:v>36</c:v>
                </c:pt>
                <c:pt idx="15">
                  <c:v>45</c:v>
                </c:pt>
                <c:pt idx="16">
                  <c:v>23</c:v>
                </c:pt>
                <c:pt idx="17">
                  <c:v>6.36</c:v>
                </c:pt>
                <c:pt idx="19">
                  <c:v>40</c:v>
                </c:pt>
              </c:numCache>
            </c:numRef>
          </c:yVal>
          <c:smooth val="0"/>
          <c:extLst>
            <c:ext xmlns:c16="http://schemas.microsoft.com/office/drawing/2014/chart" uri="{C3380CC4-5D6E-409C-BE32-E72D297353CC}">
              <c16:uniqueId val="{00000000-6AB8-4AC6-97AD-C06EE30C37E0}"/>
            </c:ext>
          </c:extLst>
        </c:ser>
        <c:ser>
          <c:idx val="1"/>
          <c:order val="1"/>
          <c:tx>
            <c:strRef>
              <c:f>'San Juan'!$AU$12</c:f>
              <c:strCache>
                <c:ptCount val="1"/>
                <c:pt idx="0">
                  <c:v>Fall 2015</c:v>
                </c:pt>
              </c:strCache>
            </c:strRef>
          </c:tx>
          <c:spPr>
            <a:ln w="25400" cap="rnd">
              <a:noFill/>
              <a:round/>
            </a:ln>
            <a:effectLst/>
          </c:spPr>
          <c:marker>
            <c:symbol val="square"/>
            <c:size val="5"/>
            <c:spPr>
              <a:noFill/>
              <a:ln w="9525">
                <a:solidFill>
                  <a:schemeClr val="accent2">
                    <a:lumMod val="50000"/>
                  </a:schemeClr>
                </a:solidFill>
              </a:ln>
              <a:effectLst/>
            </c:spPr>
          </c:marker>
          <c:xVal>
            <c:numRef>
              <c:f>'San Juan'!$AI$6:$AI$180</c:f>
              <c:numCache>
                <c:formatCode>General</c:formatCode>
                <c:ptCount val="175"/>
                <c:pt idx="0">
                  <c:v>5200</c:v>
                </c:pt>
                <c:pt idx="1">
                  <c:v>4300</c:v>
                </c:pt>
                <c:pt idx="2">
                  <c:v>6900</c:v>
                </c:pt>
                <c:pt idx="3">
                  <c:v>7100</c:v>
                </c:pt>
                <c:pt idx="4">
                  <c:v>5000</c:v>
                </c:pt>
                <c:pt idx="5">
                  <c:v>6100</c:v>
                </c:pt>
                <c:pt idx="6">
                  <c:v>14000</c:v>
                </c:pt>
                <c:pt idx="7">
                  <c:v>18000</c:v>
                </c:pt>
                <c:pt idx="8">
                  <c:v>15000</c:v>
                </c:pt>
                <c:pt idx="9">
                  <c:v>7700</c:v>
                </c:pt>
                <c:pt idx="10">
                  <c:v>6200</c:v>
                </c:pt>
                <c:pt idx="11">
                  <c:v>5200</c:v>
                </c:pt>
                <c:pt idx="12">
                  <c:v>6700</c:v>
                </c:pt>
                <c:pt idx="13">
                  <c:v>7600</c:v>
                </c:pt>
                <c:pt idx="14">
                  <c:v>7100</c:v>
                </c:pt>
                <c:pt idx="15">
                  <c:v>14000</c:v>
                </c:pt>
                <c:pt idx="16">
                  <c:v>7600</c:v>
                </c:pt>
                <c:pt idx="17">
                  <c:v>16000</c:v>
                </c:pt>
                <c:pt idx="18">
                  <c:v>5800</c:v>
                </c:pt>
                <c:pt idx="19">
                  <c:v>8100</c:v>
                </c:pt>
                <c:pt idx="20">
                  <c:v>16000</c:v>
                </c:pt>
                <c:pt idx="21">
                  <c:v>15000</c:v>
                </c:pt>
                <c:pt idx="22">
                  <c:v>8700</c:v>
                </c:pt>
                <c:pt idx="23">
                  <c:v>12000</c:v>
                </c:pt>
                <c:pt idx="24">
                  <c:v>13000</c:v>
                </c:pt>
                <c:pt idx="25">
                  <c:v>11000</c:v>
                </c:pt>
                <c:pt idx="26">
                  <c:v>5900</c:v>
                </c:pt>
                <c:pt idx="27">
                  <c:v>6800</c:v>
                </c:pt>
                <c:pt idx="28">
                  <c:v>12000</c:v>
                </c:pt>
                <c:pt idx="29">
                  <c:v>7100</c:v>
                </c:pt>
                <c:pt idx="30">
                  <c:v>3900</c:v>
                </c:pt>
                <c:pt idx="31">
                  <c:v>6200</c:v>
                </c:pt>
                <c:pt idx="32">
                  <c:v>6200</c:v>
                </c:pt>
                <c:pt idx="33">
                  <c:v>6200</c:v>
                </c:pt>
                <c:pt idx="34">
                  <c:v>6000</c:v>
                </c:pt>
                <c:pt idx="35">
                  <c:v>8700</c:v>
                </c:pt>
                <c:pt idx="36">
                  <c:v>8000</c:v>
                </c:pt>
                <c:pt idx="37">
                  <c:v>6100</c:v>
                </c:pt>
                <c:pt idx="38">
                  <c:v>5700</c:v>
                </c:pt>
                <c:pt idx="39">
                  <c:v>8700</c:v>
                </c:pt>
                <c:pt idx="40">
                  <c:v>8500</c:v>
                </c:pt>
                <c:pt idx="41">
                  <c:v>6900</c:v>
                </c:pt>
                <c:pt idx="42">
                  <c:v>5500</c:v>
                </c:pt>
                <c:pt idx="43">
                  <c:v>5500</c:v>
                </c:pt>
                <c:pt idx="44">
                  <c:v>4200</c:v>
                </c:pt>
                <c:pt idx="45">
                  <c:v>7100</c:v>
                </c:pt>
                <c:pt idx="46">
                  <c:v>11000</c:v>
                </c:pt>
                <c:pt idx="47">
                  <c:v>6100</c:v>
                </c:pt>
                <c:pt idx="48">
                  <c:v>7900</c:v>
                </c:pt>
                <c:pt idx="49">
                  <c:v>5400</c:v>
                </c:pt>
                <c:pt idx="50">
                  <c:v>9600</c:v>
                </c:pt>
                <c:pt idx="51">
                  <c:v>4700</c:v>
                </c:pt>
                <c:pt idx="52">
                  <c:v>11000</c:v>
                </c:pt>
                <c:pt idx="53">
                  <c:v>5500</c:v>
                </c:pt>
                <c:pt idx="54">
                  <c:v>9900</c:v>
                </c:pt>
                <c:pt idx="55">
                  <c:v>4800</c:v>
                </c:pt>
                <c:pt idx="56">
                  <c:v>11000</c:v>
                </c:pt>
                <c:pt idx="57">
                  <c:v>8400</c:v>
                </c:pt>
                <c:pt idx="58">
                  <c:v>5400</c:v>
                </c:pt>
                <c:pt idx="59">
                  <c:v>8400</c:v>
                </c:pt>
                <c:pt idx="60">
                  <c:v>6700</c:v>
                </c:pt>
                <c:pt idx="61">
                  <c:v>5000</c:v>
                </c:pt>
                <c:pt idx="62">
                  <c:v>5100</c:v>
                </c:pt>
                <c:pt idx="63">
                  <c:v>4000</c:v>
                </c:pt>
                <c:pt idx="64">
                  <c:v>9700</c:v>
                </c:pt>
                <c:pt idx="65">
                  <c:v>5900</c:v>
                </c:pt>
                <c:pt idx="66">
                  <c:v>7600</c:v>
                </c:pt>
                <c:pt idx="67">
                  <c:v>6600</c:v>
                </c:pt>
                <c:pt idx="68">
                  <c:v>5200</c:v>
                </c:pt>
                <c:pt idx="69">
                  <c:v>6500</c:v>
                </c:pt>
                <c:pt idx="70">
                  <c:v>6100</c:v>
                </c:pt>
                <c:pt idx="71">
                  <c:v>4000</c:v>
                </c:pt>
                <c:pt idx="72">
                  <c:v>4500</c:v>
                </c:pt>
                <c:pt idx="73">
                  <c:v>9900</c:v>
                </c:pt>
                <c:pt idx="74">
                  <c:v>5000</c:v>
                </c:pt>
                <c:pt idx="75">
                  <c:v>5000</c:v>
                </c:pt>
                <c:pt idx="76">
                  <c:v>4900</c:v>
                </c:pt>
                <c:pt idx="77">
                  <c:v>6300</c:v>
                </c:pt>
                <c:pt idx="78">
                  <c:v>5400</c:v>
                </c:pt>
                <c:pt idx="79">
                  <c:v>6000</c:v>
                </c:pt>
                <c:pt idx="80">
                  <c:v>6800</c:v>
                </c:pt>
                <c:pt idx="81">
                  <c:v>6100</c:v>
                </c:pt>
                <c:pt idx="82">
                  <c:v>5600</c:v>
                </c:pt>
                <c:pt idx="83">
                  <c:v>8400</c:v>
                </c:pt>
                <c:pt idx="84">
                  <c:v>4900</c:v>
                </c:pt>
                <c:pt idx="85">
                  <c:v>6200</c:v>
                </c:pt>
                <c:pt idx="86">
                  <c:v>7100</c:v>
                </c:pt>
                <c:pt idx="87">
                  <c:v>7300</c:v>
                </c:pt>
                <c:pt idx="88">
                  <c:v>14000</c:v>
                </c:pt>
                <c:pt idx="89">
                  <c:v>8000</c:v>
                </c:pt>
                <c:pt idx="90">
                  <c:v>11000</c:v>
                </c:pt>
                <c:pt idx="91">
                  <c:v>6200</c:v>
                </c:pt>
                <c:pt idx="92">
                  <c:v>9000</c:v>
                </c:pt>
                <c:pt idx="93">
                  <c:v>5100</c:v>
                </c:pt>
                <c:pt idx="94">
                  <c:v>3500</c:v>
                </c:pt>
                <c:pt idx="95">
                  <c:v>6700</c:v>
                </c:pt>
                <c:pt idx="96">
                  <c:v>5100</c:v>
                </c:pt>
                <c:pt idx="97">
                  <c:v>3600</c:v>
                </c:pt>
                <c:pt idx="98">
                  <c:v>5800</c:v>
                </c:pt>
                <c:pt idx="99">
                  <c:v>3000</c:v>
                </c:pt>
                <c:pt idx="100">
                  <c:v>4200</c:v>
                </c:pt>
                <c:pt idx="101">
                  <c:v>8600</c:v>
                </c:pt>
                <c:pt idx="102">
                  <c:v>3500</c:v>
                </c:pt>
                <c:pt idx="103">
                  <c:v>4800</c:v>
                </c:pt>
                <c:pt idx="104">
                  <c:v>2800</c:v>
                </c:pt>
                <c:pt idx="105">
                  <c:v>5500</c:v>
                </c:pt>
                <c:pt idx="106">
                  <c:v>5000</c:v>
                </c:pt>
                <c:pt idx="107">
                  <c:v>6100</c:v>
                </c:pt>
                <c:pt idx="108">
                  <c:v>6400</c:v>
                </c:pt>
                <c:pt idx="109">
                  <c:v>6200</c:v>
                </c:pt>
                <c:pt idx="110">
                  <c:v>5300</c:v>
                </c:pt>
                <c:pt idx="111">
                  <c:v>4600</c:v>
                </c:pt>
                <c:pt idx="112">
                  <c:v>5200</c:v>
                </c:pt>
                <c:pt idx="113">
                  <c:v>3900</c:v>
                </c:pt>
                <c:pt idx="114">
                  <c:v>4300</c:v>
                </c:pt>
                <c:pt idx="115">
                  <c:v>4400</c:v>
                </c:pt>
                <c:pt idx="116">
                  <c:v>3900</c:v>
                </c:pt>
                <c:pt idx="117">
                  <c:v>4100</c:v>
                </c:pt>
                <c:pt idx="118">
                  <c:v>4100</c:v>
                </c:pt>
                <c:pt idx="119">
                  <c:v>3500</c:v>
                </c:pt>
                <c:pt idx="120">
                  <c:v>5000</c:v>
                </c:pt>
                <c:pt idx="121">
                  <c:v>3600</c:v>
                </c:pt>
                <c:pt idx="122">
                  <c:v>8900</c:v>
                </c:pt>
                <c:pt idx="123">
                  <c:v>6900</c:v>
                </c:pt>
                <c:pt idx="124">
                  <c:v>4700</c:v>
                </c:pt>
                <c:pt idx="125">
                  <c:v>3800</c:v>
                </c:pt>
                <c:pt idx="126">
                  <c:v>5300</c:v>
                </c:pt>
                <c:pt idx="127">
                  <c:v>3900</c:v>
                </c:pt>
                <c:pt idx="128">
                  <c:v>6800</c:v>
                </c:pt>
                <c:pt idx="129">
                  <c:v>3900</c:v>
                </c:pt>
                <c:pt idx="130">
                  <c:v>6800</c:v>
                </c:pt>
                <c:pt idx="131">
                  <c:v>8300</c:v>
                </c:pt>
                <c:pt idx="132">
                  <c:v>3900</c:v>
                </c:pt>
                <c:pt idx="133">
                  <c:v>7600</c:v>
                </c:pt>
                <c:pt idx="134">
                  <c:v>3700</c:v>
                </c:pt>
                <c:pt idx="135">
                  <c:v>4200</c:v>
                </c:pt>
                <c:pt idx="136">
                  <c:v>3500</c:v>
                </c:pt>
                <c:pt idx="137">
                  <c:v>4900</c:v>
                </c:pt>
                <c:pt idx="138">
                  <c:v>5400</c:v>
                </c:pt>
                <c:pt idx="139">
                  <c:v>7700</c:v>
                </c:pt>
                <c:pt idx="140">
                  <c:v>3700</c:v>
                </c:pt>
                <c:pt idx="141">
                  <c:v>5300</c:v>
                </c:pt>
                <c:pt idx="142">
                  <c:v>8400</c:v>
                </c:pt>
                <c:pt idx="143">
                  <c:v>2000</c:v>
                </c:pt>
                <c:pt idx="144">
                  <c:v>4900</c:v>
                </c:pt>
                <c:pt idx="145">
                  <c:v>7200</c:v>
                </c:pt>
                <c:pt idx="146">
                  <c:v>10000</c:v>
                </c:pt>
                <c:pt idx="147">
                  <c:v>9300</c:v>
                </c:pt>
                <c:pt idx="148">
                  <c:v>8500</c:v>
                </c:pt>
                <c:pt idx="149">
                  <c:v>6300</c:v>
                </c:pt>
                <c:pt idx="150">
                  <c:v>2800</c:v>
                </c:pt>
                <c:pt idx="151">
                  <c:v>7500</c:v>
                </c:pt>
                <c:pt idx="152">
                  <c:v>5100</c:v>
                </c:pt>
                <c:pt idx="153">
                  <c:v>8400</c:v>
                </c:pt>
                <c:pt idx="154">
                  <c:v>12000</c:v>
                </c:pt>
                <c:pt idx="155">
                  <c:v>2500</c:v>
                </c:pt>
                <c:pt idx="156">
                  <c:v>6200</c:v>
                </c:pt>
                <c:pt idx="157">
                  <c:v>4900</c:v>
                </c:pt>
                <c:pt idx="158">
                  <c:v>5000</c:v>
                </c:pt>
                <c:pt idx="159">
                  <c:v>9700</c:v>
                </c:pt>
                <c:pt idx="160">
                  <c:v>5700</c:v>
                </c:pt>
                <c:pt idx="161">
                  <c:v>8100</c:v>
                </c:pt>
                <c:pt idx="162">
                  <c:v>8300</c:v>
                </c:pt>
                <c:pt idx="163">
                  <c:v>3900</c:v>
                </c:pt>
                <c:pt idx="164">
                  <c:v>9900</c:v>
                </c:pt>
                <c:pt idx="165">
                  <c:v>3600</c:v>
                </c:pt>
                <c:pt idx="166">
                  <c:v>6500</c:v>
                </c:pt>
                <c:pt idx="167">
                  <c:v>6700</c:v>
                </c:pt>
                <c:pt idx="168">
                  <c:v>3100</c:v>
                </c:pt>
                <c:pt idx="169">
                  <c:v>7600</c:v>
                </c:pt>
                <c:pt idx="170">
                  <c:v>7000</c:v>
                </c:pt>
                <c:pt idx="171">
                  <c:v>7800</c:v>
                </c:pt>
                <c:pt idx="172">
                  <c:v>5000</c:v>
                </c:pt>
                <c:pt idx="173">
                  <c:v>9400</c:v>
                </c:pt>
                <c:pt idx="174">
                  <c:v>9300</c:v>
                </c:pt>
              </c:numCache>
            </c:numRef>
          </c:xVal>
          <c:yVal>
            <c:numRef>
              <c:f>'San Juan'!$AL$6:$AL$180</c:f>
              <c:numCache>
                <c:formatCode>General</c:formatCode>
                <c:ptCount val="175"/>
                <c:pt idx="0">
                  <c:v>15</c:v>
                </c:pt>
                <c:pt idx="1">
                  <c:v>13</c:v>
                </c:pt>
                <c:pt idx="2">
                  <c:v>18</c:v>
                </c:pt>
                <c:pt idx="3">
                  <c:v>19</c:v>
                </c:pt>
                <c:pt idx="4">
                  <c:v>11</c:v>
                </c:pt>
                <c:pt idx="5">
                  <c:v>14</c:v>
                </c:pt>
                <c:pt idx="6">
                  <c:v>37</c:v>
                </c:pt>
                <c:pt idx="7">
                  <c:v>47</c:v>
                </c:pt>
                <c:pt idx="8">
                  <c:v>28</c:v>
                </c:pt>
                <c:pt idx="9">
                  <c:v>22</c:v>
                </c:pt>
                <c:pt idx="10">
                  <c:v>20</c:v>
                </c:pt>
                <c:pt idx="11">
                  <c:v>32</c:v>
                </c:pt>
                <c:pt idx="12">
                  <c:v>26</c:v>
                </c:pt>
                <c:pt idx="13">
                  <c:v>30</c:v>
                </c:pt>
                <c:pt idx="14">
                  <c:v>18</c:v>
                </c:pt>
                <c:pt idx="15">
                  <c:v>44</c:v>
                </c:pt>
                <c:pt idx="16">
                  <c:v>28</c:v>
                </c:pt>
                <c:pt idx="17">
                  <c:v>36</c:v>
                </c:pt>
                <c:pt idx="18">
                  <c:v>28</c:v>
                </c:pt>
                <c:pt idx="19">
                  <c:v>23</c:v>
                </c:pt>
                <c:pt idx="20">
                  <c:v>74</c:v>
                </c:pt>
                <c:pt idx="21">
                  <c:v>51</c:v>
                </c:pt>
                <c:pt idx="22">
                  <c:v>21</c:v>
                </c:pt>
                <c:pt idx="23">
                  <c:v>28</c:v>
                </c:pt>
                <c:pt idx="24">
                  <c:v>76</c:v>
                </c:pt>
                <c:pt idx="25">
                  <c:v>33</c:v>
                </c:pt>
                <c:pt idx="26">
                  <c:v>15</c:v>
                </c:pt>
                <c:pt idx="27">
                  <c:v>23</c:v>
                </c:pt>
                <c:pt idx="28">
                  <c:v>43</c:v>
                </c:pt>
                <c:pt idx="29">
                  <c:v>23</c:v>
                </c:pt>
                <c:pt idx="30">
                  <c:v>17</c:v>
                </c:pt>
                <c:pt idx="31">
                  <c:v>18</c:v>
                </c:pt>
                <c:pt idx="32">
                  <c:v>16</c:v>
                </c:pt>
                <c:pt idx="33">
                  <c:v>15</c:v>
                </c:pt>
                <c:pt idx="34">
                  <c:v>14</c:v>
                </c:pt>
                <c:pt idx="35">
                  <c:v>22</c:v>
                </c:pt>
                <c:pt idx="36">
                  <c:v>24</c:v>
                </c:pt>
                <c:pt idx="37">
                  <c:v>15</c:v>
                </c:pt>
                <c:pt idx="38">
                  <c:v>18</c:v>
                </c:pt>
                <c:pt idx="39">
                  <c:v>38</c:v>
                </c:pt>
                <c:pt idx="40">
                  <c:v>23</c:v>
                </c:pt>
                <c:pt idx="41">
                  <c:v>13</c:v>
                </c:pt>
                <c:pt idx="42">
                  <c:v>20</c:v>
                </c:pt>
                <c:pt idx="43">
                  <c:v>21</c:v>
                </c:pt>
                <c:pt idx="44">
                  <c:v>14</c:v>
                </c:pt>
                <c:pt idx="45">
                  <c:v>24</c:v>
                </c:pt>
                <c:pt idx="46">
                  <c:v>48</c:v>
                </c:pt>
                <c:pt idx="47">
                  <c:v>14</c:v>
                </c:pt>
                <c:pt idx="48">
                  <c:v>42</c:v>
                </c:pt>
                <c:pt idx="49">
                  <c:v>18</c:v>
                </c:pt>
                <c:pt idx="50">
                  <c:v>73</c:v>
                </c:pt>
                <c:pt idx="51">
                  <c:v>13</c:v>
                </c:pt>
                <c:pt idx="52">
                  <c:v>75</c:v>
                </c:pt>
                <c:pt idx="53">
                  <c:v>14</c:v>
                </c:pt>
                <c:pt idx="54">
                  <c:v>110</c:v>
                </c:pt>
                <c:pt idx="55">
                  <c:v>13</c:v>
                </c:pt>
                <c:pt idx="56">
                  <c:v>93</c:v>
                </c:pt>
                <c:pt idx="57">
                  <c:v>36</c:v>
                </c:pt>
                <c:pt idx="58">
                  <c:v>13</c:v>
                </c:pt>
                <c:pt idx="59">
                  <c:v>8.6999999999999993</c:v>
                </c:pt>
                <c:pt idx="60">
                  <c:v>16</c:v>
                </c:pt>
                <c:pt idx="61">
                  <c:v>15</c:v>
                </c:pt>
                <c:pt idx="62">
                  <c:v>11</c:v>
                </c:pt>
                <c:pt idx="63">
                  <c:v>6.9</c:v>
                </c:pt>
                <c:pt idx="64">
                  <c:v>37</c:v>
                </c:pt>
                <c:pt idx="65">
                  <c:v>23</c:v>
                </c:pt>
                <c:pt idx="66">
                  <c:v>30</c:v>
                </c:pt>
                <c:pt idx="67">
                  <c:v>22</c:v>
                </c:pt>
                <c:pt idx="68">
                  <c:v>9.8000000000000007</c:v>
                </c:pt>
                <c:pt idx="69">
                  <c:v>22</c:v>
                </c:pt>
                <c:pt idx="70">
                  <c:v>25</c:v>
                </c:pt>
                <c:pt idx="71">
                  <c:v>21</c:v>
                </c:pt>
                <c:pt idx="72">
                  <c:v>12</c:v>
                </c:pt>
                <c:pt idx="73">
                  <c:v>120</c:v>
                </c:pt>
                <c:pt idx="74">
                  <c:v>7.6</c:v>
                </c:pt>
                <c:pt idx="75">
                  <c:v>14</c:v>
                </c:pt>
                <c:pt idx="76">
                  <c:v>16</c:v>
                </c:pt>
                <c:pt idx="77">
                  <c:v>15</c:v>
                </c:pt>
                <c:pt idx="78">
                  <c:v>16</c:v>
                </c:pt>
                <c:pt idx="79">
                  <c:v>22</c:v>
                </c:pt>
                <c:pt idx="80">
                  <c:v>22</c:v>
                </c:pt>
                <c:pt idx="81">
                  <c:v>33</c:v>
                </c:pt>
                <c:pt idx="82">
                  <c:v>14</c:v>
                </c:pt>
                <c:pt idx="83">
                  <c:v>21</c:v>
                </c:pt>
                <c:pt idx="84">
                  <c:v>20</c:v>
                </c:pt>
                <c:pt idx="85">
                  <c:v>30</c:v>
                </c:pt>
                <c:pt idx="86">
                  <c:v>19</c:v>
                </c:pt>
                <c:pt idx="87">
                  <c:v>20</c:v>
                </c:pt>
                <c:pt idx="88">
                  <c:v>39</c:v>
                </c:pt>
                <c:pt idx="89">
                  <c:v>23</c:v>
                </c:pt>
                <c:pt idx="90">
                  <c:v>32</c:v>
                </c:pt>
                <c:pt idx="91">
                  <c:v>12</c:v>
                </c:pt>
                <c:pt idx="92">
                  <c:v>30</c:v>
                </c:pt>
                <c:pt idx="93">
                  <c:v>14</c:v>
                </c:pt>
                <c:pt idx="94">
                  <c:v>13</c:v>
                </c:pt>
                <c:pt idx="95">
                  <c:v>22</c:v>
                </c:pt>
                <c:pt idx="96">
                  <c:v>13</c:v>
                </c:pt>
                <c:pt idx="97">
                  <c:v>16</c:v>
                </c:pt>
                <c:pt idx="98">
                  <c:v>17</c:v>
                </c:pt>
                <c:pt idx="99">
                  <c:v>14</c:v>
                </c:pt>
                <c:pt idx="100">
                  <c:v>19</c:v>
                </c:pt>
                <c:pt idx="101">
                  <c:v>23</c:v>
                </c:pt>
                <c:pt idx="102">
                  <c:v>16</c:v>
                </c:pt>
                <c:pt idx="103">
                  <c:v>17</c:v>
                </c:pt>
                <c:pt idx="104">
                  <c:v>14</c:v>
                </c:pt>
                <c:pt idx="105">
                  <c:v>17</c:v>
                </c:pt>
                <c:pt idx="106">
                  <c:v>21</c:v>
                </c:pt>
                <c:pt idx="107">
                  <c:v>19</c:v>
                </c:pt>
                <c:pt idx="108">
                  <c:v>27</c:v>
                </c:pt>
                <c:pt idx="109">
                  <c:v>32</c:v>
                </c:pt>
                <c:pt idx="110">
                  <c:v>17</c:v>
                </c:pt>
                <c:pt idx="111">
                  <c:v>15</c:v>
                </c:pt>
                <c:pt idx="112">
                  <c:v>13</c:v>
                </c:pt>
                <c:pt idx="113">
                  <c:v>16</c:v>
                </c:pt>
                <c:pt idx="114">
                  <c:v>11</c:v>
                </c:pt>
                <c:pt idx="115">
                  <c:v>16</c:v>
                </c:pt>
                <c:pt idx="116">
                  <c:v>11</c:v>
                </c:pt>
                <c:pt idx="117">
                  <c:v>15</c:v>
                </c:pt>
                <c:pt idx="118">
                  <c:v>11</c:v>
                </c:pt>
                <c:pt idx="119">
                  <c:v>15</c:v>
                </c:pt>
                <c:pt idx="120">
                  <c:v>19</c:v>
                </c:pt>
                <c:pt idx="121">
                  <c:v>14</c:v>
                </c:pt>
                <c:pt idx="122">
                  <c:v>32</c:v>
                </c:pt>
                <c:pt idx="123">
                  <c:v>25</c:v>
                </c:pt>
                <c:pt idx="124">
                  <c:v>13</c:v>
                </c:pt>
                <c:pt idx="125">
                  <c:v>21</c:v>
                </c:pt>
                <c:pt idx="126">
                  <c:v>17</c:v>
                </c:pt>
                <c:pt idx="127">
                  <c:v>11</c:v>
                </c:pt>
                <c:pt idx="128">
                  <c:v>22</c:v>
                </c:pt>
                <c:pt idx="129">
                  <c:v>18</c:v>
                </c:pt>
                <c:pt idx="130">
                  <c:v>20</c:v>
                </c:pt>
                <c:pt idx="131">
                  <c:v>28</c:v>
                </c:pt>
                <c:pt idx="132">
                  <c:v>22</c:v>
                </c:pt>
                <c:pt idx="133">
                  <c:v>21</c:v>
                </c:pt>
                <c:pt idx="134">
                  <c:v>13</c:v>
                </c:pt>
                <c:pt idx="135">
                  <c:v>12</c:v>
                </c:pt>
                <c:pt idx="136">
                  <c:v>14</c:v>
                </c:pt>
                <c:pt idx="137">
                  <c:v>14</c:v>
                </c:pt>
                <c:pt idx="138">
                  <c:v>13</c:v>
                </c:pt>
                <c:pt idx="139">
                  <c:v>33</c:v>
                </c:pt>
                <c:pt idx="140">
                  <c:v>19</c:v>
                </c:pt>
                <c:pt idx="141">
                  <c:v>14</c:v>
                </c:pt>
                <c:pt idx="142">
                  <c:v>37</c:v>
                </c:pt>
                <c:pt idx="143">
                  <c:v>18</c:v>
                </c:pt>
                <c:pt idx="144">
                  <c:v>12</c:v>
                </c:pt>
                <c:pt idx="145">
                  <c:v>11</c:v>
                </c:pt>
                <c:pt idx="146">
                  <c:v>24</c:v>
                </c:pt>
                <c:pt idx="147">
                  <c:v>30</c:v>
                </c:pt>
                <c:pt idx="148">
                  <c:v>24</c:v>
                </c:pt>
                <c:pt idx="149">
                  <c:v>18</c:v>
                </c:pt>
                <c:pt idx="150">
                  <c:v>8.1</c:v>
                </c:pt>
                <c:pt idx="151">
                  <c:v>20</c:v>
                </c:pt>
                <c:pt idx="152">
                  <c:v>14</c:v>
                </c:pt>
                <c:pt idx="153">
                  <c:v>29</c:v>
                </c:pt>
                <c:pt idx="154">
                  <c:v>34</c:v>
                </c:pt>
                <c:pt idx="155">
                  <c:v>14</c:v>
                </c:pt>
                <c:pt idx="156">
                  <c:v>18</c:v>
                </c:pt>
                <c:pt idx="157">
                  <c:v>14</c:v>
                </c:pt>
                <c:pt idx="158">
                  <c:v>18</c:v>
                </c:pt>
                <c:pt idx="159">
                  <c:v>29</c:v>
                </c:pt>
                <c:pt idx="160">
                  <c:v>13</c:v>
                </c:pt>
                <c:pt idx="161">
                  <c:v>23</c:v>
                </c:pt>
                <c:pt idx="162">
                  <c:v>22</c:v>
                </c:pt>
                <c:pt idx="163">
                  <c:v>11</c:v>
                </c:pt>
                <c:pt idx="164">
                  <c:v>20</c:v>
                </c:pt>
                <c:pt idx="165">
                  <c:v>9.6</c:v>
                </c:pt>
                <c:pt idx="166">
                  <c:v>23</c:v>
                </c:pt>
                <c:pt idx="167">
                  <c:v>20</c:v>
                </c:pt>
                <c:pt idx="168">
                  <c:v>8.9</c:v>
                </c:pt>
                <c:pt idx="169">
                  <c:v>16</c:v>
                </c:pt>
                <c:pt idx="170">
                  <c:v>21</c:v>
                </c:pt>
                <c:pt idx="171">
                  <c:v>29</c:v>
                </c:pt>
                <c:pt idx="172">
                  <c:v>10</c:v>
                </c:pt>
                <c:pt idx="173">
                  <c:v>25</c:v>
                </c:pt>
                <c:pt idx="174">
                  <c:v>32</c:v>
                </c:pt>
              </c:numCache>
            </c:numRef>
          </c:yVal>
          <c:smooth val="0"/>
          <c:extLst>
            <c:ext xmlns:c16="http://schemas.microsoft.com/office/drawing/2014/chart" uri="{C3380CC4-5D6E-409C-BE32-E72D297353CC}">
              <c16:uniqueId val="{00000001-6AB8-4AC6-97AD-C06EE30C37E0}"/>
            </c:ext>
          </c:extLst>
        </c:ser>
        <c:ser>
          <c:idx val="2"/>
          <c:order val="2"/>
          <c:tx>
            <c:strRef>
              <c:f>'San Juan'!$AU$13</c:f>
              <c:strCache>
                <c:ptCount val="1"/>
                <c:pt idx="0">
                  <c:v>Snowment 2016</c:v>
                </c:pt>
              </c:strCache>
            </c:strRef>
          </c:tx>
          <c:spPr>
            <a:ln w="25400" cap="rnd">
              <a:noFill/>
              <a:round/>
            </a:ln>
            <a:effectLst/>
          </c:spPr>
          <c:marker>
            <c:symbol val="triangle"/>
            <c:size val="7"/>
            <c:spPr>
              <a:solidFill>
                <a:schemeClr val="accent2">
                  <a:lumMod val="60000"/>
                  <a:lumOff val="40000"/>
                </a:schemeClr>
              </a:solidFill>
              <a:ln w="9525">
                <a:solidFill>
                  <a:schemeClr val="accent2">
                    <a:lumMod val="75000"/>
                  </a:schemeClr>
                </a:solidFill>
              </a:ln>
              <a:effectLst/>
            </c:spPr>
          </c:marker>
          <c:xVal>
            <c:numRef>
              <c:f>'San Juan'!$AI$181:$AI$185</c:f>
              <c:numCache>
                <c:formatCode>General</c:formatCode>
                <c:ptCount val="5"/>
                <c:pt idx="0">
                  <c:v>12000</c:v>
                </c:pt>
                <c:pt idx="1">
                  <c:v>9500</c:v>
                </c:pt>
                <c:pt idx="2">
                  <c:v>14000</c:v>
                </c:pt>
                <c:pt idx="3">
                  <c:v>11000</c:v>
                </c:pt>
                <c:pt idx="4">
                  <c:v>10000</c:v>
                </c:pt>
              </c:numCache>
            </c:numRef>
          </c:xVal>
          <c:yVal>
            <c:numRef>
              <c:f>'San Juan'!$AL$181:$AL$185</c:f>
              <c:numCache>
                <c:formatCode>General</c:formatCode>
                <c:ptCount val="5"/>
                <c:pt idx="0">
                  <c:v>59</c:v>
                </c:pt>
                <c:pt idx="1">
                  <c:v>70</c:v>
                </c:pt>
                <c:pt idx="2">
                  <c:v>150</c:v>
                </c:pt>
                <c:pt idx="3">
                  <c:v>100</c:v>
                </c:pt>
                <c:pt idx="4">
                  <c:v>71</c:v>
                </c:pt>
              </c:numCache>
            </c:numRef>
          </c:yVal>
          <c:smooth val="0"/>
          <c:extLst>
            <c:ext xmlns:c16="http://schemas.microsoft.com/office/drawing/2014/chart" uri="{C3380CC4-5D6E-409C-BE32-E72D297353CC}">
              <c16:uniqueId val="{00000002-6AB8-4AC6-97AD-C06EE30C37E0}"/>
            </c:ext>
          </c:extLst>
        </c:ser>
        <c:dLbls>
          <c:showLegendKey val="0"/>
          <c:showVal val="0"/>
          <c:showCatName val="0"/>
          <c:showSerName val="0"/>
          <c:showPercent val="0"/>
          <c:showBubbleSize val="0"/>
        </c:dLbls>
        <c:axId val="1152710264"/>
        <c:axId val="1152710656"/>
      </c:scatterChart>
      <c:valAx>
        <c:axId val="1152710264"/>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a:t>Iron Concentration (mg/kg)</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en-US"/>
          </a:p>
        </c:txPr>
        <c:crossAx val="1152710656"/>
        <c:crosses val="autoZero"/>
        <c:crossBetween val="midCat"/>
      </c:valAx>
      <c:valAx>
        <c:axId val="11527106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a:t>Zinc Concentration (mg/kg)</a:t>
                </a:r>
              </a:p>
            </c:rich>
          </c:tx>
          <c:layout>
            <c:manualLayout>
              <c:xMode val="edge"/>
              <c:yMode val="edge"/>
              <c:x val="1.9659271437242984E-2"/>
              <c:y val="0.23318666315438744"/>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en-US"/>
          </a:p>
        </c:txPr>
        <c:crossAx val="1152710264"/>
        <c:crosses val="autoZero"/>
        <c:crossBetween val="midCat"/>
      </c:valAx>
      <c:spPr>
        <a:noFill/>
        <a:ln>
          <a:noFill/>
        </a:ln>
        <a:effectLst/>
      </c:spPr>
    </c:plotArea>
    <c:legend>
      <c:legendPos val="t"/>
      <c:layout>
        <c:manualLayout>
          <c:xMode val="edge"/>
          <c:yMode val="edge"/>
          <c:x val="0.59611936289416478"/>
          <c:y val="0.18949856814458479"/>
          <c:w val="0.32021742050098873"/>
          <c:h val="0.25203973842389132"/>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400" b="1"/>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Aluminum (Al)</a:t>
            </a:r>
          </a:p>
        </c:rich>
      </c:tx>
      <c:layout>
        <c:manualLayout>
          <c:xMode val="edge"/>
          <c:yMode val="edge"/>
          <c:x val="0.4219503799936033"/>
          <c:y val="3.1370638797477729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5443150488541874"/>
          <c:y val="0.19169588362520623"/>
          <c:w val="0.75262356911268447"/>
          <c:h val="0.71118095849964691"/>
        </c:manualLayout>
      </c:layout>
      <c:scatterChart>
        <c:scatterStyle val="smoothMarker"/>
        <c:varyColors val="0"/>
        <c:ser>
          <c:idx val="1"/>
          <c:order val="1"/>
          <c:tx>
            <c:strRef>
              <c:f>'Fig 9-23'!$A$15</c:f>
              <c:strCache>
                <c:ptCount val="1"/>
                <c:pt idx="0">
                  <c:v>Bakers Bridge (RK 64)</c:v>
                </c:pt>
              </c:strCache>
            </c:strRef>
          </c:tx>
          <c:spPr>
            <a:ln w="15875" cap="rnd">
              <a:solidFill>
                <a:schemeClr val="accent2"/>
              </a:solidFill>
              <a:prstDash val="sysDash"/>
              <a:round/>
            </a:ln>
            <a:effectLst/>
          </c:spPr>
          <c:marker>
            <c:symbol val="circle"/>
            <c:size val="5"/>
            <c:spPr>
              <a:solidFill>
                <a:srgbClr val="A2362E"/>
              </a:solidFill>
              <a:ln w="9525">
                <a:solidFill>
                  <a:schemeClr val="accent2">
                    <a:lumMod val="75000"/>
                  </a:schemeClr>
                </a:solidFill>
              </a:ln>
              <a:effectLst/>
            </c:spPr>
          </c:marker>
          <c:xVal>
            <c:numRef>
              <c:f>'Fig 9-23'!$B$14:$B$21</c:f>
              <c:numCache>
                <c:formatCode>m/d/yyyy</c:formatCode>
                <c:ptCount val="8"/>
                <c:pt idx="0">
                  <c:v>42493.618055555555</c:v>
                </c:pt>
                <c:pt idx="1">
                  <c:v>42501.469444444447</c:v>
                </c:pt>
                <c:pt idx="2">
                  <c:v>42509.559027777781</c:v>
                </c:pt>
                <c:pt idx="3">
                  <c:v>42516.538194444445</c:v>
                </c:pt>
                <c:pt idx="4">
                  <c:v>42522.538194444445</c:v>
                </c:pt>
                <c:pt idx="5">
                  <c:v>42527.642361111109</c:v>
                </c:pt>
                <c:pt idx="6">
                  <c:v>42528.395833333336</c:v>
                </c:pt>
                <c:pt idx="7">
                  <c:v>42536.5625</c:v>
                </c:pt>
              </c:numCache>
            </c:numRef>
          </c:xVal>
          <c:yVal>
            <c:numRef>
              <c:f>'Fig 9-23'!$D$14:$D$21</c:f>
              <c:numCache>
                <c:formatCode>General</c:formatCode>
                <c:ptCount val="8"/>
                <c:pt idx="0">
                  <c:v>33000</c:v>
                </c:pt>
                <c:pt idx="1">
                  <c:v>18000</c:v>
                </c:pt>
                <c:pt idx="2">
                  <c:v>9100</c:v>
                </c:pt>
                <c:pt idx="3">
                  <c:v>9700</c:v>
                </c:pt>
                <c:pt idx="4">
                  <c:v>11000</c:v>
                </c:pt>
                <c:pt idx="5">
                  <c:v>7500</c:v>
                </c:pt>
                <c:pt idx="6">
                  <c:v>7200</c:v>
                </c:pt>
                <c:pt idx="7">
                  <c:v>6100</c:v>
                </c:pt>
              </c:numCache>
            </c:numRef>
          </c:yVal>
          <c:smooth val="1"/>
          <c:extLst>
            <c:ext xmlns:c16="http://schemas.microsoft.com/office/drawing/2014/chart" uri="{C3380CC4-5D6E-409C-BE32-E72D297353CC}">
              <c16:uniqueId val="{00000000-32E8-4631-98FD-702F1D4E3392}"/>
            </c:ext>
          </c:extLst>
        </c:ser>
        <c:ser>
          <c:idx val="2"/>
          <c:order val="2"/>
          <c:tx>
            <c:strRef>
              <c:f>'Fig 9-23'!$A$26</c:f>
              <c:strCache>
                <c:ptCount val="1"/>
                <c:pt idx="0">
                  <c:v>Durango (RK 94)</c:v>
                </c:pt>
              </c:strCache>
            </c:strRef>
          </c:tx>
          <c:spPr>
            <a:ln w="12700" cap="rnd">
              <a:solidFill>
                <a:srgbClr val="350EA4"/>
              </a:solidFill>
              <a:prstDash val="sysDash"/>
              <a:round/>
            </a:ln>
            <a:effectLst/>
          </c:spPr>
          <c:marker>
            <c:symbol val="triangle"/>
            <c:size val="7"/>
            <c:spPr>
              <a:solidFill>
                <a:srgbClr val="350EA4"/>
              </a:solidFill>
              <a:ln w="9525">
                <a:solidFill>
                  <a:srgbClr val="350EA4"/>
                </a:solidFill>
              </a:ln>
              <a:effectLst/>
            </c:spPr>
          </c:marker>
          <c:xVal>
            <c:numRef>
              <c:f>'Fig 9-23'!$B$26:$B$32</c:f>
              <c:numCache>
                <c:formatCode>m/d/yyyy</c:formatCode>
                <c:ptCount val="7"/>
                <c:pt idx="0">
                  <c:v>42493</c:v>
                </c:pt>
                <c:pt idx="1">
                  <c:v>42501</c:v>
                </c:pt>
                <c:pt idx="2">
                  <c:v>42509</c:v>
                </c:pt>
                <c:pt idx="3">
                  <c:v>42516</c:v>
                </c:pt>
                <c:pt idx="4">
                  <c:v>42522</c:v>
                </c:pt>
                <c:pt idx="5">
                  <c:v>42528</c:v>
                </c:pt>
                <c:pt idx="6">
                  <c:v>42536</c:v>
                </c:pt>
              </c:numCache>
            </c:numRef>
          </c:xVal>
          <c:yVal>
            <c:numRef>
              <c:f>'Fig 9-23'!$D$26:$D$32</c:f>
              <c:numCache>
                <c:formatCode>General</c:formatCode>
                <c:ptCount val="7"/>
                <c:pt idx="0">
                  <c:v>5800</c:v>
                </c:pt>
                <c:pt idx="1">
                  <c:v>4800</c:v>
                </c:pt>
                <c:pt idx="2">
                  <c:v>7600</c:v>
                </c:pt>
                <c:pt idx="3">
                  <c:v>8300</c:v>
                </c:pt>
                <c:pt idx="4">
                  <c:v>7100</c:v>
                </c:pt>
                <c:pt idx="5">
                  <c:v>4600</c:v>
                </c:pt>
                <c:pt idx="6">
                  <c:v>4200</c:v>
                </c:pt>
              </c:numCache>
            </c:numRef>
          </c:yVal>
          <c:smooth val="1"/>
          <c:extLst>
            <c:ext xmlns:c16="http://schemas.microsoft.com/office/drawing/2014/chart" uri="{C3380CC4-5D6E-409C-BE32-E72D297353CC}">
              <c16:uniqueId val="{00000001-32E8-4631-98FD-702F1D4E3392}"/>
            </c:ext>
          </c:extLst>
        </c:ser>
        <c:dLbls>
          <c:showLegendKey val="0"/>
          <c:showVal val="0"/>
          <c:showCatName val="0"/>
          <c:showSerName val="0"/>
          <c:showPercent val="0"/>
          <c:showBubbleSize val="0"/>
        </c:dLbls>
        <c:axId val="1152712224"/>
        <c:axId val="1152712616"/>
        <c:extLst>
          <c:ext xmlns:c15="http://schemas.microsoft.com/office/drawing/2012/chart" uri="{02D57815-91ED-43cb-92C2-25804820EDAC}">
            <c15:filteredScatterSeries>
              <c15:ser>
                <c:idx val="0"/>
                <c:order val="0"/>
                <c:tx>
                  <c:strRef>
                    <c:extLst>
                      <c:ext uri="{02D57815-91ED-43cb-92C2-25804820EDAC}">
                        <c15:formulaRef>
                          <c15:sqref>'Fig 9-23'!$A$4</c15:sqref>
                        </c15:formulaRef>
                      </c:ext>
                    </c:extLst>
                    <c:strCache>
                      <c:ptCount val="1"/>
                      <c:pt idx="0">
                        <c:v>Below Silverton (RK 16.4)</c:v>
                      </c:pt>
                    </c:strCache>
                  </c:strRef>
                </c:tx>
                <c:spPr>
                  <a:ln w="12700" cap="rnd">
                    <a:solidFill>
                      <a:schemeClr val="accent1">
                        <a:lumMod val="75000"/>
                      </a:schemeClr>
                    </a:solidFill>
                    <a:prstDash val="sysDash"/>
                    <a:round/>
                  </a:ln>
                  <a:effectLst/>
                </c:spPr>
                <c:marker>
                  <c:symbol val="square"/>
                  <c:size val="5"/>
                  <c:spPr>
                    <a:solidFill>
                      <a:schemeClr val="tx2">
                        <a:lumMod val="40000"/>
                        <a:lumOff val="60000"/>
                      </a:schemeClr>
                    </a:solidFill>
                    <a:ln w="9525">
                      <a:solidFill>
                        <a:schemeClr val="tx2">
                          <a:lumMod val="60000"/>
                          <a:lumOff val="40000"/>
                        </a:schemeClr>
                      </a:solidFill>
                    </a:ln>
                    <a:effectLst/>
                  </c:spPr>
                </c:marker>
                <c:xVal>
                  <c:numRef>
                    <c:extLst>
                      <c:ext uri="{02D57815-91ED-43cb-92C2-25804820EDAC}">
                        <c15:formulaRef>
                          <c15:sqref>'Fig 9-23'!$B$4:$B$10</c15:sqref>
                        </c15:formulaRef>
                      </c:ext>
                    </c:extLst>
                    <c:numCache>
                      <c:formatCode>m/d/yyyy</c:formatCode>
                      <c:ptCount val="7"/>
                      <c:pt idx="0">
                        <c:v>42493</c:v>
                      </c:pt>
                      <c:pt idx="1">
                        <c:v>42501</c:v>
                      </c:pt>
                      <c:pt idx="2">
                        <c:v>42509</c:v>
                      </c:pt>
                      <c:pt idx="3">
                        <c:v>42516</c:v>
                      </c:pt>
                      <c:pt idx="4">
                        <c:v>42522</c:v>
                      </c:pt>
                      <c:pt idx="5">
                        <c:v>42527.527777777781</c:v>
                      </c:pt>
                      <c:pt idx="6">
                        <c:v>42536</c:v>
                      </c:pt>
                    </c:numCache>
                  </c:numRef>
                </c:xVal>
                <c:yVal>
                  <c:numRef>
                    <c:extLst>
                      <c:ext uri="{02D57815-91ED-43cb-92C2-25804820EDAC}">
                        <c15:formulaRef>
                          <c15:sqref>'Fig 9-23'!$D$4:$D$10</c15:sqref>
                        </c15:formulaRef>
                      </c:ext>
                    </c:extLst>
                    <c:numCache>
                      <c:formatCode>General</c:formatCode>
                      <c:ptCount val="7"/>
                      <c:pt idx="0">
                        <c:v>14000</c:v>
                      </c:pt>
                      <c:pt idx="1">
                        <c:v>16000</c:v>
                      </c:pt>
                      <c:pt idx="2">
                        <c:v>12000</c:v>
                      </c:pt>
                      <c:pt idx="3">
                        <c:v>13000</c:v>
                      </c:pt>
                      <c:pt idx="4">
                        <c:v>15000</c:v>
                      </c:pt>
                      <c:pt idx="5">
                        <c:v>9700</c:v>
                      </c:pt>
                      <c:pt idx="6">
                        <c:v>8400</c:v>
                      </c:pt>
                    </c:numCache>
                  </c:numRef>
                </c:yVal>
                <c:smooth val="1"/>
                <c:extLst>
                  <c:ext xmlns:c16="http://schemas.microsoft.com/office/drawing/2014/chart" uri="{C3380CC4-5D6E-409C-BE32-E72D297353CC}">
                    <c16:uniqueId val="{00000002-32E8-4631-98FD-702F1D4E3392}"/>
                  </c:ext>
                </c:extLst>
              </c15:ser>
            </c15:filteredScatterSeries>
          </c:ext>
        </c:extLst>
      </c:scatterChart>
      <c:valAx>
        <c:axId val="1152712224"/>
        <c:scaling>
          <c:orientation val="minMax"/>
        </c:scaling>
        <c:delete val="0"/>
        <c:axPos val="b"/>
        <c:majorGridlines>
          <c:spPr>
            <a:ln w="9525" cap="flat" cmpd="sng" algn="ctr">
              <a:solidFill>
                <a:schemeClr val="tx1">
                  <a:lumMod val="15000"/>
                  <a:lumOff val="85000"/>
                </a:schemeClr>
              </a:solid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1152712616"/>
        <c:crosses val="autoZero"/>
        <c:crossBetween val="midCat"/>
        <c:majorUnit val="7"/>
        <c:minorUnit val="1"/>
      </c:valAx>
      <c:valAx>
        <c:axId val="1152712616"/>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Concentration (mg/kg)</a:t>
                </a:r>
              </a:p>
            </c:rich>
          </c:tx>
          <c:layout>
            <c:manualLayout>
              <c:xMode val="edge"/>
              <c:yMode val="edge"/>
              <c:x val="1.1481746599856835E-2"/>
              <c:y val="0.26362907395524932"/>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1152712224"/>
        <c:crosses val="autoZero"/>
        <c:crossBetween val="midCat"/>
      </c:valAx>
      <c:spPr>
        <a:noFill/>
        <a:ln>
          <a:noFill/>
        </a:ln>
        <a:effectLst/>
      </c:spPr>
    </c:plotArea>
    <c:legend>
      <c:legendPos val="t"/>
      <c:layout>
        <c:manualLayout>
          <c:xMode val="edge"/>
          <c:yMode val="edge"/>
          <c:x val="0.20726257380303284"/>
          <c:y val="0.12796785096155017"/>
          <c:w val="0.61960170603674536"/>
          <c:h val="9.1278509893680054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3"/>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Lead (Pb)</a:t>
            </a:r>
          </a:p>
        </c:rich>
      </c:tx>
      <c:layout>
        <c:manualLayout>
          <c:xMode val="edge"/>
          <c:yMode val="edge"/>
          <c:x val="0.4219503799936033"/>
          <c:y val="3.1370638797477729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3810769785304883"/>
          <c:y val="0.1814197135780572"/>
          <c:w val="0.77735085822202588"/>
          <c:h val="0.71118095849964691"/>
        </c:manualLayout>
      </c:layout>
      <c:scatterChart>
        <c:scatterStyle val="smoothMarker"/>
        <c:varyColors val="0"/>
        <c:ser>
          <c:idx val="1"/>
          <c:order val="1"/>
          <c:tx>
            <c:strRef>
              <c:f>'Fig 9-23'!$A$15</c:f>
              <c:strCache>
                <c:ptCount val="1"/>
                <c:pt idx="0">
                  <c:v>Bakers Bridge (RK 64)</c:v>
                </c:pt>
              </c:strCache>
            </c:strRef>
          </c:tx>
          <c:spPr>
            <a:ln w="15875" cap="rnd">
              <a:solidFill>
                <a:schemeClr val="accent2"/>
              </a:solidFill>
              <a:prstDash val="sysDash"/>
              <a:round/>
            </a:ln>
            <a:effectLst/>
          </c:spPr>
          <c:marker>
            <c:symbol val="circle"/>
            <c:size val="5"/>
            <c:spPr>
              <a:solidFill>
                <a:srgbClr val="A2362E"/>
              </a:solidFill>
              <a:ln w="9525">
                <a:solidFill>
                  <a:schemeClr val="accent2">
                    <a:lumMod val="75000"/>
                  </a:schemeClr>
                </a:solidFill>
              </a:ln>
              <a:effectLst/>
            </c:spPr>
          </c:marker>
          <c:xVal>
            <c:numRef>
              <c:f>'Fig 9-23'!$B$14:$B$21</c:f>
              <c:numCache>
                <c:formatCode>m/d/yyyy</c:formatCode>
                <c:ptCount val="8"/>
                <c:pt idx="0">
                  <c:v>42493.618055555555</c:v>
                </c:pt>
                <c:pt idx="1">
                  <c:v>42501.469444444447</c:v>
                </c:pt>
                <c:pt idx="2">
                  <c:v>42509.559027777781</c:v>
                </c:pt>
                <c:pt idx="3">
                  <c:v>42516.538194444445</c:v>
                </c:pt>
                <c:pt idx="4">
                  <c:v>42522.538194444445</c:v>
                </c:pt>
                <c:pt idx="5">
                  <c:v>42527.642361111109</c:v>
                </c:pt>
                <c:pt idx="6">
                  <c:v>42528.395833333336</c:v>
                </c:pt>
                <c:pt idx="7">
                  <c:v>42536.5625</c:v>
                </c:pt>
              </c:numCache>
            </c:numRef>
          </c:xVal>
          <c:yVal>
            <c:numRef>
              <c:f>'Fig 9-23'!$H$14:$H$21</c:f>
              <c:numCache>
                <c:formatCode>General</c:formatCode>
                <c:ptCount val="8"/>
                <c:pt idx="0">
                  <c:v>400</c:v>
                </c:pt>
                <c:pt idx="1">
                  <c:v>340</c:v>
                </c:pt>
                <c:pt idx="2">
                  <c:v>360</c:v>
                </c:pt>
                <c:pt idx="3">
                  <c:v>340</c:v>
                </c:pt>
                <c:pt idx="4">
                  <c:v>320</c:v>
                </c:pt>
                <c:pt idx="5">
                  <c:v>320</c:v>
                </c:pt>
                <c:pt idx="6">
                  <c:v>360</c:v>
                </c:pt>
                <c:pt idx="7">
                  <c:v>400</c:v>
                </c:pt>
              </c:numCache>
            </c:numRef>
          </c:yVal>
          <c:smooth val="1"/>
          <c:extLst>
            <c:ext xmlns:c16="http://schemas.microsoft.com/office/drawing/2014/chart" uri="{C3380CC4-5D6E-409C-BE32-E72D297353CC}">
              <c16:uniqueId val="{00000000-CD4C-4B3D-BCD8-F181E9FD9E46}"/>
            </c:ext>
          </c:extLst>
        </c:ser>
        <c:ser>
          <c:idx val="2"/>
          <c:order val="2"/>
          <c:tx>
            <c:strRef>
              <c:f>'Fig 9-23'!$A$26</c:f>
              <c:strCache>
                <c:ptCount val="1"/>
                <c:pt idx="0">
                  <c:v>Durango (RK 94)</c:v>
                </c:pt>
              </c:strCache>
            </c:strRef>
          </c:tx>
          <c:spPr>
            <a:ln w="12700" cap="rnd">
              <a:solidFill>
                <a:srgbClr val="350EA4"/>
              </a:solidFill>
              <a:prstDash val="sysDash"/>
              <a:round/>
            </a:ln>
            <a:effectLst/>
          </c:spPr>
          <c:marker>
            <c:symbol val="triangle"/>
            <c:size val="7"/>
            <c:spPr>
              <a:solidFill>
                <a:srgbClr val="350EA4"/>
              </a:solidFill>
              <a:ln w="9525">
                <a:solidFill>
                  <a:srgbClr val="350EA4"/>
                </a:solidFill>
              </a:ln>
              <a:effectLst/>
            </c:spPr>
          </c:marker>
          <c:xVal>
            <c:numRef>
              <c:f>'Fig 9-23'!$B$26:$B$32</c:f>
              <c:numCache>
                <c:formatCode>m/d/yyyy</c:formatCode>
                <c:ptCount val="7"/>
                <c:pt idx="0">
                  <c:v>42493</c:v>
                </c:pt>
                <c:pt idx="1">
                  <c:v>42501</c:v>
                </c:pt>
                <c:pt idx="2">
                  <c:v>42509</c:v>
                </c:pt>
                <c:pt idx="3">
                  <c:v>42516</c:v>
                </c:pt>
                <c:pt idx="4">
                  <c:v>42522</c:v>
                </c:pt>
                <c:pt idx="5">
                  <c:v>42528</c:v>
                </c:pt>
                <c:pt idx="6">
                  <c:v>42536</c:v>
                </c:pt>
              </c:numCache>
            </c:numRef>
          </c:xVal>
          <c:yVal>
            <c:numRef>
              <c:f>'Fig 9-23'!$H$26:$H$32</c:f>
              <c:numCache>
                <c:formatCode>General</c:formatCode>
                <c:ptCount val="7"/>
                <c:pt idx="0">
                  <c:v>140</c:v>
                </c:pt>
                <c:pt idx="1">
                  <c:v>200</c:v>
                </c:pt>
                <c:pt idx="2">
                  <c:v>190</c:v>
                </c:pt>
                <c:pt idx="3">
                  <c:v>190</c:v>
                </c:pt>
                <c:pt idx="4">
                  <c:v>220</c:v>
                </c:pt>
                <c:pt idx="5">
                  <c:v>160</c:v>
                </c:pt>
                <c:pt idx="6">
                  <c:v>180</c:v>
                </c:pt>
              </c:numCache>
            </c:numRef>
          </c:yVal>
          <c:smooth val="1"/>
          <c:extLst>
            <c:ext xmlns:c16="http://schemas.microsoft.com/office/drawing/2014/chart" uri="{C3380CC4-5D6E-409C-BE32-E72D297353CC}">
              <c16:uniqueId val="{00000001-CD4C-4B3D-BCD8-F181E9FD9E46}"/>
            </c:ext>
          </c:extLst>
        </c:ser>
        <c:dLbls>
          <c:showLegendKey val="0"/>
          <c:showVal val="0"/>
          <c:showCatName val="0"/>
          <c:showSerName val="0"/>
          <c:showPercent val="0"/>
          <c:showBubbleSize val="0"/>
        </c:dLbls>
        <c:axId val="1152713400"/>
        <c:axId val="1152713792"/>
        <c:extLst>
          <c:ext xmlns:c15="http://schemas.microsoft.com/office/drawing/2012/chart" uri="{02D57815-91ED-43cb-92C2-25804820EDAC}">
            <c15:filteredScatterSeries>
              <c15:ser>
                <c:idx val="0"/>
                <c:order val="0"/>
                <c:tx>
                  <c:strRef>
                    <c:extLst>
                      <c:ext uri="{02D57815-91ED-43cb-92C2-25804820EDAC}">
                        <c15:formulaRef>
                          <c15:sqref>'Fig 9-23'!$A$4</c15:sqref>
                        </c15:formulaRef>
                      </c:ext>
                    </c:extLst>
                    <c:strCache>
                      <c:ptCount val="1"/>
                      <c:pt idx="0">
                        <c:v>Below Silverton (RK 16.4)</c:v>
                      </c:pt>
                    </c:strCache>
                  </c:strRef>
                </c:tx>
                <c:spPr>
                  <a:ln w="12700" cap="rnd">
                    <a:solidFill>
                      <a:schemeClr val="accent1">
                        <a:lumMod val="75000"/>
                      </a:schemeClr>
                    </a:solidFill>
                    <a:prstDash val="sysDash"/>
                    <a:round/>
                  </a:ln>
                  <a:effectLst/>
                </c:spPr>
                <c:marker>
                  <c:symbol val="square"/>
                  <c:size val="5"/>
                  <c:spPr>
                    <a:solidFill>
                      <a:schemeClr val="tx2">
                        <a:lumMod val="40000"/>
                        <a:lumOff val="60000"/>
                      </a:schemeClr>
                    </a:solidFill>
                    <a:ln w="9525">
                      <a:solidFill>
                        <a:schemeClr val="tx2">
                          <a:lumMod val="60000"/>
                          <a:lumOff val="40000"/>
                        </a:schemeClr>
                      </a:solidFill>
                    </a:ln>
                    <a:effectLst/>
                  </c:spPr>
                </c:marker>
                <c:xVal>
                  <c:numRef>
                    <c:extLst>
                      <c:ext uri="{02D57815-91ED-43cb-92C2-25804820EDAC}">
                        <c15:formulaRef>
                          <c15:sqref>'Fig 9-23'!$B$4:$B$10</c15:sqref>
                        </c15:formulaRef>
                      </c:ext>
                    </c:extLst>
                    <c:numCache>
                      <c:formatCode>m/d/yyyy</c:formatCode>
                      <c:ptCount val="7"/>
                      <c:pt idx="0">
                        <c:v>42493</c:v>
                      </c:pt>
                      <c:pt idx="1">
                        <c:v>42501</c:v>
                      </c:pt>
                      <c:pt idx="2">
                        <c:v>42509</c:v>
                      </c:pt>
                      <c:pt idx="3">
                        <c:v>42516</c:v>
                      </c:pt>
                      <c:pt idx="4">
                        <c:v>42522</c:v>
                      </c:pt>
                      <c:pt idx="5">
                        <c:v>42527.527777777781</c:v>
                      </c:pt>
                      <c:pt idx="6">
                        <c:v>42536</c:v>
                      </c:pt>
                    </c:numCache>
                  </c:numRef>
                </c:xVal>
                <c:yVal>
                  <c:numRef>
                    <c:extLst>
                      <c:ext uri="{02D57815-91ED-43cb-92C2-25804820EDAC}">
                        <c15:formulaRef>
                          <c15:sqref>'Fig 9-23'!$H$4:$H$10</c15:sqref>
                        </c15:formulaRef>
                      </c:ext>
                    </c:extLst>
                    <c:numCache>
                      <c:formatCode>General</c:formatCode>
                      <c:ptCount val="7"/>
                      <c:pt idx="0">
                        <c:v>140</c:v>
                      </c:pt>
                      <c:pt idx="1">
                        <c:v>78</c:v>
                      </c:pt>
                      <c:pt idx="2">
                        <c:v>330</c:v>
                      </c:pt>
                      <c:pt idx="3">
                        <c:v>130</c:v>
                      </c:pt>
                      <c:pt idx="4">
                        <c:v>490</c:v>
                      </c:pt>
                      <c:pt idx="5">
                        <c:v>740</c:v>
                      </c:pt>
                      <c:pt idx="6">
                        <c:v>700</c:v>
                      </c:pt>
                    </c:numCache>
                  </c:numRef>
                </c:yVal>
                <c:smooth val="1"/>
                <c:extLst>
                  <c:ext xmlns:c16="http://schemas.microsoft.com/office/drawing/2014/chart" uri="{C3380CC4-5D6E-409C-BE32-E72D297353CC}">
                    <c16:uniqueId val="{00000002-CD4C-4B3D-BCD8-F181E9FD9E46}"/>
                  </c:ext>
                </c:extLst>
              </c15:ser>
            </c15:filteredScatterSeries>
          </c:ext>
        </c:extLst>
      </c:scatterChart>
      <c:valAx>
        <c:axId val="1152713400"/>
        <c:scaling>
          <c:orientation val="minMax"/>
        </c:scaling>
        <c:delete val="0"/>
        <c:axPos val="b"/>
        <c:majorGridlines>
          <c:spPr>
            <a:ln w="9525" cap="flat" cmpd="sng" algn="ctr">
              <a:solidFill>
                <a:schemeClr val="tx1">
                  <a:lumMod val="15000"/>
                  <a:lumOff val="85000"/>
                </a:schemeClr>
              </a:solid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1152713792"/>
        <c:crosses val="autoZero"/>
        <c:crossBetween val="midCat"/>
        <c:majorUnit val="7"/>
        <c:minorUnit val="1"/>
      </c:valAx>
      <c:valAx>
        <c:axId val="1152713792"/>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Concentration (mg/kg)</a:t>
                </a:r>
              </a:p>
            </c:rich>
          </c:tx>
          <c:layout>
            <c:manualLayout>
              <c:xMode val="edge"/>
              <c:yMode val="edge"/>
              <c:x val="1.1481746599856835E-2"/>
              <c:y val="0.26362907395524932"/>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1152713400"/>
        <c:crosses val="autoZero"/>
        <c:crossBetween val="midCat"/>
        <c:majorUnit val="100"/>
        <c:minorUnit val="50"/>
      </c:valAx>
      <c:spPr>
        <a:noFill/>
        <a:ln>
          <a:noFill/>
        </a:ln>
        <a:effectLst/>
      </c:spPr>
    </c:plotArea>
    <c:legend>
      <c:legendPos val="t"/>
      <c:layout>
        <c:manualLayout>
          <c:xMode val="edge"/>
          <c:yMode val="edge"/>
          <c:x val="0.20726257380303284"/>
          <c:y val="0.12796785096155017"/>
          <c:w val="0.61960170603674536"/>
          <c:h val="9.1278509893680054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3"/>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Iron (Fe)</a:t>
            </a:r>
          </a:p>
        </c:rich>
      </c:tx>
      <c:layout>
        <c:manualLayout>
          <c:xMode val="edge"/>
          <c:yMode val="edge"/>
          <c:x val="0.41679241738883221"/>
          <c:y val="4.678489386820123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4875299270225953"/>
          <c:y val="0.1814197135780572"/>
          <c:w val="0.76670553905312744"/>
          <c:h val="0.71118095849964691"/>
        </c:manualLayout>
      </c:layout>
      <c:scatterChart>
        <c:scatterStyle val="smoothMarker"/>
        <c:varyColors val="0"/>
        <c:ser>
          <c:idx val="0"/>
          <c:order val="0"/>
          <c:tx>
            <c:strRef>
              <c:f>'Fig 9-23'!$A$4</c:f>
              <c:strCache>
                <c:ptCount val="1"/>
                <c:pt idx="0">
                  <c:v>Below Silverton (RK 16.4)</c:v>
                </c:pt>
              </c:strCache>
            </c:strRef>
          </c:tx>
          <c:spPr>
            <a:ln w="19050" cap="rnd">
              <a:solidFill>
                <a:schemeClr val="tx2">
                  <a:lumMod val="60000"/>
                  <a:lumOff val="40000"/>
                </a:schemeClr>
              </a:solidFill>
              <a:round/>
            </a:ln>
            <a:effectLst/>
          </c:spPr>
          <c:marker>
            <c:symbol val="square"/>
            <c:size val="5"/>
            <c:spPr>
              <a:solidFill>
                <a:schemeClr val="tx2">
                  <a:lumMod val="40000"/>
                  <a:lumOff val="60000"/>
                </a:schemeClr>
              </a:solidFill>
              <a:ln w="9525">
                <a:solidFill>
                  <a:schemeClr val="tx2">
                    <a:lumMod val="60000"/>
                    <a:lumOff val="40000"/>
                  </a:schemeClr>
                </a:solidFill>
              </a:ln>
              <a:effectLst/>
            </c:spPr>
          </c:marker>
          <c:xVal>
            <c:numRef>
              <c:f>'Fig 9-23'!$B$4:$B$10</c:f>
              <c:numCache>
                <c:formatCode>m/d/yyyy</c:formatCode>
                <c:ptCount val="7"/>
                <c:pt idx="0">
                  <c:v>42493</c:v>
                </c:pt>
                <c:pt idx="1">
                  <c:v>42501</c:v>
                </c:pt>
                <c:pt idx="2">
                  <c:v>42509</c:v>
                </c:pt>
                <c:pt idx="3">
                  <c:v>42516</c:v>
                </c:pt>
                <c:pt idx="4">
                  <c:v>42522</c:v>
                </c:pt>
                <c:pt idx="5">
                  <c:v>42527.527777777781</c:v>
                </c:pt>
                <c:pt idx="6">
                  <c:v>42536</c:v>
                </c:pt>
              </c:numCache>
            </c:numRef>
          </c:xVal>
          <c:yVal>
            <c:numRef>
              <c:f>'Fig 9-23'!$G$4:$G$10</c:f>
              <c:numCache>
                <c:formatCode>General</c:formatCode>
                <c:ptCount val="7"/>
                <c:pt idx="0">
                  <c:v>71000</c:v>
                </c:pt>
                <c:pt idx="1">
                  <c:v>45000</c:v>
                </c:pt>
                <c:pt idx="2">
                  <c:v>56000</c:v>
                </c:pt>
                <c:pt idx="3">
                  <c:v>120000</c:v>
                </c:pt>
                <c:pt idx="4">
                  <c:v>64000</c:v>
                </c:pt>
                <c:pt idx="5">
                  <c:v>53000</c:v>
                </c:pt>
                <c:pt idx="6">
                  <c:v>47000</c:v>
                </c:pt>
              </c:numCache>
            </c:numRef>
          </c:yVal>
          <c:smooth val="1"/>
          <c:extLst>
            <c:ext xmlns:c16="http://schemas.microsoft.com/office/drawing/2014/chart" uri="{C3380CC4-5D6E-409C-BE32-E72D297353CC}">
              <c16:uniqueId val="{00000000-19B9-4ED6-9FDB-ACE7ADB0F4E8}"/>
            </c:ext>
          </c:extLst>
        </c:ser>
        <c:ser>
          <c:idx val="1"/>
          <c:order val="1"/>
          <c:tx>
            <c:strRef>
              <c:f>'Fig 9-23'!$A$15</c:f>
              <c:strCache>
                <c:ptCount val="1"/>
                <c:pt idx="0">
                  <c:v>Bakers Bridge (RK 64)</c:v>
                </c:pt>
              </c:strCache>
            </c:strRef>
          </c:tx>
          <c:spPr>
            <a:ln w="19050" cap="rnd">
              <a:solidFill>
                <a:schemeClr val="accent2"/>
              </a:solidFill>
              <a:round/>
            </a:ln>
            <a:effectLst/>
          </c:spPr>
          <c:marker>
            <c:symbol val="circle"/>
            <c:size val="5"/>
            <c:spPr>
              <a:solidFill>
                <a:schemeClr val="accent2"/>
              </a:solidFill>
              <a:ln w="9525">
                <a:solidFill>
                  <a:schemeClr val="accent2">
                    <a:lumMod val="75000"/>
                  </a:schemeClr>
                </a:solidFill>
              </a:ln>
              <a:effectLst/>
            </c:spPr>
          </c:marker>
          <c:xVal>
            <c:numRef>
              <c:f>'Fig 9-23'!$B$14:$B$21</c:f>
              <c:numCache>
                <c:formatCode>m/d/yyyy</c:formatCode>
                <c:ptCount val="8"/>
                <c:pt idx="0">
                  <c:v>42493.618055555555</c:v>
                </c:pt>
                <c:pt idx="1">
                  <c:v>42501.469444444447</c:v>
                </c:pt>
                <c:pt idx="2">
                  <c:v>42509.559027777781</c:v>
                </c:pt>
                <c:pt idx="3">
                  <c:v>42516.538194444445</c:v>
                </c:pt>
                <c:pt idx="4">
                  <c:v>42522.538194444445</c:v>
                </c:pt>
                <c:pt idx="5">
                  <c:v>42527.642361111109</c:v>
                </c:pt>
                <c:pt idx="6">
                  <c:v>42528.395833333336</c:v>
                </c:pt>
                <c:pt idx="7">
                  <c:v>42536.5625</c:v>
                </c:pt>
              </c:numCache>
            </c:numRef>
          </c:xVal>
          <c:yVal>
            <c:numRef>
              <c:f>'Fig 9-23'!$G$14:$G$21</c:f>
              <c:numCache>
                <c:formatCode>General</c:formatCode>
                <c:ptCount val="8"/>
                <c:pt idx="0">
                  <c:v>79000</c:v>
                </c:pt>
                <c:pt idx="1">
                  <c:v>51000</c:v>
                </c:pt>
                <c:pt idx="2">
                  <c:v>35000</c:v>
                </c:pt>
                <c:pt idx="3">
                  <c:v>39000</c:v>
                </c:pt>
                <c:pt idx="4">
                  <c:v>37000</c:v>
                </c:pt>
                <c:pt idx="5">
                  <c:v>28000</c:v>
                </c:pt>
                <c:pt idx="6">
                  <c:v>35000</c:v>
                </c:pt>
                <c:pt idx="7">
                  <c:v>29000</c:v>
                </c:pt>
              </c:numCache>
            </c:numRef>
          </c:yVal>
          <c:smooth val="1"/>
          <c:extLst>
            <c:ext xmlns:c16="http://schemas.microsoft.com/office/drawing/2014/chart" uri="{C3380CC4-5D6E-409C-BE32-E72D297353CC}">
              <c16:uniqueId val="{00000001-19B9-4ED6-9FDB-ACE7ADB0F4E8}"/>
            </c:ext>
          </c:extLst>
        </c:ser>
        <c:ser>
          <c:idx val="2"/>
          <c:order val="2"/>
          <c:tx>
            <c:strRef>
              <c:f>'Fig 9-23'!$A$26</c:f>
              <c:strCache>
                <c:ptCount val="1"/>
                <c:pt idx="0">
                  <c:v>Durango (RK 94)</c:v>
                </c:pt>
              </c:strCache>
            </c:strRef>
          </c:tx>
          <c:spPr>
            <a:ln w="19050" cap="rnd">
              <a:solidFill>
                <a:schemeClr val="accent3"/>
              </a:solidFill>
              <a:round/>
            </a:ln>
            <a:effectLst/>
          </c:spPr>
          <c:marker>
            <c:symbol val="triangle"/>
            <c:size val="7"/>
            <c:spPr>
              <a:solidFill>
                <a:schemeClr val="accent3"/>
              </a:solidFill>
              <a:ln w="9525">
                <a:solidFill>
                  <a:schemeClr val="tx1">
                    <a:lumMod val="65000"/>
                    <a:lumOff val="35000"/>
                  </a:schemeClr>
                </a:solidFill>
              </a:ln>
              <a:effectLst/>
            </c:spPr>
          </c:marker>
          <c:xVal>
            <c:numRef>
              <c:f>'Fig 9-23'!$B$26:$B$32</c:f>
              <c:numCache>
                <c:formatCode>m/d/yyyy</c:formatCode>
                <c:ptCount val="7"/>
                <c:pt idx="0">
                  <c:v>42493</c:v>
                </c:pt>
                <c:pt idx="1">
                  <c:v>42501</c:v>
                </c:pt>
                <c:pt idx="2">
                  <c:v>42509</c:v>
                </c:pt>
                <c:pt idx="3">
                  <c:v>42516</c:v>
                </c:pt>
                <c:pt idx="4">
                  <c:v>42522</c:v>
                </c:pt>
                <c:pt idx="5">
                  <c:v>42528</c:v>
                </c:pt>
                <c:pt idx="6">
                  <c:v>42536</c:v>
                </c:pt>
              </c:numCache>
            </c:numRef>
          </c:xVal>
          <c:yVal>
            <c:numRef>
              <c:f>'Fig 9-23'!$G$26:$G$32</c:f>
              <c:numCache>
                <c:formatCode>General</c:formatCode>
                <c:ptCount val="7"/>
                <c:pt idx="0">
                  <c:v>17000</c:v>
                </c:pt>
                <c:pt idx="1">
                  <c:v>21000</c:v>
                </c:pt>
                <c:pt idx="2">
                  <c:v>22000</c:v>
                </c:pt>
                <c:pt idx="3">
                  <c:v>24000</c:v>
                </c:pt>
                <c:pt idx="4">
                  <c:v>24000</c:v>
                </c:pt>
                <c:pt idx="5">
                  <c:v>16000</c:v>
                </c:pt>
                <c:pt idx="6">
                  <c:v>15000</c:v>
                </c:pt>
              </c:numCache>
            </c:numRef>
          </c:yVal>
          <c:smooth val="1"/>
          <c:extLst>
            <c:ext xmlns:c16="http://schemas.microsoft.com/office/drawing/2014/chart" uri="{C3380CC4-5D6E-409C-BE32-E72D297353CC}">
              <c16:uniqueId val="{00000002-19B9-4ED6-9FDB-ACE7ADB0F4E8}"/>
            </c:ext>
          </c:extLst>
        </c:ser>
        <c:dLbls>
          <c:showLegendKey val="0"/>
          <c:showVal val="0"/>
          <c:showCatName val="0"/>
          <c:showSerName val="0"/>
          <c:showPercent val="0"/>
          <c:showBubbleSize val="0"/>
        </c:dLbls>
        <c:axId val="1152714576"/>
        <c:axId val="1152714968"/>
      </c:scatterChart>
      <c:valAx>
        <c:axId val="1152714576"/>
        <c:scaling>
          <c:orientation val="minMax"/>
        </c:scaling>
        <c:delete val="0"/>
        <c:axPos val="b"/>
        <c:majorGridlines>
          <c:spPr>
            <a:ln w="9525" cap="flat" cmpd="sng" algn="ctr">
              <a:solidFill>
                <a:schemeClr val="tx1">
                  <a:lumMod val="15000"/>
                  <a:lumOff val="85000"/>
                </a:schemeClr>
              </a:solid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1152714968"/>
        <c:crosses val="autoZero"/>
        <c:crossBetween val="midCat"/>
        <c:majorUnit val="7"/>
        <c:minorUnit val="1"/>
      </c:valAx>
      <c:valAx>
        <c:axId val="1152714968"/>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Concentration (mg/kg)</a:t>
                </a:r>
              </a:p>
            </c:rich>
          </c:tx>
          <c:layout>
            <c:manualLayout>
              <c:xMode val="edge"/>
              <c:yMode val="edge"/>
              <c:x val="1.1658213903146049E-3"/>
              <c:y val="0.24821481888452573"/>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1152714576"/>
        <c:crosses val="autoZero"/>
        <c:crossBetween val="midCat"/>
      </c:valAx>
      <c:spPr>
        <a:noFill/>
        <a:ln>
          <a:noFill/>
        </a:ln>
        <a:effectLst/>
      </c:spPr>
    </c:plotArea>
    <c:legend>
      <c:legendPos val="t"/>
      <c:layout>
        <c:manualLayout>
          <c:xMode val="edge"/>
          <c:yMode val="edge"/>
          <c:x val="0.23821034943165953"/>
          <c:y val="0.17421061617372069"/>
          <c:w val="0.61960170603674536"/>
          <c:h val="9.1278509893680054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a:t>Cadmium (Cd)</a:t>
            </a:r>
          </a:p>
        </c:rich>
      </c:tx>
      <c:layout>
        <c:manualLayout>
          <c:xMode val="edge"/>
          <c:yMode val="edge"/>
          <c:x val="0.4219503799936033"/>
          <c:y val="3.1370638797477729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810769785304883"/>
          <c:y val="0.1814197135780572"/>
          <c:w val="0.77735085822202588"/>
          <c:h val="0.71118095849964691"/>
        </c:manualLayout>
      </c:layout>
      <c:scatterChart>
        <c:scatterStyle val="smoothMarker"/>
        <c:varyColors val="0"/>
        <c:ser>
          <c:idx val="0"/>
          <c:order val="0"/>
          <c:tx>
            <c:strRef>
              <c:f>'Fig 9-23'!$A$4</c:f>
              <c:strCache>
                <c:ptCount val="1"/>
                <c:pt idx="0">
                  <c:v>Below Silverton (RK 16.4)</c:v>
                </c:pt>
              </c:strCache>
            </c:strRef>
          </c:tx>
          <c:spPr>
            <a:ln w="12700" cap="rnd">
              <a:solidFill>
                <a:schemeClr val="accent1">
                  <a:lumMod val="75000"/>
                </a:schemeClr>
              </a:solidFill>
              <a:prstDash val="sysDash"/>
              <a:round/>
            </a:ln>
            <a:effectLst/>
          </c:spPr>
          <c:marker>
            <c:symbol val="square"/>
            <c:size val="5"/>
            <c:spPr>
              <a:solidFill>
                <a:schemeClr val="tx2">
                  <a:lumMod val="40000"/>
                  <a:lumOff val="60000"/>
                </a:schemeClr>
              </a:solidFill>
              <a:ln w="9525">
                <a:solidFill>
                  <a:schemeClr val="tx2">
                    <a:lumMod val="60000"/>
                    <a:lumOff val="40000"/>
                  </a:schemeClr>
                </a:solidFill>
              </a:ln>
              <a:effectLst/>
            </c:spPr>
          </c:marker>
          <c:xVal>
            <c:numRef>
              <c:f>'Fig 9-23'!$B$4:$B$10</c:f>
              <c:numCache>
                <c:formatCode>m/d/yyyy</c:formatCode>
                <c:ptCount val="7"/>
                <c:pt idx="0">
                  <c:v>42493</c:v>
                </c:pt>
                <c:pt idx="1">
                  <c:v>42501</c:v>
                </c:pt>
                <c:pt idx="2">
                  <c:v>42509</c:v>
                </c:pt>
                <c:pt idx="3">
                  <c:v>42516</c:v>
                </c:pt>
                <c:pt idx="4">
                  <c:v>42522</c:v>
                </c:pt>
                <c:pt idx="5">
                  <c:v>42527.527777777781</c:v>
                </c:pt>
                <c:pt idx="6">
                  <c:v>42536</c:v>
                </c:pt>
              </c:numCache>
            </c:numRef>
          </c:xVal>
          <c:yVal>
            <c:numRef>
              <c:f>'Fig 9-23'!$K$4:$K$10</c:f>
              <c:numCache>
                <c:formatCode>###0;###0</c:formatCode>
                <c:ptCount val="7"/>
                <c:pt idx="0">
                  <c:v>26</c:v>
                </c:pt>
                <c:pt idx="1">
                  <c:v>13</c:v>
                </c:pt>
                <c:pt idx="2">
                  <c:v>28</c:v>
                </c:pt>
                <c:pt idx="3">
                  <c:v>50</c:v>
                </c:pt>
                <c:pt idx="4">
                  <c:v>33</c:v>
                </c:pt>
                <c:pt idx="6">
                  <c:v>35</c:v>
                </c:pt>
              </c:numCache>
            </c:numRef>
          </c:yVal>
          <c:smooth val="1"/>
          <c:extLst>
            <c:ext xmlns:c16="http://schemas.microsoft.com/office/drawing/2014/chart" uri="{C3380CC4-5D6E-409C-BE32-E72D297353CC}">
              <c16:uniqueId val="{00000000-1811-4EA2-9D61-01B6E31634F1}"/>
            </c:ext>
          </c:extLst>
        </c:ser>
        <c:ser>
          <c:idx val="1"/>
          <c:order val="1"/>
          <c:tx>
            <c:strRef>
              <c:f>'Fig 9-23'!$A$15</c:f>
              <c:strCache>
                <c:ptCount val="1"/>
                <c:pt idx="0">
                  <c:v>Bakers Bridge (RK 64)</c:v>
                </c:pt>
              </c:strCache>
            </c:strRef>
          </c:tx>
          <c:spPr>
            <a:ln w="12700" cap="rnd">
              <a:solidFill>
                <a:schemeClr val="accent2"/>
              </a:solidFill>
              <a:prstDash val="sysDash"/>
              <a:round/>
            </a:ln>
            <a:effectLst/>
          </c:spPr>
          <c:marker>
            <c:symbol val="circle"/>
            <c:size val="5"/>
            <c:spPr>
              <a:solidFill>
                <a:schemeClr val="accent2"/>
              </a:solidFill>
              <a:ln w="9525">
                <a:solidFill>
                  <a:schemeClr val="accent2">
                    <a:lumMod val="75000"/>
                  </a:schemeClr>
                </a:solidFill>
              </a:ln>
              <a:effectLst/>
            </c:spPr>
          </c:marker>
          <c:xVal>
            <c:numRef>
              <c:f>'Fig 9-23'!$B$14:$B$21</c:f>
              <c:numCache>
                <c:formatCode>m/d/yyyy</c:formatCode>
                <c:ptCount val="8"/>
                <c:pt idx="0">
                  <c:v>42493.618055555555</c:v>
                </c:pt>
                <c:pt idx="1">
                  <c:v>42501.469444444447</c:v>
                </c:pt>
                <c:pt idx="2">
                  <c:v>42509.559027777781</c:v>
                </c:pt>
                <c:pt idx="3">
                  <c:v>42516.538194444445</c:v>
                </c:pt>
                <c:pt idx="4">
                  <c:v>42522.538194444445</c:v>
                </c:pt>
                <c:pt idx="5">
                  <c:v>42527.642361111109</c:v>
                </c:pt>
                <c:pt idx="6">
                  <c:v>42528.395833333336</c:v>
                </c:pt>
                <c:pt idx="7">
                  <c:v>42536.5625</c:v>
                </c:pt>
              </c:numCache>
            </c:numRef>
          </c:xVal>
          <c:yVal>
            <c:numRef>
              <c:f>'Fig 9-23'!$K$14:$K$21</c:f>
              <c:numCache>
                <c:formatCode>###0;###0</c:formatCode>
                <c:ptCount val="8"/>
                <c:pt idx="0">
                  <c:v>37</c:v>
                </c:pt>
                <c:pt idx="1">
                  <c:v>24</c:v>
                </c:pt>
                <c:pt idx="2">
                  <c:v>17</c:v>
                </c:pt>
                <c:pt idx="3">
                  <c:v>21</c:v>
                </c:pt>
                <c:pt idx="4">
                  <c:v>18</c:v>
                </c:pt>
              </c:numCache>
            </c:numRef>
          </c:yVal>
          <c:smooth val="1"/>
          <c:extLst>
            <c:ext xmlns:c16="http://schemas.microsoft.com/office/drawing/2014/chart" uri="{C3380CC4-5D6E-409C-BE32-E72D297353CC}">
              <c16:uniqueId val="{00000001-1811-4EA2-9D61-01B6E31634F1}"/>
            </c:ext>
          </c:extLst>
        </c:ser>
        <c:ser>
          <c:idx val="2"/>
          <c:order val="2"/>
          <c:tx>
            <c:strRef>
              <c:f>'Fig 9-23'!$A$26</c:f>
              <c:strCache>
                <c:ptCount val="1"/>
                <c:pt idx="0">
                  <c:v>Durango (RK 94)</c:v>
                </c:pt>
              </c:strCache>
            </c:strRef>
          </c:tx>
          <c:spPr>
            <a:ln w="12700" cap="rnd">
              <a:solidFill>
                <a:srgbClr val="350EA4"/>
              </a:solidFill>
              <a:prstDash val="sysDash"/>
              <a:round/>
            </a:ln>
            <a:effectLst/>
          </c:spPr>
          <c:marker>
            <c:symbol val="triangle"/>
            <c:size val="7"/>
            <c:spPr>
              <a:solidFill>
                <a:srgbClr val="350EA4"/>
              </a:solidFill>
              <a:ln w="9525">
                <a:solidFill>
                  <a:srgbClr val="350EA4"/>
                </a:solidFill>
              </a:ln>
              <a:effectLst/>
            </c:spPr>
          </c:marker>
          <c:xVal>
            <c:numRef>
              <c:f>'Fig 9-23'!$B$26:$B$32</c:f>
              <c:numCache>
                <c:formatCode>m/d/yyyy</c:formatCode>
                <c:ptCount val="7"/>
                <c:pt idx="0">
                  <c:v>42493</c:v>
                </c:pt>
                <c:pt idx="1">
                  <c:v>42501</c:v>
                </c:pt>
                <c:pt idx="2">
                  <c:v>42509</c:v>
                </c:pt>
                <c:pt idx="3">
                  <c:v>42516</c:v>
                </c:pt>
                <c:pt idx="4">
                  <c:v>42522</c:v>
                </c:pt>
                <c:pt idx="5">
                  <c:v>42528</c:v>
                </c:pt>
                <c:pt idx="6">
                  <c:v>42536</c:v>
                </c:pt>
              </c:numCache>
            </c:numRef>
          </c:xVal>
          <c:yVal>
            <c:numRef>
              <c:f>'Fig 9-23'!$K$26:$K$32</c:f>
              <c:numCache>
                <c:formatCode>###0.0;###0.0</c:formatCode>
                <c:ptCount val="7"/>
                <c:pt idx="0">
                  <c:v>8.9</c:v>
                </c:pt>
                <c:pt idx="1">
                  <c:v>9.1999999999999993</c:v>
                </c:pt>
                <c:pt idx="2">
                  <c:v>9.9</c:v>
                </c:pt>
                <c:pt idx="3">
                  <c:v>9.5</c:v>
                </c:pt>
                <c:pt idx="4" formatCode="###0;###0">
                  <c:v>10</c:v>
                </c:pt>
                <c:pt idx="5" formatCode="###0;###0">
                  <c:v>11</c:v>
                </c:pt>
                <c:pt idx="6">
                  <c:v>8.4</c:v>
                </c:pt>
              </c:numCache>
            </c:numRef>
          </c:yVal>
          <c:smooth val="1"/>
          <c:extLst>
            <c:ext xmlns:c16="http://schemas.microsoft.com/office/drawing/2014/chart" uri="{C3380CC4-5D6E-409C-BE32-E72D297353CC}">
              <c16:uniqueId val="{00000002-1811-4EA2-9D61-01B6E31634F1}"/>
            </c:ext>
          </c:extLst>
        </c:ser>
        <c:dLbls>
          <c:showLegendKey val="0"/>
          <c:showVal val="0"/>
          <c:showCatName val="0"/>
          <c:showSerName val="0"/>
          <c:showPercent val="0"/>
          <c:showBubbleSize val="0"/>
        </c:dLbls>
        <c:axId val="1152715752"/>
        <c:axId val="1152716144"/>
      </c:scatterChart>
      <c:valAx>
        <c:axId val="1152715752"/>
        <c:scaling>
          <c:orientation val="minMax"/>
        </c:scaling>
        <c:delete val="0"/>
        <c:axPos val="b"/>
        <c:majorGridlines>
          <c:spPr>
            <a:ln w="9525" cap="flat" cmpd="sng" algn="ctr">
              <a:solidFill>
                <a:schemeClr val="tx1">
                  <a:lumMod val="15000"/>
                  <a:lumOff val="85000"/>
                </a:schemeClr>
              </a:solid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152716144"/>
        <c:crosses val="autoZero"/>
        <c:crossBetween val="midCat"/>
        <c:majorUnit val="7"/>
        <c:minorUnit val="1"/>
      </c:valAx>
      <c:valAx>
        <c:axId val="1152716144"/>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a:t>Concentration (mg/kg)</a:t>
                </a:r>
              </a:p>
            </c:rich>
          </c:tx>
          <c:layout>
            <c:manualLayout>
              <c:xMode val="edge"/>
              <c:yMode val="edge"/>
              <c:x val="1.1481746599856835E-2"/>
              <c:y val="0.26362907395524932"/>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152715752"/>
        <c:crosses val="autoZero"/>
        <c:crossBetween val="midCat"/>
      </c:valAx>
      <c:spPr>
        <a:noFill/>
        <a:ln>
          <a:noFill/>
        </a:ln>
        <a:effectLst/>
      </c:spPr>
    </c:plotArea>
    <c:legend>
      <c:legendPos val="t"/>
      <c:layout>
        <c:manualLayout>
          <c:xMode val="edge"/>
          <c:yMode val="edge"/>
          <c:x val="0.20726257380303284"/>
          <c:y val="0.12796785096155017"/>
          <c:w val="0.61960170603674536"/>
          <c:h val="9.1278509893680054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pPr>
      <a:endParaRPr lang="en-US"/>
    </a:p>
  </c:txPr>
  <c:printSettings>
    <c:headerFooter/>
    <c:pageMargins b="0.75" l="0.7" r="0.7" t="0.75" header="0.3" footer="0.3"/>
    <c:pageSetup/>
  </c:printSettings>
  <c:userShapes r:id="rId3"/>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Arsenic (As)</a:t>
            </a:r>
          </a:p>
        </c:rich>
      </c:tx>
      <c:layout>
        <c:manualLayout>
          <c:xMode val="edge"/>
          <c:yMode val="edge"/>
          <c:x val="0.4219503799936033"/>
          <c:y val="3.1370638797477729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3810769785304883"/>
          <c:y val="0.1814197135780572"/>
          <c:w val="0.77735085822202588"/>
          <c:h val="0.71118095849964691"/>
        </c:manualLayout>
      </c:layout>
      <c:scatterChart>
        <c:scatterStyle val="smoothMarker"/>
        <c:varyColors val="0"/>
        <c:ser>
          <c:idx val="1"/>
          <c:order val="1"/>
          <c:tx>
            <c:strRef>
              <c:f>'Fig 9-23'!$A$15</c:f>
              <c:strCache>
                <c:ptCount val="1"/>
                <c:pt idx="0">
                  <c:v>Bakers Bridge (RK 64)</c:v>
                </c:pt>
              </c:strCache>
            </c:strRef>
          </c:tx>
          <c:spPr>
            <a:ln w="15875" cap="rnd">
              <a:solidFill>
                <a:schemeClr val="accent2"/>
              </a:solidFill>
              <a:prstDash val="sysDash"/>
              <a:round/>
            </a:ln>
            <a:effectLst/>
          </c:spPr>
          <c:marker>
            <c:symbol val="circle"/>
            <c:size val="5"/>
            <c:spPr>
              <a:solidFill>
                <a:srgbClr val="A2362E"/>
              </a:solidFill>
              <a:ln w="9525">
                <a:solidFill>
                  <a:schemeClr val="accent2">
                    <a:lumMod val="75000"/>
                  </a:schemeClr>
                </a:solidFill>
              </a:ln>
              <a:effectLst/>
            </c:spPr>
          </c:marker>
          <c:xVal>
            <c:numRef>
              <c:f>'Fig 9-23'!$B$14:$B$21</c:f>
              <c:numCache>
                <c:formatCode>m/d/yyyy</c:formatCode>
                <c:ptCount val="8"/>
                <c:pt idx="0">
                  <c:v>42493.618055555555</c:v>
                </c:pt>
                <c:pt idx="1">
                  <c:v>42501.469444444447</c:v>
                </c:pt>
                <c:pt idx="2">
                  <c:v>42509.559027777781</c:v>
                </c:pt>
                <c:pt idx="3">
                  <c:v>42516.538194444445</c:v>
                </c:pt>
                <c:pt idx="4">
                  <c:v>42522.538194444445</c:v>
                </c:pt>
                <c:pt idx="5">
                  <c:v>42527.642361111109</c:v>
                </c:pt>
                <c:pt idx="6">
                  <c:v>42528.395833333336</c:v>
                </c:pt>
                <c:pt idx="7">
                  <c:v>42536.5625</c:v>
                </c:pt>
              </c:numCache>
            </c:numRef>
          </c:xVal>
          <c:yVal>
            <c:numRef>
              <c:f>'Fig 9-23'!$K$14:$K$21</c:f>
              <c:numCache>
                <c:formatCode>###0;###0</c:formatCode>
                <c:ptCount val="8"/>
                <c:pt idx="0">
                  <c:v>37</c:v>
                </c:pt>
                <c:pt idx="1">
                  <c:v>24</c:v>
                </c:pt>
                <c:pt idx="2">
                  <c:v>17</c:v>
                </c:pt>
                <c:pt idx="3">
                  <c:v>21</c:v>
                </c:pt>
                <c:pt idx="4">
                  <c:v>18</c:v>
                </c:pt>
              </c:numCache>
            </c:numRef>
          </c:yVal>
          <c:smooth val="1"/>
          <c:extLst>
            <c:ext xmlns:c16="http://schemas.microsoft.com/office/drawing/2014/chart" uri="{C3380CC4-5D6E-409C-BE32-E72D297353CC}">
              <c16:uniqueId val="{00000000-01D2-4931-919F-8AC3166EE9D5}"/>
            </c:ext>
          </c:extLst>
        </c:ser>
        <c:ser>
          <c:idx val="2"/>
          <c:order val="2"/>
          <c:tx>
            <c:strRef>
              <c:f>'Fig 9-23'!$A$26</c:f>
              <c:strCache>
                <c:ptCount val="1"/>
                <c:pt idx="0">
                  <c:v>Durango (RK 94)</c:v>
                </c:pt>
              </c:strCache>
            </c:strRef>
          </c:tx>
          <c:spPr>
            <a:ln w="12700" cap="rnd">
              <a:solidFill>
                <a:srgbClr val="350EA4"/>
              </a:solidFill>
              <a:prstDash val="sysDash"/>
              <a:round/>
            </a:ln>
            <a:effectLst/>
          </c:spPr>
          <c:marker>
            <c:symbol val="triangle"/>
            <c:size val="7"/>
            <c:spPr>
              <a:solidFill>
                <a:srgbClr val="350EA4"/>
              </a:solidFill>
              <a:ln w="9525">
                <a:solidFill>
                  <a:srgbClr val="350EA4"/>
                </a:solidFill>
              </a:ln>
              <a:effectLst/>
            </c:spPr>
          </c:marker>
          <c:xVal>
            <c:numRef>
              <c:f>'Fig 9-23'!$B$26:$B$32</c:f>
              <c:numCache>
                <c:formatCode>m/d/yyyy</c:formatCode>
                <c:ptCount val="7"/>
                <c:pt idx="0">
                  <c:v>42493</c:v>
                </c:pt>
                <c:pt idx="1">
                  <c:v>42501</c:v>
                </c:pt>
                <c:pt idx="2">
                  <c:v>42509</c:v>
                </c:pt>
                <c:pt idx="3">
                  <c:v>42516</c:v>
                </c:pt>
                <c:pt idx="4">
                  <c:v>42522</c:v>
                </c:pt>
                <c:pt idx="5">
                  <c:v>42528</c:v>
                </c:pt>
                <c:pt idx="6">
                  <c:v>42536</c:v>
                </c:pt>
              </c:numCache>
            </c:numRef>
          </c:xVal>
          <c:yVal>
            <c:numRef>
              <c:f>'Fig 9-23'!$E$26:$E$32</c:f>
              <c:numCache>
                <c:formatCode>General</c:formatCode>
                <c:ptCount val="7"/>
                <c:pt idx="0">
                  <c:v>1.6</c:v>
                </c:pt>
                <c:pt idx="1">
                  <c:v>2.1</c:v>
                </c:pt>
                <c:pt idx="2">
                  <c:v>2.2999999999999998</c:v>
                </c:pt>
                <c:pt idx="3">
                  <c:v>2.2000000000000002</c:v>
                </c:pt>
                <c:pt idx="4">
                  <c:v>2</c:v>
                </c:pt>
                <c:pt idx="5">
                  <c:v>2</c:v>
                </c:pt>
                <c:pt idx="6">
                  <c:v>2.5</c:v>
                </c:pt>
              </c:numCache>
            </c:numRef>
          </c:yVal>
          <c:smooth val="1"/>
          <c:extLst>
            <c:ext xmlns:c16="http://schemas.microsoft.com/office/drawing/2014/chart" uri="{C3380CC4-5D6E-409C-BE32-E72D297353CC}">
              <c16:uniqueId val="{00000001-01D2-4931-919F-8AC3166EE9D5}"/>
            </c:ext>
          </c:extLst>
        </c:ser>
        <c:dLbls>
          <c:showLegendKey val="0"/>
          <c:showVal val="0"/>
          <c:showCatName val="0"/>
          <c:showSerName val="0"/>
          <c:showPercent val="0"/>
          <c:showBubbleSize val="0"/>
        </c:dLbls>
        <c:axId val="1152716928"/>
        <c:axId val="1152717320"/>
        <c:extLst>
          <c:ext xmlns:c15="http://schemas.microsoft.com/office/drawing/2012/chart" uri="{02D57815-91ED-43cb-92C2-25804820EDAC}">
            <c15:filteredScatterSeries>
              <c15:ser>
                <c:idx val="0"/>
                <c:order val="0"/>
                <c:tx>
                  <c:strRef>
                    <c:extLst>
                      <c:ext uri="{02D57815-91ED-43cb-92C2-25804820EDAC}">
                        <c15:formulaRef>
                          <c15:sqref>'Fig 9-23'!$A$4</c15:sqref>
                        </c15:formulaRef>
                      </c:ext>
                    </c:extLst>
                    <c:strCache>
                      <c:ptCount val="1"/>
                      <c:pt idx="0">
                        <c:v>Below Silverton (RK 16.4)</c:v>
                      </c:pt>
                    </c:strCache>
                  </c:strRef>
                </c:tx>
                <c:spPr>
                  <a:ln w="12700" cap="rnd">
                    <a:solidFill>
                      <a:schemeClr val="accent1">
                        <a:lumMod val="75000"/>
                      </a:schemeClr>
                    </a:solidFill>
                    <a:prstDash val="sysDash"/>
                    <a:round/>
                  </a:ln>
                  <a:effectLst/>
                </c:spPr>
                <c:marker>
                  <c:symbol val="square"/>
                  <c:size val="5"/>
                  <c:spPr>
                    <a:solidFill>
                      <a:schemeClr val="tx2">
                        <a:lumMod val="40000"/>
                        <a:lumOff val="60000"/>
                      </a:schemeClr>
                    </a:solidFill>
                    <a:ln w="9525">
                      <a:solidFill>
                        <a:schemeClr val="tx2">
                          <a:lumMod val="60000"/>
                          <a:lumOff val="40000"/>
                        </a:schemeClr>
                      </a:solidFill>
                    </a:ln>
                    <a:effectLst/>
                  </c:spPr>
                </c:marker>
                <c:xVal>
                  <c:numRef>
                    <c:extLst>
                      <c:ext uri="{02D57815-91ED-43cb-92C2-25804820EDAC}">
                        <c15:formulaRef>
                          <c15:sqref>'Fig 9-23'!$B$4:$B$10</c15:sqref>
                        </c15:formulaRef>
                      </c:ext>
                    </c:extLst>
                    <c:numCache>
                      <c:formatCode>m/d/yyyy</c:formatCode>
                      <c:ptCount val="7"/>
                      <c:pt idx="0">
                        <c:v>42493</c:v>
                      </c:pt>
                      <c:pt idx="1">
                        <c:v>42501</c:v>
                      </c:pt>
                      <c:pt idx="2">
                        <c:v>42509</c:v>
                      </c:pt>
                      <c:pt idx="3">
                        <c:v>42516</c:v>
                      </c:pt>
                      <c:pt idx="4">
                        <c:v>42522</c:v>
                      </c:pt>
                      <c:pt idx="5">
                        <c:v>42527.527777777781</c:v>
                      </c:pt>
                      <c:pt idx="6">
                        <c:v>42536</c:v>
                      </c:pt>
                    </c:numCache>
                  </c:numRef>
                </c:xVal>
                <c:yVal>
                  <c:numRef>
                    <c:extLst>
                      <c:ext uri="{02D57815-91ED-43cb-92C2-25804820EDAC}">
                        <c15:formulaRef>
                          <c15:sqref>'Fig 9-23'!$E$4:$E$10</c15:sqref>
                        </c15:formulaRef>
                      </c:ext>
                    </c:extLst>
                    <c:numCache>
                      <c:formatCode>General</c:formatCode>
                      <c:ptCount val="7"/>
                      <c:pt idx="0">
                        <c:v>0.12</c:v>
                      </c:pt>
                      <c:pt idx="1">
                        <c:v>0.32</c:v>
                      </c:pt>
                      <c:pt idx="2">
                        <c:v>1.4</c:v>
                      </c:pt>
                      <c:pt idx="3">
                        <c:v>1.3</c:v>
                      </c:pt>
                      <c:pt idx="4">
                        <c:v>2.2999999999999998</c:v>
                      </c:pt>
                      <c:pt idx="5">
                        <c:v>4.0999999999999996</c:v>
                      </c:pt>
                      <c:pt idx="6">
                        <c:v>4.5999999999999996</c:v>
                      </c:pt>
                    </c:numCache>
                  </c:numRef>
                </c:yVal>
                <c:smooth val="1"/>
                <c:extLst>
                  <c:ext xmlns:c16="http://schemas.microsoft.com/office/drawing/2014/chart" uri="{C3380CC4-5D6E-409C-BE32-E72D297353CC}">
                    <c16:uniqueId val="{00000002-01D2-4931-919F-8AC3166EE9D5}"/>
                  </c:ext>
                </c:extLst>
              </c15:ser>
            </c15:filteredScatterSeries>
          </c:ext>
        </c:extLst>
      </c:scatterChart>
      <c:valAx>
        <c:axId val="1152716928"/>
        <c:scaling>
          <c:orientation val="minMax"/>
        </c:scaling>
        <c:delete val="0"/>
        <c:axPos val="b"/>
        <c:majorGridlines>
          <c:spPr>
            <a:ln w="9525" cap="flat" cmpd="sng" algn="ctr">
              <a:solidFill>
                <a:schemeClr val="tx1">
                  <a:lumMod val="15000"/>
                  <a:lumOff val="85000"/>
                </a:schemeClr>
              </a:solid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1152717320"/>
        <c:crosses val="autoZero"/>
        <c:crossBetween val="midCat"/>
        <c:majorUnit val="7"/>
        <c:minorUnit val="1"/>
      </c:valAx>
      <c:valAx>
        <c:axId val="1152717320"/>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Concentration (mg/kg)</a:t>
                </a:r>
              </a:p>
            </c:rich>
          </c:tx>
          <c:layout>
            <c:manualLayout>
              <c:xMode val="edge"/>
              <c:yMode val="edge"/>
              <c:x val="1.1481746599856835E-2"/>
              <c:y val="0.26362907395524932"/>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1152716928"/>
        <c:crosses val="autoZero"/>
        <c:crossBetween val="midCat"/>
      </c:valAx>
      <c:spPr>
        <a:noFill/>
        <a:ln>
          <a:noFill/>
        </a:ln>
        <a:effectLst/>
      </c:spPr>
    </c:plotArea>
    <c:legend>
      <c:legendPos val="t"/>
      <c:layout>
        <c:manualLayout>
          <c:xMode val="edge"/>
          <c:yMode val="edge"/>
          <c:x val="0.23145605791211576"/>
          <c:y val="0.11769168091440112"/>
          <c:w val="0.61960170603674536"/>
          <c:h val="9.1278509893680054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mn-lt"/>
                <a:ea typeface="+mn-ea"/>
                <a:cs typeface="+mn-cs"/>
              </a:defRPr>
            </a:pPr>
            <a:r>
              <a:rPr lang="en-US" sz="1100"/>
              <a:t>Animas River at Silverton RK 16.4 </a:t>
            </a:r>
            <a:br>
              <a:rPr lang="en-US" sz="1100"/>
            </a:br>
            <a:r>
              <a:rPr lang="en-US" sz="1100"/>
              <a:t>Zinc</a:t>
            </a:r>
          </a:p>
        </c:rich>
      </c:tx>
      <c:layout>
        <c:manualLayout>
          <c:xMode val="edge"/>
          <c:yMode val="edge"/>
          <c:x val="0.28769732550554467"/>
          <c:y val="2.7210884353741496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7091838756004557"/>
          <c:y val="0.15753608923884516"/>
          <c:w val="0.7220477393156044"/>
          <c:h val="0.62469670457859439"/>
        </c:manualLayout>
      </c:layout>
      <c:scatterChart>
        <c:scatterStyle val="lineMarker"/>
        <c:varyColors val="0"/>
        <c:ser>
          <c:idx val="0"/>
          <c:order val="0"/>
          <c:tx>
            <c:v>Zinc</c:v>
          </c:tx>
          <c:spPr>
            <a:ln w="19050" cap="rnd">
              <a:solidFill>
                <a:schemeClr val="tx2">
                  <a:lumMod val="60000"/>
                  <a:lumOff val="40000"/>
                </a:schemeClr>
              </a:solidFill>
              <a:prstDash val="sysDash"/>
              <a:round/>
            </a:ln>
            <a:effectLst/>
          </c:spPr>
          <c:marker>
            <c:symbol val="circle"/>
            <c:size val="7"/>
            <c:spPr>
              <a:solidFill>
                <a:schemeClr val="accent3">
                  <a:lumMod val="60000"/>
                  <a:lumOff val="40000"/>
                </a:schemeClr>
              </a:solidFill>
              <a:ln w="9525">
                <a:solidFill>
                  <a:schemeClr val="tx1">
                    <a:lumMod val="50000"/>
                    <a:lumOff val="50000"/>
                  </a:schemeClr>
                </a:solidFill>
              </a:ln>
              <a:effectLst/>
            </c:spPr>
          </c:marker>
          <c:dPt>
            <c:idx val="22"/>
            <c:marker>
              <c:symbol val="circle"/>
              <c:size val="7"/>
              <c:spPr>
                <a:solidFill>
                  <a:schemeClr val="accent3">
                    <a:lumMod val="60000"/>
                    <a:lumOff val="40000"/>
                  </a:schemeClr>
                </a:solidFill>
                <a:ln w="9525">
                  <a:solidFill>
                    <a:schemeClr val="tx1">
                      <a:lumMod val="50000"/>
                      <a:lumOff val="50000"/>
                    </a:schemeClr>
                  </a:solidFill>
                </a:ln>
                <a:effectLst/>
              </c:spPr>
            </c:marker>
            <c:bubble3D val="0"/>
            <c:spPr>
              <a:ln w="19050" cap="rnd">
                <a:noFill/>
                <a:prstDash val="sysDash"/>
                <a:round/>
              </a:ln>
              <a:effectLst/>
            </c:spPr>
            <c:extLst>
              <c:ext xmlns:c16="http://schemas.microsoft.com/office/drawing/2014/chart" uri="{C3380CC4-5D6E-409C-BE32-E72D297353CC}">
                <c16:uniqueId val="{00000000-0886-41D9-A099-DC6B4C3BA94A}"/>
              </c:ext>
            </c:extLst>
          </c:dPt>
          <c:xVal>
            <c:numRef>
              <c:f>Silverton!$AC$7:$AC$36</c:f>
              <c:numCache>
                <c:formatCode>m/d/yy\ h:mm;@</c:formatCode>
                <c:ptCount val="30"/>
                <c:pt idx="0">
                  <c:v>42227.548611111109</c:v>
                </c:pt>
                <c:pt idx="1">
                  <c:v>42243.625</c:v>
                </c:pt>
                <c:pt idx="2">
                  <c:v>42247.590277777781</c:v>
                </c:pt>
                <c:pt idx="3">
                  <c:v>42263.541666666664</c:v>
                </c:pt>
                <c:pt idx="4">
                  <c:v>42263.541666666664</c:v>
                </c:pt>
                <c:pt idx="5">
                  <c:v>42264.559027777781</c:v>
                </c:pt>
                <c:pt idx="6">
                  <c:v>42264.559027777781</c:v>
                </c:pt>
                <c:pt idx="7">
                  <c:v>42266.635416666664</c:v>
                </c:pt>
                <c:pt idx="8">
                  <c:v>42266.635416666664</c:v>
                </c:pt>
                <c:pt idx="9">
                  <c:v>42267.579861111109</c:v>
                </c:pt>
                <c:pt idx="10">
                  <c:v>42267.579861111109</c:v>
                </c:pt>
                <c:pt idx="11">
                  <c:v>42268.555555555555</c:v>
                </c:pt>
                <c:pt idx="12">
                  <c:v>42268.555555555555</c:v>
                </c:pt>
                <c:pt idx="13">
                  <c:v>42271.590277777781</c:v>
                </c:pt>
                <c:pt idx="14">
                  <c:v>42271.590277777781</c:v>
                </c:pt>
                <c:pt idx="15">
                  <c:v>42275.586805555555</c:v>
                </c:pt>
                <c:pt idx="16">
                  <c:v>42275.586805555555</c:v>
                </c:pt>
                <c:pt idx="17">
                  <c:v>42278.590277777781</c:v>
                </c:pt>
                <c:pt idx="18">
                  <c:v>42278.590277777781</c:v>
                </c:pt>
                <c:pt idx="19">
                  <c:v>42278.590277777781</c:v>
                </c:pt>
                <c:pt idx="20">
                  <c:v>42278.590277777781</c:v>
                </c:pt>
                <c:pt idx="21">
                  <c:v>42303.575694444444</c:v>
                </c:pt>
                <c:pt idx="22" formatCode="m/d/yyyy">
                  <c:v>42493</c:v>
                </c:pt>
                <c:pt idx="23" formatCode="m/d/yyyy">
                  <c:v>42501</c:v>
                </c:pt>
                <c:pt idx="24" formatCode="m/d/yyyy">
                  <c:v>42509</c:v>
                </c:pt>
                <c:pt idx="25" formatCode="m/d/yyyy">
                  <c:v>42516</c:v>
                </c:pt>
                <c:pt idx="26" formatCode="m/d/yyyy">
                  <c:v>42522</c:v>
                </c:pt>
                <c:pt idx="27" formatCode="m/d/yyyy">
                  <c:v>42527.527777777781</c:v>
                </c:pt>
                <c:pt idx="28" formatCode="m/d/yyyy">
                  <c:v>42528</c:v>
                </c:pt>
                <c:pt idx="29" formatCode="m/d/yyyy">
                  <c:v>42536</c:v>
                </c:pt>
              </c:numCache>
            </c:numRef>
          </c:xVal>
          <c:yVal>
            <c:numRef>
              <c:f>Silverton!$AJ$7:$AJ$36</c:f>
              <c:numCache>
                <c:formatCode>#,##0</c:formatCode>
                <c:ptCount val="30"/>
                <c:pt idx="0">
                  <c:v>500</c:v>
                </c:pt>
                <c:pt idx="1">
                  <c:v>210</c:v>
                </c:pt>
                <c:pt idx="2">
                  <c:v>640</c:v>
                </c:pt>
                <c:pt idx="3">
                  <c:v>530</c:v>
                </c:pt>
                <c:pt idx="4">
                  <c:v>530</c:v>
                </c:pt>
                <c:pt idx="5">
                  <c:v>540</c:v>
                </c:pt>
                <c:pt idx="6">
                  <c:v>540</c:v>
                </c:pt>
                <c:pt idx="7">
                  <c:v>440</c:v>
                </c:pt>
                <c:pt idx="8">
                  <c:v>440</c:v>
                </c:pt>
                <c:pt idx="9">
                  <c:v>240</c:v>
                </c:pt>
                <c:pt idx="10">
                  <c:v>240</c:v>
                </c:pt>
                <c:pt idx="11">
                  <c:v>380</c:v>
                </c:pt>
                <c:pt idx="12">
                  <c:v>380</c:v>
                </c:pt>
                <c:pt idx="13">
                  <c:v>300</c:v>
                </c:pt>
                <c:pt idx="14">
                  <c:v>300</c:v>
                </c:pt>
                <c:pt idx="15">
                  <c:v>380</c:v>
                </c:pt>
                <c:pt idx="16">
                  <c:v>380</c:v>
                </c:pt>
                <c:pt idx="17">
                  <c:v>290</c:v>
                </c:pt>
                <c:pt idx="18">
                  <c:v>410</c:v>
                </c:pt>
                <c:pt idx="19">
                  <c:v>290</c:v>
                </c:pt>
                <c:pt idx="20">
                  <c:v>410</c:v>
                </c:pt>
                <c:pt idx="21">
                  <c:v>710</c:v>
                </c:pt>
                <c:pt idx="22" formatCode="General">
                  <c:v>110</c:v>
                </c:pt>
                <c:pt idx="23" formatCode="General">
                  <c:v>190</c:v>
                </c:pt>
                <c:pt idx="24" formatCode="General">
                  <c:v>510</c:v>
                </c:pt>
                <c:pt idx="25" formatCode="General">
                  <c:v>550</c:v>
                </c:pt>
                <c:pt idx="26" formatCode="General">
                  <c:v>700</c:v>
                </c:pt>
                <c:pt idx="27" formatCode="General">
                  <c:v>990</c:v>
                </c:pt>
                <c:pt idx="28" formatCode="General">
                  <c:v>450</c:v>
                </c:pt>
                <c:pt idx="29" formatCode="General">
                  <c:v>1000</c:v>
                </c:pt>
              </c:numCache>
            </c:numRef>
          </c:yVal>
          <c:smooth val="0"/>
          <c:extLst>
            <c:ext xmlns:c16="http://schemas.microsoft.com/office/drawing/2014/chart" uri="{C3380CC4-5D6E-409C-BE32-E72D297353CC}">
              <c16:uniqueId val="{00000000-BF5A-4BAB-B997-326899BE15AC}"/>
            </c:ext>
          </c:extLst>
        </c:ser>
        <c:dLbls>
          <c:showLegendKey val="0"/>
          <c:showVal val="0"/>
          <c:showCatName val="0"/>
          <c:showSerName val="0"/>
          <c:showPercent val="0"/>
          <c:showBubbleSize val="0"/>
        </c:dLbls>
        <c:axId val="1026408968"/>
        <c:axId val="1026409360"/>
      </c:scatterChart>
      <c:valAx>
        <c:axId val="1026408968"/>
        <c:scaling>
          <c:orientation val="minMax"/>
        </c:scaling>
        <c:delete val="0"/>
        <c:axPos val="b"/>
        <c:majorGridlines>
          <c:spPr>
            <a:ln w="9525" cap="flat" cmpd="sng" algn="ctr">
              <a:noFill/>
              <a:round/>
            </a:ln>
            <a:effectLst/>
          </c:spPr>
        </c:majorGridlines>
        <c:numFmt formatCode="m/d/yy\ h:mm;@" sourceLinked="1"/>
        <c:majorTickMark val="none"/>
        <c:minorTickMark val="none"/>
        <c:tickLblPos val="nextTo"/>
        <c:spPr>
          <a:noFill/>
          <a:ln w="9525" cap="flat" cmpd="sng" algn="ctr">
            <a:solidFill>
              <a:schemeClr val="tx1">
                <a:lumMod val="25000"/>
                <a:lumOff val="75000"/>
              </a:schemeClr>
            </a:solidFill>
            <a:round/>
          </a:ln>
          <a:effectLst/>
        </c:spPr>
        <c:txPr>
          <a:bodyPr rot="2700000" spcFirstLastPara="1" vertOverflow="ellipsis"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026409360"/>
        <c:crosses val="autoZero"/>
        <c:crossBetween val="midCat"/>
      </c:valAx>
      <c:valAx>
        <c:axId val="10264093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a:t>Sediment Concentration mg/kg</a:t>
                </a:r>
              </a:p>
            </c:rich>
          </c:tx>
          <c:layout>
            <c:manualLayout>
              <c:xMode val="edge"/>
              <c:yMode val="edge"/>
              <c:x val="2.448162729658792E-3"/>
              <c:y val="0.14959281131525226"/>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02640896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Copper (Cu)</a:t>
            </a:r>
          </a:p>
        </c:rich>
      </c:tx>
      <c:layout>
        <c:manualLayout>
          <c:xMode val="edge"/>
          <c:yMode val="edge"/>
          <c:x val="0.4219503799936033"/>
          <c:y val="3.1370638797477729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3810769785304883"/>
          <c:y val="0.1814197135780572"/>
          <c:w val="0.77735085822202588"/>
          <c:h val="0.71118095849964691"/>
        </c:manualLayout>
      </c:layout>
      <c:scatterChart>
        <c:scatterStyle val="smoothMarker"/>
        <c:varyColors val="0"/>
        <c:ser>
          <c:idx val="1"/>
          <c:order val="1"/>
          <c:tx>
            <c:strRef>
              <c:f>'Fig 9-23'!$A$15</c:f>
              <c:strCache>
                <c:ptCount val="1"/>
                <c:pt idx="0">
                  <c:v>Bakers Bridge (RK 64)</c:v>
                </c:pt>
              </c:strCache>
            </c:strRef>
          </c:tx>
          <c:spPr>
            <a:ln w="15875" cap="rnd">
              <a:solidFill>
                <a:schemeClr val="accent2"/>
              </a:solidFill>
              <a:prstDash val="sysDash"/>
              <a:round/>
            </a:ln>
            <a:effectLst/>
          </c:spPr>
          <c:marker>
            <c:symbol val="circle"/>
            <c:size val="5"/>
            <c:spPr>
              <a:solidFill>
                <a:srgbClr val="A2362E"/>
              </a:solidFill>
              <a:ln w="9525">
                <a:solidFill>
                  <a:schemeClr val="accent2">
                    <a:lumMod val="75000"/>
                  </a:schemeClr>
                </a:solidFill>
              </a:ln>
              <a:effectLst/>
            </c:spPr>
          </c:marker>
          <c:xVal>
            <c:numRef>
              <c:f>'Fig 9-23'!$B$14:$B$21</c:f>
              <c:numCache>
                <c:formatCode>m/d/yyyy</c:formatCode>
                <c:ptCount val="8"/>
                <c:pt idx="0">
                  <c:v>42493.618055555555</c:v>
                </c:pt>
                <c:pt idx="1">
                  <c:v>42501.469444444447</c:v>
                </c:pt>
                <c:pt idx="2">
                  <c:v>42509.559027777781</c:v>
                </c:pt>
                <c:pt idx="3">
                  <c:v>42516.538194444445</c:v>
                </c:pt>
                <c:pt idx="4">
                  <c:v>42522.538194444445</c:v>
                </c:pt>
                <c:pt idx="5">
                  <c:v>42527.642361111109</c:v>
                </c:pt>
                <c:pt idx="6">
                  <c:v>42528.395833333336</c:v>
                </c:pt>
                <c:pt idx="7">
                  <c:v>42536.5625</c:v>
                </c:pt>
              </c:numCache>
            </c:numRef>
          </c:xVal>
          <c:yVal>
            <c:numRef>
              <c:f>'Fig 9-23'!$F$14:$F$21</c:f>
              <c:numCache>
                <c:formatCode>General</c:formatCode>
                <c:ptCount val="8"/>
                <c:pt idx="0">
                  <c:v>510</c:v>
                </c:pt>
                <c:pt idx="1">
                  <c:v>270</c:v>
                </c:pt>
                <c:pt idx="2">
                  <c:v>130</c:v>
                </c:pt>
                <c:pt idx="3">
                  <c:v>130</c:v>
                </c:pt>
                <c:pt idx="4">
                  <c:v>140</c:v>
                </c:pt>
                <c:pt idx="5">
                  <c:v>110</c:v>
                </c:pt>
                <c:pt idx="6">
                  <c:v>100</c:v>
                </c:pt>
                <c:pt idx="7">
                  <c:v>120</c:v>
                </c:pt>
              </c:numCache>
            </c:numRef>
          </c:yVal>
          <c:smooth val="1"/>
          <c:extLst>
            <c:ext xmlns:c16="http://schemas.microsoft.com/office/drawing/2014/chart" uri="{C3380CC4-5D6E-409C-BE32-E72D297353CC}">
              <c16:uniqueId val="{00000000-030B-406A-847C-7ABA08D24A9F}"/>
            </c:ext>
          </c:extLst>
        </c:ser>
        <c:ser>
          <c:idx val="2"/>
          <c:order val="2"/>
          <c:tx>
            <c:strRef>
              <c:f>'Fig 9-23'!$A$26</c:f>
              <c:strCache>
                <c:ptCount val="1"/>
                <c:pt idx="0">
                  <c:v>Durango (RK 94)</c:v>
                </c:pt>
              </c:strCache>
            </c:strRef>
          </c:tx>
          <c:spPr>
            <a:ln w="12700" cap="rnd">
              <a:solidFill>
                <a:srgbClr val="350EA4"/>
              </a:solidFill>
              <a:prstDash val="sysDash"/>
              <a:round/>
            </a:ln>
            <a:effectLst/>
          </c:spPr>
          <c:marker>
            <c:symbol val="triangle"/>
            <c:size val="7"/>
            <c:spPr>
              <a:solidFill>
                <a:srgbClr val="350EA4"/>
              </a:solidFill>
              <a:ln w="9525">
                <a:solidFill>
                  <a:srgbClr val="350EA4"/>
                </a:solidFill>
              </a:ln>
              <a:effectLst/>
            </c:spPr>
          </c:marker>
          <c:xVal>
            <c:numRef>
              <c:f>'Fig 9-23'!$B$26:$B$32</c:f>
              <c:numCache>
                <c:formatCode>m/d/yyyy</c:formatCode>
                <c:ptCount val="7"/>
                <c:pt idx="0">
                  <c:v>42493</c:v>
                </c:pt>
                <c:pt idx="1">
                  <c:v>42501</c:v>
                </c:pt>
                <c:pt idx="2">
                  <c:v>42509</c:v>
                </c:pt>
                <c:pt idx="3">
                  <c:v>42516</c:v>
                </c:pt>
                <c:pt idx="4">
                  <c:v>42522</c:v>
                </c:pt>
                <c:pt idx="5">
                  <c:v>42528</c:v>
                </c:pt>
                <c:pt idx="6">
                  <c:v>42536</c:v>
                </c:pt>
              </c:numCache>
            </c:numRef>
          </c:xVal>
          <c:yVal>
            <c:numRef>
              <c:f>'Fig 9-23'!$F$26:$F$32</c:f>
              <c:numCache>
                <c:formatCode>General</c:formatCode>
                <c:ptCount val="7"/>
                <c:pt idx="0">
                  <c:v>55</c:v>
                </c:pt>
                <c:pt idx="1">
                  <c:v>120</c:v>
                </c:pt>
                <c:pt idx="2">
                  <c:v>81</c:v>
                </c:pt>
                <c:pt idx="3">
                  <c:v>81</c:v>
                </c:pt>
                <c:pt idx="4">
                  <c:v>81</c:v>
                </c:pt>
                <c:pt idx="5">
                  <c:v>47</c:v>
                </c:pt>
                <c:pt idx="6">
                  <c:v>52</c:v>
                </c:pt>
              </c:numCache>
            </c:numRef>
          </c:yVal>
          <c:smooth val="1"/>
          <c:extLst>
            <c:ext xmlns:c16="http://schemas.microsoft.com/office/drawing/2014/chart" uri="{C3380CC4-5D6E-409C-BE32-E72D297353CC}">
              <c16:uniqueId val="{00000001-030B-406A-847C-7ABA08D24A9F}"/>
            </c:ext>
          </c:extLst>
        </c:ser>
        <c:dLbls>
          <c:showLegendKey val="0"/>
          <c:showVal val="0"/>
          <c:showCatName val="0"/>
          <c:showSerName val="0"/>
          <c:showPercent val="0"/>
          <c:showBubbleSize val="0"/>
        </c:dLbls>
        <c:axId val="1152718104"/>
        <c:axId val="1152718496"/>
        <c:extLst>
          <c:ext xmlns:c15="http://schemas.microsoft.com/office/drawing/2012/chart" uri="{02D57815-91ED-43cb-92C2-25804820EDAC}">
            <c15:filteredScatterSeries>
              <c15:ser>
                <c:idx val="0"/>
                <c:order val="0"/>
                <c:tx>
                  <c:strRef>
                    <c:extLst>
                      <c:ext uri="{02D57815-91ED-43cb-92C2-25804820EDAC}">
                        <c15:formulaRef>
                          <c15:sqref>'Fig 9-23'!$A$4</c15:sqref>
                        </c15:formulaRef>
                      </c:ext>
                    </c:extLst>
                    <c:strCache>
                      <c:ptCount val="1"/>
                      <c:pt idx="0">
                        <c:v>Below Silverton (RK 16.4)</c:v>
                      </c:pt>
                    </c:strCache>
                  </c:strRef>
                </c:tx>
                <c:spPr>
                  <a:ln w="12700" cap="rnd">
                    <a:solidFill>
                      <a:schemeClr val="accent1">
                        <a:lumMod val="75000"/>
                      </a:schemeClr>
                    </a:solidFill>
                    <a:prstDash val="sysDash"/>
                    <a:round/>
                  </a:ln>
                  <a:effectLst/>
                </c:spPr>
                <c:marker>
                  <c:symbol val="square"/>
                  <c:size val="5"/>
                  <c:spPr>
                    <a:solidFill>
                      <a:schemeClr val="tx2">
                        <a:lumMod val="40000"/>
                        <a:lumOff val="60000"/>
                      </a:schemeClr>
                    </a:solidFill>
                    <a:ln w="9525">
                      <a:solidFill>
                        <a:schemeClr val="tx2">
                          <a:lumMod val="60000"/>
                          <a:lumOff val="40000"/>
                        </a:schemeClr>
                      </a:solidFill>
                    </a:ln>
                    <a:effectLst/>
                  </c:spPr>
                </c:marker>
                <c:xVal>
                  <c:numRef>
                    <c:extLst>
                      <c:ext uri="{02D57815-91ED-43cb-92C2-25804820EDAC}">
                        <c15:formulaRef>
                          <c15:sqref>'Fig 9-23'!$B$4:$B$10</c15:sqref>
                        </c15:formulaRef>
                      </c:ext>
                    </c:extLst>
                    <c:numCache>
                      <c:formatCode>m/d/yyyy</c:formatCode>
                      <c:ptCount val="7"/>
                      <c:pt idx="0">
                        <c:v>42493</c:v>
                      </c:pt>
                      <c:pt idx="1">
                        <c:v>42501</c:v>
                      </c:pt>
                      <c:pt idx="2">
                        <c:v>42509</c:v>
                      </c:pt>
                      <c:pt idx="3">
                        <c:v>42516</c:v>
                      </c:pt>
                      <c:pt idx="4">
                        <c:v>42522</c:v>
                      </c:pt>
                      <c:pt idx="5">
                        <c:v>42527.527777777781</c:v>
                      </c:pt>
                      <c:pt idx="6">
                        <c:v>42536</c:v>
                      </c:pt>
                    </c:numCache>
                  </c:numRef>
                </c:xVal>
                <c:yVal>
                  <c:numRef>
                    <c:extLst>
                      <c:ext uri="{02D57815-91ED-43cb-92C2-25804820EDAC}">
                        <c15:formulaRef>
                          <c15:sqref>'Fig 9-23'!$F$4:$F$10</c15:sqref>
                        </c15:formulaRef>
                      </c:ext>
                    </c:extLst>
                    <c:numCache>
                      <c:formatCode>General</c:formatCode>
                      <c:ptCount val="7"/>
                      <c:pt idx="0">
                        <c:v>17</c:v>
                      </c:pt>
                      <c:pt idx="1">
                        <c:v>43</c:v>
                      </c:pt>
                      <c:pt idx="2">
                        <c:v>120</c:v>
                      </c:pt>
                      <c:pt idx="3">
                        <c:v>41</c:v>
                      </c:pt>
                      <c:pt idx="4">
                        <c:v>150</c:v>
                      </c:pt>
                      <c:pt idx="5">
                        <c:v>180</c:v>
                      </c:pt>
                      <c:pt idx="6">
                        <c:v>170</c:v>
                      </c:pt>
                    </c:numCache>
                  </c:numRef>
                </c:yVal>
                <c:smooth val="1"/>
                <c:extLst>
                  <c:ext xmlns:c16="http://schemas.microsoft.com/office/drawing/2014/chart" uri="{C3380CC4-5D6E-409C-BE32-E72D297353CC}">
                    <c16:uniqueId val="{00000002-030B-406A-847C-7ABA08D24A9F}"/>
                  </c:ext>
                </c:extLst>
              </c15:ser>
            </c15:filteredScatterSeries>
          </c:ext>
        </c:extLst>
      </c:scatterChart>
      <c:valAx>
        <c:axId val="1152718104"/>
        <c:scaling>
          <c:orientation val="minMax"/>
        </c:scaling>
        <c:delete val="0"/>
        <c:axPos val="b"/>
        <c:majorGridlines>
          <c:spPr>
            <a:ln w="9525" cap="flat" cmpd="sng" algn="ctr">
              <a:solidFill>
                <a:schemeClr val="tx1">
                  <a:lumMod val="15000"/>
                  <a:lumOff val="85000"/>
                </a:schemeClr>
              </a:solid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1152718496"/>
        <c:crosses val="autoZero"/>
        <c:crossBetween val="midCat"/>
        <c:majorUnit val="7"/>
        <c:minorUnit val="1"/>
      </c:valAx>
      <c:valAx>
        <c:axId val="1152718496"/>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Concentration (mg/kg)</a:t>
                </a:r>
              </a:p>
            </c:rich>
          </c:tx>
          <c:layout>
            <c:manualLayout>
              <c:xMode val="edge"/>
              <c:yMode val="edge"/>
              <c:x val="1.1481746599856835E-2"/>
              <c:y val="0.26362907395524932"/>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1152718104"/>
        <c:crosses val="autoZero"/>
        <c:crossBetween val="midCat"/>
      </c:valAx>
      <c:spPr>
        <a:noFill/>
        <a:ln>
          <a:noFill/>
        </a:ln>
        <a:effectLst/>
      </c:spPr>
    </c:plotArea>
    <c:legend>
      <c:legendPos val="t"/>
      <c:layout>
        <c:manualLayout>
          <c:xMode val="edge"/>
          <c:yMode val="edge"/>
          <c:x val="0.20726257380303284"/>
          <c:y val="0.12796785096155017"/>
          <c:w val="0.61960170603674536"/>
          <c:h val="9.1278509893680054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3"/>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Iron (Fe)</a:t>
            </a:r>
          </a:p>
        </c:rich>
      </c:tx>
      <c:layout>
        <c:manualLayout>
          <c:xMode val="edge"/>
          <c:yMode val="edge"/>
          <c:x val="0.4219503799936033"/>
          <c:y val="3.1370638797477729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7326664148117923"/>
          <c:y val="0.1814197135780572"/>
          <c:w val="0.74219189552594156"/>
          <c:h val="0.71118095849964691"/>
        </c:manualLayout>
      </c:layout>
      <c:scatterChart>
        <c:scatterStyle val="smoothMarker"/>
        <c:varyColors val="0"/>
        <c:ser>
          <c:idx val="1"/>
          <c:order val="1"/>
          <c:tx>
            <c:strRef>
              <c:f>'Fig 9-23'!$A$15</c:f>
              <c:strCache>
                <c:ptCount val="1"/>
                <c:pt idx="0">
                  <c:v>Bakers Bridge (RK 64)</c:v>
                </c:pt>
              </c:strCache>
            </c:strRef>
          </c:tx>
          <c:spPr>
            <a:ln w="15875" cap="rnd">
              <a:solidFill>
                <a:schemeClr val="accent2"/>
              </a:solidFill>
              <a:prstDash val="sysDash"/>
              <a:round/>
            </a:ln>
            <a:effectLst/>
          </c:spPr>
          <c:marker>
            <c:symbol val="circle"/>
            <c:size val="5"/>
            <c:spPr>
              <a:solidFill>
                <a:srgbClr val="A2362E"/>
              </a:solidFill>
              <a:ln w="9525">
                <a:solidFill>
                  <a:schemeClr val="accent2"/>
                </a:solidFill>
              </a:ln>
              <a:effectLst/>
            </c:spPr>
          </c:marker>
          <c:xVal>
            <c:numRef>
              <c:f>'Fig 9-23'!$B$14:$B$21</c:f>
              <c:numCache>
                <c:formatCode>m/d/yyyy</c:formatCode>
                <c:ptCount val="8"/>
                <c:pt idx="0">
                  <c:v>42493.618055555555</c:v>
                </c:pt>
                <c:pt idx="1">
                  <c:v>42501.469444444447</c:v>
                </c:pt>
                <c:pt idx="2">
                  <c:v>42509.559027777781</c:v>
                </c:pt>
                <c:pt idx="3">
                  <c:v>42516.538194444445</c:v>
                </c:pt>
                <c:pt idx="4">
                  <c:v>42522.538194444445</c:v>
                </c:pt>
                <c:pt idx="5">
                  <c:v>42527.642361111109</c:v>
                </c:pt>
                <c:pt idx="6">
                  <c:v>42528.395833333336</c:v>
                </c:pt>
                <c:pt idx="7">
                  <c:v>42536.5625</c:v>
                </c:pt>
              </c:numCache>
            </c:numRef>
          </c:xVal>
          <c:yVal>
            <c:numRef>
              <c:f>'Fig 9-23'!$G$14:$G$21</c:f>
              <c:numCache>
                <c:formatCode>General</c:formatCode>
                <c:ptCount val="8"/>
                <c:pt idx="0">
                  <c:v>79000</c:v>
                </c:pt>
                <c:pt idx="1">
                  <c:v>51000</c:v>
                </c:pt>
                <c:pt idx="2">
                  <c:v>35000</c:v>
                </c:pt>
                <c:pt idx="3">
                  <c:v>39000</c:v>
                </c:pt>
                <c:pt idx="4">
                  <c:v>37000</c:v>
                </c:pt>
                <c:pt idx="5">
                  <c:v>28000</c:v>
                </c:pt>
                <c:pt idx="6">
                  <c:v>35000</c:v>
                </c:pt>
                <c:pt idx="7">
                  <c:v>29000</c:v>
                </c:pt>
              </c:numCache>
            </c:numRef>
          </c:yVal>
          <c:smooth val="1"/>
          <c:extLst>
            <c:ext xmlns:c16="http://schemas.microsoft.com/office/drawing/2014/chart" uri="{C3380CC4-5D6E-409C-BE32-E72D297353CC}">
              <c16:uniqueId val="{00000000-D299-49F7-8067-E8740797D5AC}"/>
            </c:ext>
          </c:extLst>
        </c:ser>
        <c:ser>
          <c:idx val="2"/>
          <c:order val="2"/>
          <c:tx>
            <c:strRef>
              <c:f>'Fig 9-23'!$A$26</c:f>
              <c:strCache>
                <c:ptCount val="1"/>
                <c:pt idx="0">
                  <c:v>Durango (RK 94)</c:v>
                </c:pt>
              </c:strCache>
            </c:strRef>
          </c:tx>
          <c:spPr>
            <a:ln w="12700" cap="rnd">
              <a:solidFill>
                <a:srgbClr val="350EA4"/>
              </a:solidFill>
              <a:prstDash val="sysDash"/>
              <a:round/>
            </a:ln>
            <a:effectLst/>
          </c:spPr>
          <c:marker>
            <c:symbol val="triangle"/>
            <c:size val="6"/>
            <c:spPr>
              <a:solidFill>
                <a:srgbClr val="350EA4"/>
              </a:solidFill>
              <a:ln w="9525">
                <a:solidFill>
                  <a:srgbClr val="350EA4"/>
                </a:solidFill>
              </a:ln>
              <a:effectLst/>
            </c:spPr>
          </c:marker>
          <c:xVal>
            <c:numRef>
              <c:f>'Fig 9-23'!$B$26:$B$32</c:f>
              <c:numCache>
                <c:formatCode>m/d/yyyy</c:formatCode>
                <c:ptCount val="7"/>
                <c:pt idx="0">
                  <c:v>42493</c:v>
                </c:pt>
                <c:pt idx="1">
                  <c:v>42501</c:v>
                </c:pt>
                <c:pt idx="2">
                  <c:v>42509</c:v>
                </c:pt>
                <c:pt idx="3">
                  <c:v>42516</c:v>
                </c:pt>
                <c:pt idx="4">
                  <c:v>42522</c:v>
                </c:pt>
                <c:pt idx="5">
                  <c:v>42528</c:v>
                </c:pt>
                <c:pt idx="6">
                  <c:v>42536</c:v>
                </c:pt>
              </c:numCache>
            </c:numRef>
          </c:xVal>
          <c:yVal>
            <c:numRef>
              <c:f>'Fig 9-23'!$G$26:$G$32</c:f>
              <c:numCache>
                <c:formatCode>General</c:formatCode>
                <c:ptCount val="7"/>
                <c:pt idx="0">
                  <c:v>17000</c:v>
                </c:pt>
                <c:pt idx="1">
                  <c:v>21000</c:v>
                </c:pt>
                <c:pt idx="2">
                  <c:v>22000</c:v>
                </c:pt>
                <c:pt idx="3">
                  <c:v>24000</c:v>
                </c:pt>
                <c:pt idx="4">
                  <c:v>24000</c:v>
                </c:pt>
                <c:pt idx="5">
                  <c:v>16000</c:v>
                </c:pt>
                <c:pt idx="6">
                  <c:v>15000</c:v>
                </c:pt>
              </c:numCache>
            </c:numRef>
          </c:yVal>
          <c:smooth val="1"/>
          <c:extLst>
            <c:ext xmlns:c16="http://schemas.microsoft.com/office/drawing/2014/chart" uri="{C3380CC4-5D6E-409C-BE32-E72D297353CC}">
              <c16:uniqueId val="{00000001-D299-49F7-8067-E8740797D5AC}"/>
            </c:ext>
          </c:extLst>
        </c:ser>
        <c:dLbls>
          <c:showLegendKey val="0"/>
          <c:showVal val="0"/>
          <c:showCatName val="0"/>
          <c:showSerName val="0"/>
          <c:showPercent val="0"/>
          <c:showBubbleSize val="0"/>
        </c:dLbls>
        <c:axId val="1152719280"/>
        <c:axId val="1152719672"/>
        <c:extLst>
          <c:ext xmlns:c15="http://schemas.microsoft.com/office/drawing/2012/chart" uri="{02D57815-91ED-43cb-92C2-25804820EDAC}">
            <c15:filteredScatterSeries>
              <c15:ser>
                <c:idx val="0"/>
                <c:order val="0"/>
                <c:tx>
                  <c:strRef>
                    <c:extLst>
                      <c:ext uri="{02D57815-91ED-43cb-92C2-25804820EDAC}">
                        <c15:formulaRef>
                          <c15:sqref>'Fig 9-23'!$A$4</c15:sqref>
                        </c15:formulaRef>
                      </c:ext>
                    </c:extLst>
                    <c:strCache>
                      <c:ptCount val="1"/>
                      <c:pt idx="0">
                        <c:v>Below Silverton (RK 16.4)</c:v>
                      </c:pt>
                    </c:strCache>
                  </c:strRef>
                </c:tx>
                <c:spPr>
                  <a:ln w="12700" cap="rnd">
                    <a:solidFill>
                      <a:schemeClr val="accent1">
                        <a:lumMod val="75000"/>
                      </a:schemeClr>
                    </a:solidFill>
                    <a:prstDash val="sysDash"/>
                    <a:round/>
                  </a:ln>
                  <a:effectLst/>
                </c:spPr>
                <c:marker>
                  <c:symbol val="circle"/>
                  <c:size val="5"/>
                  <c:spPr>
                    <a:solidFill>
                      <a:schemeClr val="accent1"/>
                    </a:solidFill>
                    <a:ln w="9525">
                      <a:solidFill>
                        <a:schemeClr val="accent1"/>
                      </a:solidFill>
                    </a:ln>
                    <a:effectLst/>
                  </c:spPr>
                </c:marker>
                <c:xVal>
                  <c:numRef>
                    <c:extLst>
                      <c:ext uri="{02D57815-91ED-43cb-92C2-25804820EDAC}">
                        <c15:formulaRef>
                          <c15:sqref>'Fig 9-23'!$B$4:$B$10</c15:sqref>
                        </c15:formulaRef>
                      </c:ext>
                    </c:extLst>
                    <c:numCache>
                      <c:formatCode>m/d/yyyy</c:formatCode>
                      <c:ptCount val="7"/>
                      <c:pt idx="0">
                        <c:v>42493</c:v>
                      </c:pt>
                      <c:pt idx="1">
                        <c:v>42501</c:v>
                      </c:pt>
                      <c:pt idx="2">
                        <c:v>42509</c:v>
                      </c:pt>
                      <c:pt idx="3">
                        <c:v>42516</c:v>
                      </c:pt>
                      <c:pt idx="4">
                        <c:v>42522</c:v>
                      </c:pt>
                      <c:pt idx="5">
                        <c:v>42527.527777777781</c:v>
                      </c:pt>
                      <c:pt idx="6">
                        <c:v>42536</c:v>
                      </c:pt>
                    </c:numCache>
                  </c:numRef>
                </c:xVal>
                <c:yVal>
                  <c:numRef>
                    <c:extLst>
                      <c:ext uri="{02D57815-91ED-43cb-92C2-25804820EDAC}">
                        <c15:formulaRef>
                          <c15:sqref>'Fig 9-23'!$D$4:$D$10</c15:sqref>
                        </c15:formulaRef>
                      </c:ext>
                    </c:extLst>
                    <c:numCache>
                      <c:formatCode>General</c:formatCode>
                      <c:ptCount val="7"/>
                      <c:pt idx="0">
                        <c:v>14000</c:v>
                      </c:pt>
                      <c:pt idx="1">
                        <c:v>16000</c:v>
                      </c:pt>
                      <c:pt idx="2">
                        <c:v>12000</c:v>
                      </c:pt>
                      <c:pt idx="3">
                        <c:v>13000</c:v>
                      </c:pt>
                      <c:pt idx="4">
                        <c:v>15000</c:v>
                      </c:pt>
                      <c:pt idx="5">
                        <c:v>9700</c:v>
                      </c:pt>
                      <c:pt idx="6">
                        <c:v>8400</c:v>
                      </c:pt>
                    </c:numCache>
                  </c:numRef>
                </c:yVal>
                <c:smooth val="1"/>
                <c:extLst>
                  <c:ext xmlns:c16="http://schemas.microsoft.com/office/drawing/2014/chart" uri="{C3380CC4-5D6E-409C-BE32-E72D297353CC}">
                    <c16:uniqueId val="{00000002-D299-49F7-8067-E8740797D5AC}"/>
                  </c:ext>
                </c:extLst>
              </c15:ser>
            </c15:filteredScatterSeries>
          </c:ext>
        </c:extLst>
      </c:scatterChart>
      <c:valAx>
        <c:axId val="1152719280"/>
        <c:scaling>
          <c:orientation val="minMax"/>
        </c:scaling>
        <c:delete val="0"/>
        <c:axPos val="b"/>
        <c:majorGridlines>
          <c:spPr>
            <a:ln w="9525" cap="flat" cmpd="sng" algn="ctr">
              <a:solidFill>
                <a:schemeClr val="tx1">
                  <a:lumMod val="15000"/>
                  <a:lumOff val="85000"/>
                </a:schemeClr>
              </a:solid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1152719672"/>
        <c:crosses val="autoZero"/>
        <c:crossBetween val="midCat"/>
        <c:majorUnit val="7"/>
        <c:minorUnit val="1"/>
      </c:valAx>
      <c:valAx>
        <c:axId val="1152719672"/>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Concentration (mg/kg)</a:t>
                </a:r>
              </a:p>
            </c:rich>
          </c:tx>
          <c:layout>
            <c:manualLayout>
              <c:xMode val="edge"/>
              <c:yMode val="edge"/>
              <c:x val="1.1481746599856835E-2"/>
              <c:y val="0.26362907395524932"/>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1152719280"/>
        <c:crosses val="autoZero"/>
        <c:crossBetween val="midCat"/>
        <c:majorUnit val="20000"/>
        <c:minorUnit val="10000"/>
      </c:valAx>
      <c:spPr>
        <a:noFill/>
        <a:ln>
          <a:noFill/>
        </a:ln>
        <a:effectLst/>
      </c:spPr>
    </c:plotArea>
    <c:legend>
      <c:legendPos val="t"/>
      <c:layout>
        <c:manualLayout>
          <c:xMode val="edge"/>
          <c:yMode val="edge"/>
          <c:x val="0.20726257380303284"/>
          <c:y val="0.12796785096155017"/>
          <c:w val="0.61960170603674536"/>
          <c:h val="9.1278509893680054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Animas Below Silverton (RK 16.4) </a:t>
            </a:r>
          </a:p>
        </c:rich>
      </c:tx>
      <c:layout>
        <c:manualLayout>
          <c:xMode val="edge"/>
          <c:yMode val="edge"/>
          <c:x val="0.30317344706911636"/>
          <c:y val="1.1183510318090973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602973808601793"/>
          <c:y val="0.16734231949819831"/>
          <c:w val="0.71790714685254509"/>
          <c:h val="0.61730774478878225"/>
        </c:manualLayout>
      </c:layout>
      <c:scatterChart>
        <c:scatterStyle val="lineMarker"/>
        <c:varyColors val="0"/>
        <c:ser>
          <c:idx val="0"/>
          <c:order val="0"/>
          <c:tx>
            <c:v>Lead</c:v>
          </c:tx>
          <c:spPr>
            <a:ln w="19050" cap="rnd">
              <a:solidFill>
                <a:schemeClr val="tx1">
                  <a:lumMod val="25000"/>
                  <a:lumOff val="75000"/>
                </a:schemeClr>
              </a:solidFill>
              <a:prstDash val="sysDash"/>
              <a:round/>
            </a:ln>
            <a:effectLst/>
          </c:spPr>
          <c:marker>
            <c:symbol val="circle"/>
            <c:size val="7"/>
            <c:spPr>
              <a:solidFill>
                <a:schemeClr val="tx2">
                  <a:lumMod val="40000"/>
                  <a:lumOff val="60000"/>
                </a:schemeClr>
              </a:solidFill>
              <a:ln w="9525">
                <a:solidFill>
                  <a:schemeClr val="tx1">
                    <a:lumMod val="50000"/>
                    <a:lumOff val="50000"/>
                  </a:schemeClr>
                </a:solidFill>
              </a:ln>
              <a:effectLst/>
            </c:spPr>
          </c:marker>
          <c:xVal>
            <c:numRef>
              <c:f>Silverton!$B$40:$B$47</c:f>
              <c:numCache>
                <c:formatCode>m/d/yyyy</c:formatCode>
                <c:ptCount val="8"/>
                <c:pt idx="0">
                  <c:v>42493</c:v>
                </c:pt>
                <c:pt idx="1">
                  <c:v>42501</c:v>
                </c:pt>
                <c:pt idx="2">
                  <c:v>42509</c:v>
                </c:pt>
                <c:pt idx="3">
                  <c:v>42516</c:v>
                </c:pt>
                <c:pt idx="4">
                  <c:v>42522</c:v>
                </c:pt>
                <c:pt idx="5">
                  <c:v>42527.527777777781</c:v>
                </c:pt>
                <c:pt idx="6">
                  <c:v>42528</c:v>
                </c:pt>
                <c:pt idx="7">
                  <c:v>42536</c:v>
                </c:pt>
              </c:numCache>
            </c:numRef>
          </c:xVal>
          <c:yVal>
            <c:numRef>
              <c:f>Silverton!$G$40:$G$47</c:f>
              <c:numCache>
                <c:formatCode>General</c:formatCode>
                <c:ptCount val="8"/>
                <c:pt idx="0">
                  <c:v>140</c:v>
                </c:pt>
                <c:pt idx="1">
                  <c:v>78</c:v>
                </c:pt>
                <c:pt idx="2">
                  <c:v>330</c:v>
                </c:pt>
                <c:pt idx="3">
                  <c:v>130</c:v>
                </c:pt>
                <c:pt idx="4">
                  <c:v>490</c:v>
                </c:pt>
                <c:pt idx="5">
                  <c:v>740</c:v>
                </c:pt>
                <c:pt idx="6">
                  <c:v>6400</c:v>
                </c:pt>
                <c:pt idx="7">
                  <c:v>700</c:v>
                </c:pt>
              </c:numCache>
            </c:numRef>
          </c:yVal>
          <c:smooth val="0"/>
          <c:extLst>
            <c:ext xmlns:c16="http://schemas.microsoft.com/office/drawing/2014/chart" uri="{C3380CC4-5D6E-409C-BE32-E72D297353CC}">
              <c16:uniqueId val="{00000000-585C-464A-9DE5-CF861D79CB8A}"/>
            </c:ext>
          </c:extLst>
        </c:ser>
        <c:ser>
          <c:idx val="1"/>
          <c:order val="1"/>
          <c:tx>
            <c:v>Manganese</c:v>
          </c:tx>
          <c:spPr>
            <a:ln w="19050" cap="rnd">
              <a:solidFill>
                <a:schemeClr val="tx1">
                  <a:lumMod val="25000"/>
                  <a:lumOff val="75000"/>
                </a:schemeClr>
              </a:solidFill>
              <a:prstDash val="sysDash"/>
              <a:round/>
            </a:ln>
            <a:effectLst/>
          </c:spPr>
          <c:marker>
            <c:symbol val="circle"/>
            <c:size val="7"/>
            <c:spPr>
              <a:solidFill>
                <a:schemeClr val="accent2">
                  <a:lumMod val="60000"/>
                  <a:lumOff val="40000"/>
                </a:schemeClr>
              </a:solidFill>
              <a:ln w="9525">
                <a:solidFill>
                  <a:schemeClr val="tx1">
                    <a:lumMod val="50000"/>
                    <a:lumOff val="50000"/>
                  </a:schemeClr>
                </a:solidFill>
              </a:ln>
              <a:effectLst/>
            </c:spPr>
          </c:marker>
          <c:xVal>
            <c:numRef>
              <c:f>Silverton!$B$40:$B$47</c:f>
              <c:numCache>
                <c:formatCode>m/d/yyyy</c:formatCode>
                <c:ptCount val="8"/>
                <c:pt idx="0">
                  <c:v>42493</c:v>
                </c:pt>
                <c:pt idx="1">
                  <c:v>42501</c:v>
                </c:pt>
                <c:pt idx="2">
                  <c:v>42509</c:v>
                </c:pt>
                <c:pt idx="3">
                  <c:v>42516</c:v>
                </c:pt>
                <c:pt idx="4">
                  <c:v>42522</c:v>
                </c:pt>
                <c:pt idx="5">
                  <c:v>42527.527777777781</c:v>
                </c:pt>
                <c:pt idx="6">
                  <c:v>42528</c:v>
                </c:pt>
                <c:pt idx="7">
                  <c:v>42536</c:v>
                </c:pt>
              </c:numCache>
            </c:numRef>
          </c:xVal>
          <c:yVal>
            <c:numRef>
              <c:f>Silverton!$H$40:$H$47</c:f>
              <c:numCache>
                <c:formatCode>General</c:formatCode>
                <c:ptCount val="8"/>
                <c:pt idx="0">
                  <c:v>430</c:v>
                </c:pt>
                <c:pt idx="1">
                  <c:v>610</c:v>
                </c:pt>
                <c:pt idx="2">
                  <c:v>1000</c:v>
                </c:pt>
                <c:pt idx="3">
                  <c:v>2400</c:v>
                </c:pt>
                <c:pt idx="4">
                  <c:v>2400</c:v>
                </c:pt>
                <c:pt idx="5">
                  <c:v>2600</c:v>
                </c:pt>
                <c:pt idx="6">
                  <c:v>3900</c:v>
                </c:pt>
                <c:pt idx="7">
                  <c:v>3900</c:v>
                </c:pt>
              </c:numCache>
            </c:numRef>
          </c:yVal>
          <c:smooth val="0"/>
          <c:extLst>
            <c:ext xmlns:c16="http://schemas.microsoft.com/office/drawing/2014/chart" uri="{C3380CC4-5D6E-409C-BE32-E72D297353CC}">
              <c16:uniqueId val="{00000001-585C-464A-9DE5-CF861D79CB8A}"/>
            </c:ext>
          </c:extLst>
        </c:ser>
        <c:ser>
          <c:idx val="2"/>
          <c:order val="2"/>
          <c:tx>
            <c:v>Zinc</c:v>
          </c:tx>
          <c:spPr>
            <a:ln w="12700" cap="rnd">
              <a:solidFill>
                <a:srgbClr val="5656F4"/>
              </a:solidFill>
              <a:prstDash val="sysDash"/>
              <a:round/>
            </a:ln>
            <a:effectLst/>
          </c:spPr>
          <c:marker>
            <c:symbol val="triangle"/>
            <c:size val="7"/>
            <c:spPr>
              <a:solidFill>
                <a:srgbClr val="002060"/>
              </a:solidFill>
              <a:ln w="9525">
                <a:solidFill>
                  <a:srgbClr val="5656F4"/>
                </a:solidFill>
              </a:ln>
              <a:effectLst/>
            </c:spPr>
          </c:marker>
          <c:xVal>
            <c:numRef>
              <c:f>Silverton!$B$40:$B$47</c:f>
              <c:numCache>
                <c:formatCode>m/d/yyyy</c:formatCode>
                <c:ptCount val="8"/>
                <c:pt idx="0">
                  <c:v>42493</c:v>
                </c:pt>
                <c:pt idx="1">
                  <c:v>42501</c:v>
                </c:pt>
                <c:pt idx="2">
                  <c:v>42509</c:v>
                </c:pt>
                <c:pt idx="3">
                  <c:v>42516</c:v>
                </c:pt>
                <c:pt idx="4">
                  <c:v>42522</c:v>
                </c:pt>
                <c:pt idx="5">
                  <c:v>42527.527777777781</c:v>
                </c:pt>
                <c:pt idx="6">
                  <c:v>42528</c:v>
                </c:pt>
                <c:pt idx="7">
                  <c:v>42536</c:v>
                </c:pt>
              </c:numCache>
            </c:numRef>
          </c:xVal>
          <c:yVal>
            <c:numRef>
              <c:f>Silverton!$I$40:$I$47</c:f>
              <c:numCache>
                <c:formatCode>General</c:formatCode>
                <c:ptCount val="8"/>
                <c:pt idx="0">
                  <c:v>110</c:v>
                </c:pt>
                <c:pt idx="1">
                  <c:v>190</c:v>
                </c:pt>
                <c:pt idx="2">
                  <c:v>510</c:v>
                </c:pt>
                <c:pt idx="3">
                  <c:v>550</c:v>
                </c:pt>
                <c:pt idx="4">
                  <c:v>700</c:v>
                </c:pt>
                <c:pt idx="5">
                  <c:v>990</c:v>
                </c:pt>
                <c:pt idx="6">
                  <c:v>450</c:v>
                </c:pt>
                <c:pt idx="7">
                  <c:v>1000</c:v>
                </c:pt>
              </c:numCache>
            </c:numRef>
          </c:yVal>
          <c:smooth val="0"/>
          <c:extLst>
            <c:ext xmlns:c16="http://schemas.microsoft.com/office/drawing/2014/chart" uri="{C3380CC4-5D6E-409C-BE32-E72D297353CC}">
              <c16:uniqueId val="{00000002-585C-464A-9DE5-CF861D79CB8A}"/>
            </c:ext>
          </c:extLst>
        </c:ser>
        <c:ser>
          <c:idx val="3"/>
          <c:order val="3"/>
          <c:tx>
            <c:strRef>
              <c:f>Silverton!$E$5</c:f>
              <c:strCache>
                <c:ptCount val="1"/>
                <c:pt idx="0">
                  <c:v>Copper</c:v>
                </c:pt>
              </c:strCache>
            </c:strRef>
          </c:tx>
          <c:spPr>
            <a:ln w="19050" cap="rnd">
              <a:solidFill>
                <a:schemeClr val="accent4">
                  <a:lumMod val="75000"/>
                </a:schemeClr>
              </a:solidFill>
              <a:prstDash val="sysDot"/>
              <a:round/>
            </a:ln>
            <a:effectLst/>
          </c:spPr>
          <c:marker>
            <c:symbol val="square"/>
            <c:size val="7"/>
            <c:spPr>
              <a:solidFill>
                <a:schemeClr val="accent2">
                  <a:lumMod val="75000"/>
                </a:schemeClr>
              </a:solidFill>
              <a:ln w="9525">
                <a:solidFill>
                  <a:schemeClr val="accent2">
                    <a:lumMod val="50000"/>
                  </a:schemeClr>
                </a:solidFill>
              </a:ln>
              <a:effectLst/>
            </c:spPr>
          </c:marker>
          <c:xVal>
            <c:numRef>
              <c:f>Silverton!$B$40:$B$47</c:f>
              <c:numCache>
                <c:formatCode>m/d/yyyy</c:formatCode>
                <c:ptCount val="8"/>
                <c:pt idx="0">
                  <c:v>42493</c:v>
                </c:pt>
                <c:pt idx="1">
                  <c:v>42501</c:v>
                </c:pt>
                <c:pt idx="2">
                  <c:v>42509</c:v>
                </c:pt>
                <c:pt idx="3">
                  <c:v>42516</c:v>
                </c:pt>
                <c:pt idx="4">
                  <c:v>42522</c:v>
                </c:pt>
                <c:pt idx="5">
                  <c:v>42527.527777777781</c:v>
                </c:pt>
                <c:pt idx="6">
                  <c:v>42528</c:v>
                </c:pt>
                <c:pt idx="7">
                  <c:v>42536</c:v>
                </c:pt>
              </c:numCache>
            </c:numRef>
          </c:xVal>
          <c:yVal>
            <c:numRef>
              <c:f>Silverton!$E$40:$E$47</c:f>
              <c:numCache>
                <c:formatCode>General</c:formatCode>
                <c:ptCount val="8"/>
                <c:pt idx="0">
                  <c:v>17</c:v>
                </c:pt>
                <c:pt idx="1">
                  <c:v>43</c:v>
                </c:pt>
                <c:pt idx="2">
                  <c:v>120</c:v>
                </c:pt>
                <c:pt idx="3">
                  <c:v>41</c:v>
                </c:pt>
                <c:pt idx="4">
                  <c:v>150</c:v>
                </c:pt>
                <c:pt idx="5">
                  <c:v>180</c:v>
                </c:pt>
                <c:pt idx="6">
                  <c:v>590</c:v>
                </c:pt>
                <c:pt idx="7">
                  <c:v>170</c:v>
                </c:pt>
              </c:numCache>
            </c:numRef>
          </c:yVal>
          <c:smooth val="0"/>
          <c:extLst>
            <c:ext xmlns:c16="http://schemas.microsoft.com/office/drawing/2014/chart" uri="{C3380CC4-5D6E-409C-BE32-E72D297353CC}">
              <c16:uniqueId val="{00000003-585C-464A-9DE5-CF861D79CB8A}"/>
            </c:ext>
          </c:extLst>
        </c:ser>
        <c:dLbls>
          <c:showLegendKey val="0"/>
          <c:showVal val="0"/>
          <c:showCatName val="0"/>
          <c:showSerName val="0"/>
          <c:showPercent val="0"/>
          <c:showBubbleSize val="0"/>
        </c:dLbls>
        <c:axId val="1026410144"/>
        <c:axId val="1026410536"/>
      </c:scatterChart>
      <c:valAx>
        <c:axId val="1026410144"/>
        <c:scaling>
          <c:orientation val="minMax"/>
        </c:scaling>
        <c:delete val="0"/>
        <c:axPos val="b"/>
        <c:numFmt formatCode="m/d/yyyy" sourceLinked="1"/>
        <c:majorTickMark val="out"/>
        <c:minorTickMark val="out"/>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26410536"/>
        <c:crosses val="autoZero"/>
        <c:crossBetween val="midCat"/>
      </c:valAx>
      <c:valAx>
        <c:axId val="1026410536"/>
        <c:scaling>
          <c:logBase val="10"/>
          <c:orientation val="minMax"/>
          <c:min val="10"/>
        </c:scaling>
        <c:delete val="0"/>
        <c:axPos val="l"/>
        <c:majorGridlines>
          <c:spPr>
            <a:ln w="9525" cap="flat" cmpd="sng" algn="ctr">
              <a:solidFill>
                <a:srgbClr val="E2E2E2"/>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Concentration (mg/kg)</a:t>
                </a:r>
              </a:p>
            </c:rich>
          </c:tx>
          <c:layout>
            <c:manualLayout>
              <c:xMode val="edge"/>
              <c:yMode val="edge"/>
              <c:x val="1.3888888888888888E-2"/>
              <c:y val="0.25259328822429306"/>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1026410144"/>
        <c:crosses val="autoZero"/>
        <c:crossBetween val="midCat"/>
        <c:minorUnit val="5000"/>
      </c:valAx>
      <c:spPr>
        <a:noFill/>
        <a:ln>
          <a:solidFill>
            <a:schemeClr val="tx1">
              <a:lumMod val="25000"/>
              <a:lumOff val="75000"/>
            </a:schemeClr>
          </a:solidFill>
        </a:ln>
        <a:effectLst/>
      </c:spPr>
    </c:plotArea>
    <c:legend>
      <c:legendPos val="r"/>
      <c:layout>
        <c:manualLayout>
          <c:xMode val="edge"/>
          <c:yMode val="edge"/>
          <c:x val="9.7787249734279089E-2"/>
          <c:y val="8.0565861470706004E-2"/>
          <c:w val="0.78463932633420808"/>
          <c:h val="7.4074823215905347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a:t>Animas River at Silverton (RK 16.4) </a:t>
            </a:r>
            <a:br>
              <a:rPr lang="en-US"/>
            </a:br>
            <a:r>
              <a:rPr lang="en-US"/>
              <a:t>Copper in</a:t>
            </a:r>
            <a:r>
              <a:rPr lang="en-US" baseline="0"/>
              <a:t> Sediment</a:t>
            </a:r>
            <a:endParaRPr lang="en-US"/>
          </a:p>
        </c:rich>
      </c:tx>
      <c:layout>
        <c:manualLayout>
          <c:xMode val="edge"/>
          <c:yMode val="edge"/>
          <c:x val="0.25991951006124236"/>
          <c:y val="4.1099810440361609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7300346456692914"/>
          <c:y val="0.18712671332750075"/>
          <c:w val="0.71996262467191596"/>
          <c:h val="0.59228929717118695"/>
        </c:manualLayout>
      </c:layout>
      <c:scatterChart>
        <c:scatterStyle val="lineMarker"/>
        <c:varyColors val="0"/>
        <c:ser>
          <c:idx val="0"/>
          <c:order val="0"/>
          <c:tx>
            <c:v>Copper</c:v>
          </c:tx>
          <c:spPr>
            <a:ln w="19050" cap="rnd">
              <a:solidFill>
                <a:schemeClr val="tx2">
                  <a:lumMod val="60000"/>
                  <a:lumOff val="40000"/>
                </a:schemeClr>
              </a:solidFill>
              <a:prstDash val="sysDash"/>
              <a:round/>
            </a:ln>
            <a:effectLst/>
          </c:spPr>
          <c:marker>
            <c:symbol val="circle"/>
            <c:size val="7"/>
            <c:spPr>
              <a:solidFill>
                <a:schemeClr val="tx2">
                  <a:lumMod val="40000"/>
                  <a:lumOff val="60000"/>
                </a:schemeClr>
              </a:solidFill>
              <a:ln w="9525">
                <a:solidFill>
                  <a:schemeClr val="tx1">
                    <a:lumMod val="75000"/>
                    <a:lumOff val="25000"/>
                  </a:schemeClr>
                </a:solidFill>
              </a:ln>
              <a:effectLst/>
            </c:spPr>
          </c:marker>
          <c:dPt>
            <c:idx val="22"/>
            <c:marker>
              <c:symbol val="circle"/>
              <c:size val="7"/>
              <c:spPr>
                <a:solidFill>
                  <a:schemeClr val="tx2">
                    <a:lumMod val="40000"/>
                    <a:lumOff val="60000"/>
                  </a:schemeClr>
                </a:solidFill>
                <a:ln w="9525">
                  <a:solidFill>
                    <a:schemeClr val="tx1">
                      <a:lumMod val="75000"/>
                      <a:lumOff val="25000"/>
                    </a:schemeClr>
                  </a:solidFill>
                </a:ln>
                <a:effectLst/>
              </c:spPr>
            </c:marker>
            <c:bubble3D val="0"/>
            <c:spPr>
              <a:ln w="19050" cap="rnd">
                <a:noFill/>
                <a:prstDash val="sysDash"/>
                <a:round/>
              </a:ln>
              <a:effectLst/>
            </c:spPr>
            <c:extLst>
              <c:ext xmlns:c16="http://schemas.microsoft.com/office/drawing/2014/chart" uri="{C3380CC4-5D6E-409C-BE32-E72D297353CC}">
                <c16:uniqueId val="{00000000-ACA9-4122-ADBE-3E18E3CF5039}"/>
              </c:ext>
            </c:extLst>
          </c:dPt>
          <c:xVal>
            <c:numRef>
              <c:f>Silverton!$AC$7:$AC$36</c:f>
              <c:numCache>
                <c:formatCode>m/d/yy\ h:mm;@</c:formatCode>
                <c:ptCount val="30"/>
                <c:pt idx="0">
                  <c:v>42227.548611111109</c:v>
                </c:pt>
                <c:pt idx="1">
                  <c:v>42243.625</c:v>
                </c:pt>
                <c:pt idx="2">
                  <c:v>42247.590277777781</c:v>
                </c:pt>
                <c:pt idx="3">
                  <c:v>42263.541666666664</c:v>
                </c:pt>
                <c:pt idx="4">
                  <c:v>42263.541666666664</c:v>
                </c:pt>
                <c:pt idx="5">
                  <c:v>42264.559027777781</c:v>
                </c:pt>
                <c:pt idx="6">
                  <c:v>42264.559027777781</c:v>
                </c:pt>
                <c:pt idx="7">
                  <c:v>42266.635416666664</c:v>
                </c:pt>
                <c:pt idx="8">
                  <c:v>42266.635416666664</c:v>
                </c:pt>
                <c:pt idx="9">
                  <c:v>42267.579861111109</c:v>
                </c:pt>
                <c:pt idx="10">
                  <c:v>42267.579861111109</c:v>
                </c:pt>
                <c:pt idx="11">
                  <c:v>42268.555555555555</c:v>
                </c:pt>
                <c:pt idx="12">
                  <c:v>42268.555555555555</c:v>
                </c:pt>
                <c:pt idx="13">
                  <c:v>42271.590277777781</c:v>
                </c:pt>
                <c:pt idx="14">
                  <c:v>42271.590277777781</c:v>
                </c:pt>
                <c:pt idx="15">
                  <c:v>42275.586805555555</c:v>
                </c:pt>
                <c:pt idx="16">
                  <c:v>42275.586805555555</c:v>
                </c:pt>
                <c:pt idx="17">
                  <c:v>42278.590277777781</c:v>
                </c:pt>
                <c:pt idx="18">
                  <c:v>42278.590277777781</c:v>
                </c:pt>
                <c:pt idx="19">
                  <c:v>42278.590277777781</c:v>
                </c:pt>
                <c:pt idx="20">
                  <c:v>42278.590277777781</c:v>
                </c:pt>
                <c:pt idx="21">
                  <c:v>42303.575694444444</c:v>
                </c:pt>
                <c:pt idx="22" formatCode="m/d/yyyy">
                  <c:v>42493</c:v>
                </c:pt>
                <c:pt idx="23" formatCode="m/d/yyyy">
                  <c:v>42501</c:v>
                </c:pt>
                <c:pt idx="24" formatCode="m/d/yyyy">
                  <c:v>42509</c:v>
                </c:pt>
                <c:pt idx="25" formatCode="m/d/yyyy">
                  <c:v>42516</c:v>
                </c:pt>
                <c:pt idx="26" formatCode="m/d/yyyy">
                  <c:v>42522</c:v>
                </c:pt>
                <c:pt idx="27" formatCode="m/d/yyyy">
                  <c:v>42527.527777777781</c:v>
                </c:pt>
                <c:pt idx="28" formatCode="m/d/yyyy">
                  <c:v>42528</c:v>
                </c:pt>
                <c:pt idx="29" formatCode="m/d/yyyy">
                  <c:v>42536</c:v>
                </c:pt>
              </c:numCache>
            </c:numRef>
          </c:xVal>
          <c:yVal>
            <c:numRef>
              <c:f>Silverton!$AF$7:$AF$36</c:f>
              <c:numCache>
                <c:formatCode>#,##0</c:formatCode>
                <c:ptCount val="30"/>
                <c:pt idx="0">
                  <c:v>96</c:v>
                </c:pt>
                <c:pt idx="1">
                  <c:v>67</c:v>
                </c:pt>
                <c:pt idx="2">
                  <c:v>210</c:v>
                </c:pt>
                <c:pt idx="3">
                  <c:v>210</c:v>
                </c:pt>
                <c:pt idx="4">
                  <c:v>210</c:v>
                </c:pt>
                <c:pt idx="5">
                  <c:v>200</c:v>
                </c:pt>
                <c:pt idx="6">
                  <c:v>200</c:v>
                </c:pt>
                <c:pt idx="7">
                  <c:v>130</c:v>
                </c:pt>
                <c:pt idx="8">
                  <c:v>130</c:v>
                </c:pt>
                <c:pt idx="9">
                  <c:v>66</c:v>
                </c:pt>
                <c:pt idx="10">
                  <c:v>66</c:v>
                </c:pt>
                <c:pt idx="11">
                  <c:v>110</c:v>
                </c:pt>
                <c:pt idx="12">
                  <c:v>110</c:v>
                </c:pt>
                <c:pt idx="13">
                  <c:v>110</c:v>
                </c:pt>
                <c:pt idx="14">
                  <c:v>110</c:v>
                </c:pt>
                <c:pt idx="15">
                  <c:v>99</c:v>
                </c:pt>
                <c:pt idx="16">
                  <c:v>99</c:v>
                </c:pt>
                <c:pt idx="17">
                  <c:v>84</c:v>
                </c:pt>
                <c:pt idx="18">
                  <c:v>100</c:v>
                </c:pt>
                <c:pt idx="19">
                  <c:v>84</c:v>
                </c:pt>
                <c:pt idx="20">
                  <c:v>100</c:v>
                </c:pt>
                <c:pt idx="21">
                  <c:v>360</c:v>
                </c:pt>
                <c:pt idx="22" formatCode="General">
                  <c:v>17</c:v>
                </c:pt>
                <c:pt idx="23" formatCode="General">
                  <c:v>43</c:v>
                </c:pt>
                <c:pt idx="24" formatCode="General">
                  <c:v>120</c:v>
                </c:pt>
                <c:pt idx="25" formatCode="General">
                  <c:v>41</c:v>
                </c:pt>
                <c:pt idx="26" formatCode="General">
                  <c:v>150</c:v>
                </c:pt>
                <c:pt idx="27" formatCode="General">
                  <c:v>180</c:v>
                </c:pt>
                <c:pt idx="28" formatCode="General">
                  <c:v>590</c:v>
                </c:pt>
                <c:pt idx="29" formatCode="General">
                  <c:v>170</c:v>
                </c:pt>
              </c:numCache>
            </c:numRef>
          </c:yVal>
          <c:smooth val="0"/>
          <c:extLst>
            <c:ext xmlns:c16="http://schemas.microsoft.com/office/drawing/2014/chart" uri="{C3380CC4-5D6E-409C-BE32-E72D297353CC}">
              <c16:uniqueId val="{00000000-3043-4CA9-B98C-9C644122EDEC}"/>
            </c:ext>
          </c:extLst>
        </c:ser>
        <c:dLbls>
          <c:showLegendKey val="0"/>
          <c:showVal val="0"/>
          <c:showCatName val="0"/>
          <c:showSerName val="0"/>
          <c:showPercent val="0"/>
          <c:showBubbleSize val="0"/>
        </c:dLbls>
        <c:axId val="1026413672"/>
        <c:axId val="1026414064"/>
      </c:scatterChart>
      <c:valAx>
        <c:axId val="1026413672"/>
        <c:scaling>
          <c:orientation val="minMax"/>
          <c:max val="42550"/>
          <c:min val="42220"/>
        </c:scaling>
        <c:delete val="0"/>
        <c:axPos val="b"/>
        <c:majorGridlines>
          <c:spPr>
            <a:ln w="9525" cap="flat" cmpd="sng" algn="ctr">
              <a:noFill/>
              <a:round/>
            </a:ln>
            <a:effectLst/>
          </c:spPr>
        </c:majorGridlines>
        <c:numFmt formatCode="m/d/yy\ h:mm;@" sourceLinked="1"/>
        <c:majorTickMark val="out"/>
        <c:minorTickMark val="out"/>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1" i="0" u="none" strike="noStrike" kern="1200" baseline="0">
                <a:solidFill>
                  <a:sysClr val="windowText" lastClr="000000"/>
                </a:solidFill>
                <a:latin typeface="+mn-lt"/>
                <a:ea typeface="+mn-ea"/>
                <a:cs typeface="+mn-cs"/>
              </a:defRPr>
            </a:pPr>
            <a:endParaRPr lang="en-US"/>
          </a:p>
        </c:txPr>
        <c:crossAx val="1026414064"/>
        <c:crosses val="autoZero"/>
        <c:crossBetween val="midCat"/>
        <c:majorUnit val="30"/>
      </c:valAx>
      <c:valAx>
        <c:axId val="10264140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t> Concentration (mg/kg)</a:t>
                </a:r>
              </a:p>
            </c:rich>
          </c:tx>
          <c:layout>
            <c:manualLayout>
              <c:xMode val="edge"/>
              <c:yMode val="edge"/>
              <c:x val="1.1882087852226018E-2"/>
              <c:y val="0.18200021872265967"/>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26413672"/>
        <c:crosses val="autoZero"/>
        <c:crossBetween val="midCat"/>
        <c:minorUnit val="50"/>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000" b="1">
          <a:solidFill>
            <a:sysClr val="windowText" lastClr="000000"/>
          </a:solidFill>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a:t>Animas River below Silverton (RK 16.4) </a:t>
            </a:r>
            <a:br>
              <a:rPr lang="en-US"/>
            </a:br>
            <a:r>
              <a:rPr lang="en-US"/>
              <a:t>Iron in Sediment</a:t>
            </a:r>
          </a:p>
        </c:rich>
      </c:tx>
      <c:layout>
        <c:manualLayout>
          <c:xMode val="edge"/>
          <c:yMode val="edge"/>
          <c:x val="0.28769732550554467"/>
          <c:y val="2.721088435374149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7300346456692914"/>
          <c:y val="0.18712671332750075"/>
          <c:w val="0.71996262467191596"/>
          <c:h val="0.59228929717118695"/>
        </c:manualLayout>
      </c:layout>
      <c:scatterChart>
        <c:scatterStyle val="lineMarker"/>
        <c:varyColors val="0"/>
        <c:ser>
          <c:idx val="0"/>
          <c:order val="0"/>
          <c:tx>
            <c:v>Iron</c:v>
          </c:tx>
          <c:spPr>
            <a:ln w="19050" cap="rnd">
              <a:solidFill>
                <a:schemeClr val="tx2">
                  <a:lumMod val="60000"/>
                  <a:lumOff val="40000"/>
                </a:schemeClr>
              </a:solidFill>
              <a:prstDash val="sysDash"/>
              <a:round/>
            </a:ln>
            <a:effectLst/>
          </c:spPr>
          <c:marker>
            <c:symbol val="circle"/>
            <c:size val="7"/>
            <c:spPr>
              <a:solidFill>
                <a:schemeClr val="tx2">
                  <a:lumMod val="40000"/>
                  <a:lumOff val="60000"/>
                </a:schemeClr>
              </a:solidFill>
              <a:ln w="9525">
                <a:solidFill>
                  <a:schemeClr val="tx1">
                    <a:lumMod val="75000"/>
                    <a:lumOff val="25000"/>
                  </a:schemeClr>
                </a:solidFill>
              </a:ln>
              <a:effectLst/>
            </c:spPr>
          </c:marker>
          <c:dPt>
            <c:idx val="22"/>
            <c:marker>
              <c:symbol val="circle"/>
              <c:size val="7"/>
              <c:spPr>
                <a:solidFill>
                  <a:schemeClr val="tx2">
                    <a:lumMod val="40000"/>
                    <a:lumOff val="60000"/>
                  </a:schemeClr>
                </a:solidFill>
                <a:ln w="9525">
                  <a:solidFill>
                    <a:schemeClr val="tx1">
                      <a:lumMod val="75000"/>
                      <a:lumOff val="25000"/>
                    </a:schemeClr>
                  </a:solidFill>
                </a:ln>
                <a:effectLst/>
              </c:spPr>
            </c:marker>
            <c:bubble3D val="0"/>
            <c:spPr>
              <a:ln w="19050" cap="rnd">
                <a:noFill/>
                <a:prstDash val="sysDash"/>
                <a:round/>
              </a:ln>
              <a:effectLst/>
            </c:spPr>
            <c:extLst>
              <c:ext xmlns:c16="http://schemas.microsoft.com/office/drawing/2014/chart" uri="{C3380CC4-5D6E-409C-BE32-E72D297353CC}">
                <c16:uniqueId val="{00000000-25CD-4420-A53C-06846B21D459}"/>
              </c:ext>
            </c:extLst>
          </c:dPt>
          <c:xVal>
            <c:numRef>
              <c:f>Silverton!$AC$7:$AC$36</c:f>
              <c:numCache>
                <c:formatCode>m/d/yy\ h:mm;@</c:formatCode>
                <c:ptCount val="30"/>
                <c:pt idx="0">
                  <c:v>42227.548611111109</c:v>
                </c:pt>
                <c:pt idx="1">
                  <c:v>42243.625</c:v>
                </c:pt>
                <c:pt idx="2">
                  <c:v>42247.590277777781</c:v>
                </c:pt>
                <c:pt idx="3">
                  <c:v>42263.541666666664</c:v>
                </c:pt>
                <c:pt idx="4">
                  <c:v>42263.541666666664</c:v>
                </c:pt>
                <c:pt idx="5">
                  <c:v>42264.559027777781</c:v>
                </c:pt>
                <c:pt idx="6">
                  <c:v>42264.559027777781</c:v>
                </c:pt>
                <c:pt idx="7">
                  <c:v>42266.635416666664</c:v>
                </c:pt>
                <c:pt idx="8">
                  <c:v>42266.635416666664</c:v>
                </c:pt>
                <c:pt idx="9">
                  <c:v>42267.579861111109</c:v>
                </c:pt>
                <c:pt idx="10">
                  <c:v>42267.579861111109</c:v>
                </c:pt>
                <c:pt idx="11">
                  <c:v>42268.555555555555</c:v>
                </c:pt>
                <c:pt idx="12">
                  <c:v>42268.555555555555</c:v>
                </c:pt>
                <c:pt idx="13">
                  <c:v>42271.590277777781</c:v>
                </c:pt>
                <c:pt idx="14">
                  <c:v>42271.590277777781</c:v>
                </c:pt>
                <c:pt idx="15">
                  <c:v>42275.586805555555</c:v>
                </c:pt>
                <c:pt idx="16">
                  <c:v>42275.586805555555</c:v>
                </c:pt>
                <c:pt idx="17">
                  <c:v>42278.590277777781</c:v>
                </c:pt>
                <c:pt idx="18">
                  <c:v>42278.590277777781</c:v>
                </c:pt>
                <c:pt idx="19">
                  <c:v>42278.590277777781</c:v>
                </c:pt>
                <c:pt idx="20">
                  <c:v>42278.590277777781</c:v>
                </c:pt>
                <c:pt idx="21">
                  <c:v>42303.575694444444</c:v>
                </c:pt>
                <c:pt idx="22" formatCode="m/d/yyyy">
                  <c:v>42493</c:v>
                </c:pt>
                <c:pt idx="23" formatCode="m/d/yyyy">
                  <c:v>42501</c:v>
                </c:pt>
                <c:pt idx="24" formatCode="m/d/yyyy">
                  <c:v>42509</c:v>
                </c:pt>
                <c:pt idx="25" formatCode="m/d/yyyy">
                  <c:v>42516</c:v>
                </c:pt>
                <c:pt idx="26" formatCode="m/d/yyyy">
                  <c:v>42522</c:v>
                </c:pt>
                <c:pt idx="27" formatCode="m/d/yyyy">
                  <c:v>42527.527777777781</c:v>
                </c:pt>
                <c:pt idx="28" formatCode="m/d/yyyy">
                  <c:v>42528</c:v>
                </c:pt>
                <c:pt idx="29" formatCode="m/d/yyyy">
                  <c:v>42536</c:v>
                </c:pt>
              </c:numCache>
            </c:numRef>
          </c:xVal>
          <c:yVal>
            <c:numRef>
              <c:f>Silverton!$AG$7:$AG$36</c:f>
              <c:numCache>
                <c:formatCode>#,##0</c:formatCode>
                <c:ptCount val="30"/>
                <c:pt idx="1">
                  <c:v>49000</c:v>
                </c:pt>
                <c:pt idx="2">
                  <c:v>40000</c:v>
                </c:pt>
                <c:pt idx="3">
                  <c:v>33000</c:v>
                </c:pt>
                <c:pt idx="4">
                  <c:v>33000</c:v>
                </c:pt>
                <c:pt idx="5">
                  <c:v>42000</c:v>
                </c:pt>
                <c:pt idx="6">
                  <c:v>42000</c:v>
                </c:pt>
                <c:pt idx="7">
                  <c:v>44000</c:v>
                </c:pt>
                <c:pt idx="8">
                  <c:v>44000</c:v>
                </c:pt>
                <c:pt idx="9">
                  <c:v>40000</c:v>
                </c:pt>
                <c:pt idx="10">
                  <c:v>40000</c:v>
                </c:pt>
                <c:pt idx="11">
                  <c:v>37000</c:v>
                </c:pt>
                <c:pt idx="12">
                  <c:v>37000</c:v>
                </c:pt>
                <c:pt idx="13">
                  <c:v>42000</c:v>
                </c:pt>
                <c:pt idx="14">
                  <c:v>42000</c:v>
                </c:pt>
                <c:pt idx="15">
                  <c:v>28000</c:v>
                </c:pt>
                <c:pt idx="16">
                  <c:v>28000</c:v>
                </c:pt>
                <c:pt idx="17">
                  <c:v>30000</c:v>
                </c:pt>
                <c:pt idx="18">
                  <c:v>36000</c:v>
                </c:pt>
                <c:pt idx="19">
                  <c:v>30000</c:v>
                </c:pt>
                <c:pt idx="20">
                  <c:v>36000</c:v>
                </c:pt>
                <c:pt idx="21">
                  <c:v>54000</c:v>
                </c:pt>
                <c:pt idx="22" formatCode="General">
                  <c:v>71000</c:v>
                </c:pt>
                <c:pt idx="23" formatCode="General">
                  <c:v>45000</c:v>
                </c:pt>
                <c:pt idx="24" formatCode="General">
                  <c:v>56000</c:v>
                </c:pt>
                <c:pt idx="25" formatCode="General">
                  <c:v>120000</c:v>
                </c:pt>
                <c:pt idx="26" formatCode="General">
                  <c:v>64000</c:v>
                </c:pt>
                <c:pt idx="27" formatCode="General">
                  <c:v>53000</c:v>
                </c:pt>
                <c:pt idx="28" formatCode="General">
                  <c:v>31000</c:v>
                </c:pt>
                <c:pt idx="29" formatCode="General">
                  <c:v>47000</c:v>
                </c:pt>
              </c:numCache>
            </c:numRef>
          </c:yVal>
          <c:smooth val="0"/>
          <c:extLst>
            <c:ext xmlns:c16="http://schemas.microsoft.com/office/drawing/2014/chart" uri="{C3380CC4-5D6E-409C-BE32-E72D297353CC}">
              <c16:uniqueId val="{00000000-808B-4900-97D3-C9A39E2857D7}"/>
            </c:ext>
          </c:extLst>
        </c:ser>
        <c:dLbls>
          <c:showLegendKey val="0"/>
          <c:showVal val="0"/>
          <c:showCatName val="0"/>
          <c:showSerName val="0"/>
          <c:showPercent val="0"/>
          <c:showBubbleSize val="0"/>
        </c:dLbls>
        <c:axId val="1026413672"/>
        <c:axId val="1026414064"/>
      </c:scatterChart>
      <c:valAx>
        <c:axId val="1026413672"/>
        <c:scaling>
          <c:orientation val="minMax"/>
          <c:max val="42550"/>
          <c:min val="42220"/>
        </c:scaling>
        <c:delete val="0"/>
        <c:axPos val="b"/>
        <c:majorGridlines>
          <c:spPr>
            <a:ln w="9525" cap="flat" cmpd="sng" algn="ctr">
              <a:noFill/>
              <a:round/>
            </a:ln>
            <a:effectLst/>
          </c:spPr>
        </c:majorGridlines>
        <c:numFmt formatCode="m/d/yy\ h:mm;@" sourceLinked="1"/>
        <c:majorTickMark val="out"/>
        <c:minorTickMark val="out"/>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1" i="0" u="none" strike="noStrike" kern="1200" baseline="0">
                <a:solidFill>
                  <a:sysClr val="windowText" lastClr="000000"/>
                </a:solidFill>
                <a:latin typeface="+mn-lt"/>
                <a:ea typeface="+mn-ea"/>
                <a:cs typeface="+mn-cs"/>
              </a:defRPr>
            </a:pPr>
            <a:endParaRPr lang="en-US"/>
          </a:p>
        </c:txPr>
        <c:crossAx val="1026414064"/>
        <c:crosses val="autoZero"/>
        <c:crossBetween val="midCat"/>
        <c:majorUnit val="30"/>
      </c:valAx>
      <c:valAx>
        <c:axId val="10264140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t> Concentration (mg/kg)</a:t>
                </a:r>
              </a:p>
            </c:rich>
          </c:tx>
          <c:layout>
            <c:manualLayout>
              <c:xMode val="edge"/>
              <c:yMode val="edge"/>
              <c:x val="1.1882087852226018E-2"/>
              <c:y val="0.18200021872265967"/>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26413672"/>
        <c:crosses val="autoZero"/>
        <c:crossBetween val="midCat"/>
        <c:minorUnit val="10000"/>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000" b="1">
          <a:solidFill>
            <a:sysClr val="windowText" lastClr="000000"/>
          </a:solidFill>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a:t>Bakers Bridge (RK 64)--Lead in Sediment</a:t>
            </a:r>
          </a:p>
        </c:rich>
      </c:tx>
      <c:layout>
        <c:manualLayout>
          <c:xMode val="edge"/>
          <c:yMode val="edge"/>
          <c:x val="0.24665891468145346"/>
          <c:y val="4.1099984453162867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9628419862455776"/>
          <c:y val="0.20570989601909517"/>
          <c:w val="0.69422878580952108"/>
          <c:h val="0.57370609161659669"/>
        </c:manualLayout>
      </c:layout>
      <c:scatterChart>
        <c:scatterStyle val="lineMarker"/>
        <c:varyColors val="0"/>
        <c:ser>
          <c:idx val="0"/>
          <c:order val="0"/>
          <c:tx>
            <c:v>Lead</c:v>
          </c:tx>
          <c:spPr>
            <a:ln w="19050" cap="rnd">
              <a:solidFill>
                <a:schemeClr val="bg1">
                  <a:lumMod val="50000"/>
                </a:schemeClr>
              </a:solidFill>
              <a:prstDash val="sysDash"/>
              <a:round/>
            </a:ln>
            <a:effectLst/>
          </c:spPr>
          <c:marker>
            <c:symbol val="circle"/>
            <c:size val="7"/>
            <c:spPr>
              <a:solidFill>
                <a:schemeClr val="tx2">
                  <a:lumMod val="40000"/>
                  <a:lumOff val="60000"/>
                </a:schemeClr>
              </a:solidFill>
              <a:ln w="9525">
                <a:solidFill>
                  <a:schemeClr val="tx1">
                    <a:lumMod val="75000"/>
                    <a:lumOff val="25000"/>
                  </a:schemeClr>
                </a:solidFill>
              </a:ln>
              <a:effectLst/>
            </c:spPr>
          </c:marker>
          <c:dPt>
            <c:idx val="18"/>
            <c:marker>
              <c:symbol val="circle"/>
              <c:size val="7"/>
              <c:spPr>
                <a:solidFill>
                  <a:schemeClr val="tx2">
                    <a:lumMod val="40000"/>
                    <a:lumOff val="60000"/>
                  </a:schemeClr>
                </a:solidFill>
                <a:ln w="9525">
                  <a:solidFill>
                    <a:schemeClr val="tx1">
                      <a:lumMod val="75000"/>
                      <a:lumOff val="25000"/>
                    </a:schemeClr>
                  </a:solidFill>
                </a:ln>
                <a:effectLst/>
              </c:spPr>
            </c:marker>
            <c:bubble3D val="0"/>
            <c:spPr>
              <a:ln w="19050" cap="rnd">
                <a:noFill/>
                <a:prstDash val="sysDash"/>
                <a:round/>
              </a:ln>
              <a:effectLst/>
            </c:spPr>
            <c:extLst>
              <c:ext xmlns:c16="http://schemas.microsoft.com/office/drawing/2014/chart" uri="{C3380CC4-5D6E-409C-BE32-E72D297353CC}">
                <c16:uniqueId val="{00000002-715A-47C0-9831-8133DA351D1C}"/>
              </c:ext>
            </c:extLst>
          </c:dPt>
          <c:xVal>
            <c:numRef>
              <c:f>'Bakers Bridge'!$AE$6:$AE$32</c:f>
              <c:numCache>
                <c:formatCode>m/d/yy\ h:mm;@</c:formatCode>
                <c:ptCount val="27"/>
                <c:pt idx="0">
                  <c:v>42227.513888888891</c:v>
                </c:pt>
                <c:pt idx="1">
                  <c:v>42227.513888888891</c:v>
                </c:pt>
                <c:pt idx="2">
                  <c:v>42228.580555555556</c:v>
                </c:pt>
                <c:pt idx="3">
                  <c:v>42234.597222222219</c:v>
                </c:pt>
                <c:pt idx="4">
                  <c:v>42243.684027777781</c:v>
                </c:pt>
                <c:pt idx="5">
                  <c:v>42243.684027777781</c:v>
                </c:pt>
                <c:pt idx="6">
                  <c:v>42247.663194444445</c:v>
                </c:pt>
                <c:pt idx="7">
                  <c:v>42265.409722222219</c:v>
                </c:pt>
                <c:pt idx="8">
                  <c:v>42265.409722222219</c:v>
                </c:pt>
                <c:pt idx="9">
                  <c:v>42267.454861111109</c:v>
                </c:pt>
                <c:pt idx="10">
                  <c:v>42267.454861111109</c:v>
                </c:pt>
                <c:pt idx="11">
                  <c:v>42268.402777777781</c:v>
                </c:pt>
                <c:pt idx="12">
                  <c:v>42268.402777777781</c:v>
                </c:pt>
                <c:pt idx="13">
                  <c:v>42271.454861111109</c:v>
                </c:pt>
                <c:pt idx="14">
                  <c:v>42271.454861111109</c:v>
                </c:pt>
                <c:pt idx="15">
                  <c:v>42275.465277777781</c:v>
                </c:pt>
                <c:pt idx="16">
                  <c:v>42275.465277777781</c:v>
                </c:pt>
                <c:pt idx="17">
                  <c:v>42303.652083333334</c:v>
                </c:pt>
                <c:pt idx="18" formatCode="m/d/yyyy">
                  <c:v>42493.618055555555</c:v>
                </c:pt>
                <c:pt idx="19" formatCode="m/d/yyyy">
                  <c:v>42501.469444444447</c:v>
                </c:pt>
                <c:pt idx="20" formatCode="m/d/yyyy">
                  <c:v>42509.559027777781</c:v>
                </c:pt>
                <c:pt idx="21" formatCode="m/d/yyyy">
                  <c:v>42516.538194444445</c:v>
                </c:pt>
                <c:pt idx="22" formatCode="m/d/yyyy">
                  <c:v>42522.538194444445</c:v>
                </c:pt>
                <c:pt idx="23" formatCode="m/d/yyyy">
                  <c:v>42527.642361111109</c:v>
                </c:pt>
                <c:pt idx="24" formatCode="m/d/yyyy">
                  <c:v>42528.395833333336</c:v>
                </c:pt>
                <c:pt idx="25" formatCode="m/d/yyyy">
                  <c:v>42536.5625</c:v>
                </c:pt>
              </c:numCache>
            </c:numRef>
          </c:xVal>
          <c:yVal>
            <c:numRef>
              <c:f>'Bakers Bridge'!$AJ$6:$AJ$32</c:f>
              <c:numCache>
                <c:formatCode>General</c:formatCode>
                <c:ptCount val="27"/>
                <c:pt idx="0">
                  <c:v>496</c:v>
                </c:pt>
                <c:pt idx="1">
                  <c:v>496</c:v>
                </c:pt>
                <c:pt idx="2">
                  <c:v>360</c:v>
                </c:pt>
                <c:pt idx="3">
                  <c:v>3500</c:v>
                </c:pt>
                <c:pt idx="4">
                  <c:v>280</c:v>
                </c:pt>
                <c:pt idx="5">
                  <c:v>280</c:v>
                </c:pt>
                <c:pt idx="6">
                  <c:v>300</c:v>
                </c:pt>
                <c:pt idx="7">
                  <c:v>270</c:v>
                </c:pt>
                <c:pt idx="8">
                  <c:v>270</c:v>
                </c:pt>
                <c:pt idx="9">
                  <c:v>310</c:v>
                </c:pt>
                <c:pt idx="10">
                  <c:v>310</c:v>
                </c:pt>
                <c:pt idx="11">
                  <c:v>370</c:v>
                </c:pt>
                <c:pt idx="12">
                  <c:v>370</c:v>
                </c:pt>
                <c:pt idx="13">
                  <c:v>260</c:v>
                </c:pt>
                <c:pt idx="14">
                  <c:v>260</c:v>
                </c:pt>
                <c:pt idx="15">
                  <c:v>310</c:v>
                </c:pt>
                <c:pt idx="16">
                  <c:v>310</c:v>
                </c:pt>
                <c:pt idx="17">
                  <c:v>350</c:v>
                </c:pt>
                <c:pt idx="18">
                  <c:v>400</c:v>
                </c:pt>
                <c:pt idx="19">
                  <c:v>340</c:v>
                </c:pt>
                <c:pt idx="20">
                  <c:v>360</c:v>
                </c:pt>
                <c:pt idx="21">
                  <c:v>340</c:v>
                </c:pt>
                <c:pt idx="22">
                  <c:v>320</c:v>
                </c:pt>
                <c:pt idx="23">
                  <c:v>320</c:v>
                </c:pt>
                <c:pt idx="24">
                  <c:v>360</c:v>
                </c:pt>
                <c:pt idx="25">
                  <c:v>400</c:v>
                </c:pt>
              </c:numCache>
            </c:numRef>
          </c:yVal>
          <c:smooth val="0"/>
          <c:extLst>
            <c:ext xmlns:c16="http://schemas.microsoft.com/office/drawing/2014/chart" uri="{C3380CC4-5D6E-409C-BE32-E72D297353CC}">
              <c16:uniqueId val="{00000003-715A-47C0-9831-8133DA351D1C}"/>
            </c:ext>
          </c:extLst>
        </c:ser>
        <c:dLbls>
          <c:showLegendKey val="0"/>
          <c:showVal val="0"/>
          <c:showCatName val="0"/>
          <c:showSerName val="0"/>
          <c:showPercent val="0"/>
          <c:showBubbleSize val="0"/>
        </c:dLbls>
        <c:axId val="1026413672"/>
        <c:axId val="1026414064"/>
      </c:scatterChart>
      <c:valAx>
        <c:axId val="1026413672"/>
        <c:scaling>
          <c:orientation val="minMax"/>
          <c:max val="42550"/>
          <c:min val="42220"/>
        </c:scaling>
        <c:delete val="0"/>
        <c:axPos val="b"/>
        <c:majorGridlines>
          <c:spPr>
            <a:ln w="9525" cap="flat" cmpd="sng" algn="ctr">
              <a:noFill/>
              <a:round/>
            </a:ln>
            <a:effectLst/>
          </c:spPr>
        </c:majorGridlines>
        <c:numFmt formatCode="m/d/yy\ h:mm;@" sourceLinked="1"/>
        <c:majorTickMark val="out"/>
        <c:minorTickMark val="out"/>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1" i="0" u="none" strike="noStrike" kern="1200" baseline="0">
                <a:solidFill>
                  <a:sysClr val="windowText" lastClr="000000"/>
                </a:solidFill>
                <a:latin typeface="+mn-lt"/>
                <a:ea typeface="+mn-ea"/>
                <a:cs typeface="+mn-cs"/>
              </a:defRPr>
            </a:pPr>
            <a:endParaRPr lang="en-US"/>
          </a:p>
        </c:txPr>
        <c:crossAx val="1026414064"/>
        <c:crosses val="autoZero"/>
        <c:crossBetween val="midCat"/>
        <c:majorUnit val="30"/>
      </c:valAx>
      <c:valAx>
        <c:axId val="10264140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t> Concentration (mg/kg)</a:t>
                </a:r>
              </a:p>
            </c:rich>
          </c:tx>
          <c:layout>
            <c:manualLayout>
              <c:xMode val="edge"/>
              <c:yMode val="edge"/>
              <c:x val="3.2084171296769722E-2"/>
              <c:y val="0.22366688538932633"/>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26413672"/>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000" b="1">
          <a:solidFill>
            <a:sysClr val="windowText" lastClr="000000"/>
          </a:solidFill>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a:t>Bakers Bridge (RK 64)-- Aluminum in Sediment</a:t>
            </a:r>
          </a:p>
        </c:rich>
      </c:tx>
      <c:layout>
        <c:manualLayout>
          <c:xMode val="edge"/>
          <c:yMode val="edge"/>
          <c:x val="0.24665891468145346"/>
          <c:y val="4.1099984453162867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9628419862455776"/>
          <c:y val="0.20570989601909517"/>
          <c:w val="0.69422878580952108"/>
          <c:h val="0.57370609161659669"/>
        </c:manualLayout>
      </c:layout>
      <c:scatterChart>
        <c:scatterStyle val="lineMarker"/>
        <c:varyColors val="0"/>
        <c:ser>
          <c:idx val="0"/>
          <c:order val="0"/>
          <c:spPr>
            <a:ln w="19050" cap="rnd">
              <a:solidFill>
                <a:schemeClr val="bg1">
                  <a:lumMod val="50000"/>
                </a:schemeClr>
              </a:solidFill>
              <a:prstDash val="sysDash"/>
              <a:round/>
            </a:ln>
            <a:effectLst/>
          </c:spPr>
          <c:marker>
            <c:symbol val="circle"/>
            <c:size val="7"/>
            <c:spPr>
              <a:solidFill>
                <a:schemeClr val="tx2">
                  <a:lumMod val="40000"/>
                  <a:lumOff val="60000"/>
                </a:schemeClr>
              </a:solidFill>
              <a:ln w="9525">
                <a:solidFill>
                  <a:schemeClr val="tx1">
                    <a:lumMod val="75000"/>
                    <a:lumOff val="25000"/>
                  </a:schemeClr>
                </a:solidFill>
              </a:ln>
              <a:effectLst/>
            </c:spPr>
          </c:marker>
          <c:dPt>
            <c:idx val="18"/>
            <c:marker>
              <c:symbol val="circle"/>
              <c:size val="7"/>
              <c:spPr>
                <a:solidFill>
                  <a:schemeClr val="tx2">
                    <a:lumMod val="40000"/>
                    <a:lumOff val="60000"/>
                  </a:schemeClr>
                </a:solidFill>
                <a:ln w="9525">
                  <a:solidFill>
                    <a:schemeClr val="tx1">
                      <a:lumMod val="75000"/>
                      <a:lumOff val="25000"/>
                    </a:schemeClr>
                  </a:solidFill>
                </a:ln>
                <a:effectLst/>
              </c:spPr>
            </c:marker>
            <c:bubble3D val="0"/>
            <c:spPr>
              <a:ln w="19050" cap="rnd">
                <a:noFill/>
                <a:prstDash val="sysDash"/>
                <a:round/>
              </a:ln>
              <a:effectLst/>
            </c:spPr>
            <c:extLst>
              <c:ext xmlns:c16="http://schemas.microsoft.com/office/drawing/2014/chart" uri="{C3380CC4-5D6E-409C-BE32-E72D297353CC}">
                <c16:uniqueId val="{00000002-1DF8-4986-A222-8AEB505E219C}"/>
              </c:ext>
            </c:extLst>
          </c:dPt>
          <c:xVal>
            <c:numRef>
              <c:f>'Bakers Bridge'!$AE$6:$AE$32</c:f>
              <c:numCache>
                <c:formatCode>m/d/yy\ h:mm;@</c:formatCode>
                <c:ptCount val="27"/>
                <c:pt idx="0">
                  <c:v>42227.513888888891</c:v>
                </c:pt>
                <c:pt idx="1">
                  <c:v>42227.513888888891</c:v>
                </c:pt>
                <c:pt idx="2">
                  <c:v>42228.580555555556</c:v>
                </c:pt>
                <c:pt idx="3">
                  <c:v>42234.597222222219</c:v>
                </c:pt>
                <c:pt idx="4">
                  <c:v>42243.684027777781</c:v>
                </c:pt>
                <c:pt idx="5">
                  <c:v>42243.684027777781</c:v>
                </c:pt>
                <c:pt idx="6">
                  <c:v>42247.663194444445</c:v>
                </c:pt>
                <c:pt idx="7">
                  <c:v>42265.409722222219</c:v>
                </c:pt>
                <c:pt idx="8">
                  <c:v>42265.409722222219</c:v>
                </c:pt>
                <c:pt idx="9">
                  <c:v>42267.454861111109</c:v>
                </c:pt>
                <c:pt idx="10">
                  <c:v>42267.454861111109</c:v>
                </c:pt>
                <c:pt idx="11">
                  <c:v>42268.402777777781</c:v>
                </c:pt>
                <c:pt idx="12">
                  <c:v>42268.402777777781</c:v>
                </c:pt>
                <c:pt idx="13">
                  <c:v>42271.454861111109</c:v>
                </c:pt>
                <c:pt idx="14">
                  <c:v>42271.454861111109</c:v>
                </c:pt>
                <c:pt idx="15">
                  <c:v>42275.465277777781</c:v>
                </c:pt>
                <c:pt idx="16">
                  <c:v>42275.465277777781</c:v>
                </c:pt>
                <c:pt idx="17">
                  <c:v>42303.652083333334</c:v>
                </c:pt>
                <c:pt idx="18" formatCode="m/d/yyyy">
                  <c:v>42493.618055555555</c:v>
                </c:pt>
                <c:pt idx="19" formatCode="m/d/yyyy">
                  <c:v>42501.469444444447</c:v>
                </c:pt>
                <c:pt idx="20" formatCode="m/d/yyyy">
                  <c:v>42509.559027777781</c:v>
                </c:pt>
                <c:pt idx="21" formatCode="m/d/yyyy">
                  <c:v>42516.538194444445</c:v>
                </c:pt>
                <c:pt idx="22" formatCode="m/d/yyyy">
                  <c:v>42522.538194444445</c:v>
                </c:pt>
                <c:pt idx="23" formatCode="m/d/yyyy">
                  <c:v>42527.642361111109</c:v>
                </c:pt>
                <c:pt idx="24" formatCode="m/d/yyyy">
                  <c:v>42528.395833333336</c:v>
                </c:pt>
                <c:pt idx="25" formatCode="m/d/yyyy">
                  <c:v>42536.5625</c:v>
                </c:pt>
              </c:numCache>
            </c:numRef>
          </c:xVal>
          <c:yVal>
            <c:numRef>
              <c:f>'Bakers Bridge'!$AF$6:$AF$32</c:f>
              <c:numCache>
                <c:formatCode>General</c:formatCode>
                <c:ptCount val="27"/>
                <c:pt idx="0">
                  <c:v>6310</c:v>
                </c:pt>
                <c:pt idx="1">
                  <c:v>6310</c:v>
                </c:pt>
                <c:pt idx="2">
                  <c:v>5600</c:v>
                </c:pt>
                <c:pt idx="3">
                  <c:v>21000</c:v>
                </c:pt>
                <c:pt idx="4">
                  <c:v>11000</c:v>
                </c:pt>
                <c:pt idx="5">
                  <c:v>14000</c:v>
                </c:pt>
                <c:pt idx="6">
                  <c:v>7600</c:v>
                </c:pt>
                <c:pt idx="7">
                  <c:v>13000</c:v>
                </c:pt>
                <c:pt idx="8">
                  <c:v>13000</c:v>
                </c:pt>
                <c:pt idx="9">
                  <c:v>8100</c:v>
                </c:pt>
                <c:pt idx="10">
                  <c:v>8100</c:v>
                </c:pt>
                <c:pt idx="11">
                  <c:v>12000</c:v>
                </c:pt>
                <c:pt idx="12">
                  <c:v>12000</c:v>
                </c:pt>
                <c:pt idx="13">
                  <c:v>8600</c:v>
                </c:pt>
                <c:pt idx="14">
                  <c:v>8600</c:v>
                </c:pt>
                <c:pt idx="15">
                  <c:v>6600</c:v>
                </c:pt>
                <c:pt idx="16">
                  <c:v>6600</c:v>
                </c:pt>
                <c:pt idx="17">
                  <c:v>13000</c:v>
                </c:pt>
                <c:pt idx="18">
                  <c:v>33000</c:v>
                </c:pt>
                <c:pt idx="19">
                  <c:v>18000</c:v>
                </c:pt>
                <c:pt idx="20">
                  <c:v>9100</c:v>
                </c:pt>
                <c:pt idx="21">
                  <c:v>9700</c:v>
                </c:pt>
                <c:pt idx="22">
                  <c:v>11000</c:v>
                </c:pt>
                <c:pt idx="23">
                  <c:v>7500</c:v>
                </c:pt>
                <c:pt idx="24">
                  <c:v>7200</c:v>
                </c:pt>
                <c:pt idx="25">
                  <c:v>6100</c:v>
                </c:pt>
              </c:numCache>
            </c:numRef>
          </c:yVal>
          <c:smooth val="0"/>
          <c:extLst>
            <c:ext xmlns:c16="http://schemas.microsoft.com/office/drawing/2014/chart" uri="{C3380CC4-5D6E-409C-BE32-E72D297353CC}">
              <c16:uniqueId val="{00000001-1DF8-4986-A222-8AEB505E219C}"/>
            </c:ext>
          </c:extLst>
        </c:ser>
        <c:dLbls>
          <c:showLegendKey val="0"/>
          <c:showVal val="0"/>
          <c:showCatName val="0"/>
          <c:showSerName val="0"/>
          <c:showPercent val="0"/>
          <c:showBubbleSize val="0"/>
        </c:dLbls>
        <c:axId val="1026413672"/>
        <c:axId val="1026414064"/>
      </c:scatterChart>
      <c:valAx>
        <c:axId val="1026413672"/>
        <c:scaling>
          <c:orientation val="minMax"/>
          <c:max val="42550"/>
          <c:min val="42220"/>
        </c:scaling>
        <c:delete val="0"/>
        <c:axPos val="b"/>
        <c:majorGridlines>
          <c:spPr>
            <a:ln w="9525" cap="flat" cmpd="sng" algn="ctr">
              <a:noFill/>
              <a:round/>
            </a:ln>
            <a:effectLst/>
          </c:spPr>
        </c:majorGridlines>
        <c:numFmt formatCode="m/d/yy\ h:mm;@" sourceLinked="1"/>
        <c:majorTickMark val="out"/>
        <c:minorTickMark val="out"/>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1" i="0" u="none" strike="noStrike" kern="1200" baseline="0">
                <a:solidFill>
                  <a:sysClr val="windowText" lastClr="000000"/>
                </a:solidFill>
                <a:latin typeface="+mn-lt"/>
                <a:ea typeface="+mn-ea"/>
                <a:cs typeface="+mn-cs"/>
              </a:defRPr>
            </a:pPr>
            <a:endParaRPr lang="en-US"/>
          </a:p>
        </c:txPr>
        <c:crossAx val="1026414064"/>
        <c:crosses val="autoZero"/>
        <c:crossBetween val="midCat"/>
        <c:majorUnit val="30"/>
      </c:valAx>
      <c:valAx>
        <c:axId val="10264140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t> Concentration (mg/kg)</a:t>
                </a:r>
              </a:p>
            </c:rich>
          </c:tx>
          <c:layout>
            <c:manualLayout>
              <c:xMode val="edge"/>
              <c:yMode val="edge"/>
              <c:x val="3.2084171296769722E-2"/>
              <c:y val="0.22366688538932633"/>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26413672"/>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000" b="1">
          <a:solidFill>
            <a:sysClr val="windowText" lastClr="000000"/>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4.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chart" Target="../charts/chart19.xml"/><Relationship Id="rId1" Type="http://schemas.openxmlformats.org/officeDocument/2006/relationships/chart" Target="../charts/chart18.xml"/><Relationship Id="rId5" Type="http://schemas.openxmlformats.org/officeDocument/2006/relationships/chart" Target="../charts/chart22.xml"/><Relationship Id="rId4" Type="http://schemas.openxmlformats.org/officeDocument/2006/relationships/chart" Target="../charts/chart21.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25.xml"/><Relationship Id="rId7" Type="http://schemas.openxmlformats.org/officeDocument/2006/relationships/chart" Target="../charts/chart28.xml"/><Relationship Id="rId2" Type="http://schemas.openxmlformats.org/officeDocument/2006/relationships/chart" Target="../charts/chart24.xml"/><Relationship Id="rId1" Type="http://schemas.openxmlformats.org/officeDocument/2006/relationships/chart" Target="../charts/chart23.xml"/><Relationship Id="rId6" Type="http://schemas.openxmlformats.org/officeDocument/2006/relationships/image" Target="../media/image1.png"/><Relationship Id="rId5" Type="http://schemas.openxmlformats.org/officeDocument/2006/relationships/chart" Target="../charts/chart27.xml"/><Relationship Id="rId4" Type="http://schemas.openxmlformats.org/officeDocument/2006/relationships/chart" Target="../charts/chart26.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31.xml"/><Relationship Id="rId7" Type="http://schemas.openxmlformats.org/officeDocument/2006/relationships/image" Target="../media/image1.png"/><Relationship Id="rId2" Type="http://schemas.openxmlformats.org/officeDocument/2006/relationships/chart" Target="../charts/chart30.xml"/><Relationship Id="rId1" Type="http://schemas.openxmlformats.org/officeDocument/2006/relationships/chart" Target="../charts/chart29.xml"/><Relationship Id="rId6" Type="http://schemas.openxmlformats.org/officeDocument/2006/relationships/chart" Target="../charts/chart34.xml"/><Relationship Id="rId5" Type="http://schemas.openxmlformats.org/officeDocument/2006/relationships/chart" Target="../charts/chart33.xml"/><Relationship Id="rId4" Type="http://schemas.openxmlformats.org/officeDocument/2006/relationships/chart" Target="../charts/chart32.xml"/></Relationships>
</file>

<file path=xl/drawings/_rels/drawing2.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0.xml.rels><?xml version="1.0" encoding="UTF-8" standalone="yes"?>
<Relationships xmlns="http://schemas.openxmlformats.org/package/2006/relationships"><Relationship Id="rId3" Type="http://schemas.openxmlformats.org/officeDocument/2006/relationships/chart" Target="../charts/chart37.xml"/><Relationship Id="rId7" Type="http://schemas.openxmlformats.org/officeDocument/2006/relationships/chart" Target="../charts/chart41.xml"/><Relationship Id="rId2" Type="http://schemas.openxmlformats.org/officeDocument/2006/relationships/chart" Target="../charts/chart36.xml"/><Relationship Id="rId1" Type="http://schemas.openxmlformats.org/officeDocument/2006/relationships/chart" Target="../charts/chart35.xml"/><Relationship Id="rId6" Type="http://schemas.openxmlformats.org/officeDocument/2006/relationships/chart" Target="../charts/chart40.xml"/><Relationship Id="rId5" Type="http://schemas.openxmlformats.org/officeDocument/2006/relationships/chart" Target="../charts/chart39.xml"/><Relationship Id="rId4" Type="http://schemas.openxmlformats.org/officeDocument/2006/relationships/chart" Target="../charts/chart38.xml"/></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8" Type="http://schemas.openxmlformats.org/officeDocument/2006/relationships/chart" Target="../charts/chart15.xml"/><Relationship Id="rId3" Type="http://schemas.openxmlformats.org/officeDocument/2006/relationships/chart" Target="../charts/chart10.xml"/><Relationship Id="rId7" Type="http://schemas.openxmlformats.org/officeDocument/2006/relationships/chart" Target="../charts/chart14.xml"/><Relationship Id="rId2" Type="http://schemas.openxmlformats.org/officeDocument/2006/relationships/chart" Target="../charts/chart9.xml"/><Relationship Id="rId1" Type="http://schemas.openxmlformats.org/officeDocument/2006/relationships/chart" Target="../charts/chart8.xml"/><Relationship Id="rId6" Type="http://schemas.openxmlformats.org/officeDocument/2006/relationships/chart" Target="../charts/chart13.xml"/><Relationship Id="rId11" Type="http://schemas.openxmlformats.org/officeDocument/2006/relationships/image" Target="../media/image1.png"/><Relationship Id="rId5" Type="http://schemas.openxmlformats.org/officeDocument/2006/relationships/chart" Target="../charts/chart12.xml"/><Relationship Id="rId10" Type="http://schemas.openxmlformats.org/officeDocument/2006/relationships/chart" Target="../charts/chart17.xml"/><Relationship Id="rId4" Type="http://schemas.openxmlformats.org/officeDocument/2006/relationships/chart" Target="../charts/chart11.xml"/><Relationship Id="rId9" Type="http://schemas.openxmlformats.org/officeDocument/2006/relationships/chart" Target="../charts/chart16.xml"/></Relationships>
</file>

<file path=xl/drawings/drawing1.xml><?xml version="1.0" encoding="utf-8"?>
<xdr:wsDr xmlns:xdr="http://schemas.openxmlformats.org/drawingml/2006/spreadsheetDrawing" xmlns:a="http://schemas.openxmlformats.org/drawingml/2006/main">
  <xdr:twoCellAnchor>
    <xdr:from>
      <xdr:col>11</xdr:col>
      <xdr:colOff>47625</xdr:colOff>
      <xdr:row>7</xdr:row>
      <xdr:rowOff>57150</xdr:rowOff>
    </xdr:from>
    <xdr:to>
      <xdr:col>16</xdr:col>
      <xdr:colOff>457200</xdr:colOff>
      <xdr:row>15</xdr:row>
      <xdr:rowOff>38100</xdr:rowOff>
    </xdr:to>
    <xdr:sp macro="" textlink="">
      <xdr:nvSpPr>
        <xdr:cNvPr id="2" name="TextBox 1"/>
        <xdr:cNvSpPr txBox="1"/>
      </xdr:nvSpPr>
      <xdr:spPr>
        <a:xfrm>
          <a:off x="8848725" y="1666875"/>
          <a:ext cx="5353050" cy="1200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Table 9-3. Results of Statistical Analyses Comparing Pre-event and Post-event samples for Cement Creek (RK 12.5).  Data include samples that were collected at flow between 2.8-7.1 m</a:t>
          </a:r>
          <a:r>
            <a:rPr lang="en-US" sz="1100" b="1" baseline="30000">
              <a:solidFill>
                <a:schemeClr val="dk1"/>
              </a:solidFill>
              <a:effectLst/>
              <a:latin typeface="+mn-lt"/>
              <a:ea typeface="+mn-ea"/>
              <a:cs typeface="+mn-cs"/>
            </a:rPr>
            <a:t>3</a:t>
          </a:r>
          <a:r>
            <a:rPr lang="en-US" sz="1100" b="1">
              <a:solidFill>
                <a:schemeClr val="dk1"/>
              </a:solidFill>
              <a:effectLst/>
              <a:latin typeface="+mn-lt"/>
              <a:ea typeface="+mn-ea"/>
              <a:cs typeface="+mn-cs"/>
            </a:rPr>
            <a:t>/s. Pre-event includes data from 2009 to 2014. Concentrations were logged (base 10) prior to testing. Mean concentrations are shown, SE=standard error of the mean.</a:t>
          </a:r>
          <a:endParaRPr lang="en-US" sz="1100" b="1"/>
        </a:p>
      </xdr:txBody>
    </xdr:sp>
    <xdr:clientData/>
  </xdr:twoCellAnchor>
</xdr:wsDr>
</file>

<file path=xl/drawings/drawing10.xml><?xml version="1.0" encoding="utf-8"?>
<c:userShapes xmlns:c="http://schemas.openxmlformats.org/drawingml/2006/chart">
  <cdr:relSizeAnchor xmlns:cdr="http://schemas.openxmlformats.org/drawingml/2006/chartDrawing">
    <cdr:from>
      <cdr:x>0.01065</cdr:x>
      <cdr:y>0.01852</cdr:y>
    </cdr:from>
    <cdr:to>
      <cdr:x>0.08649</cdr:x>
      <cdr:y>0.11227</cdr:y>
    </cdr:to>
    <cdr:sp macro="" textlink="">
      <cdr:nvSpPr>
        <cdr:cNvPr id="2" name="TextBox 1"/>
        <cdr:cNvSpPr txBox="1"/>
      </cdr:nvSpPr>
      <cdr:spPr>
        <a:xfrm xmlns:a="http://schemas.openxmlformats.org/drawingml/2006/main">
          <a:off x="50800" y="50800"/>
          <a:ext cx="361950" cy="2571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C)</a:t>
          </a:r>
        </a:p>
      </cdr:txBody>
    </cdr:sp>
  </cdr:relSizeAnchor>
</c:userShapes>
</file>

<file path=xl/drawings/drawing11.xml><?xml version="1.0" encoding="utf-8"?>
<c:userShapes xmlns:c="http://schemas.openxmlformats.org/drawingml/2006/chart">
  <cdr:relSizeAnchor xmlns:cdr="http://schemas.openxmlformats.org/drawingml/2006/chartDrawing">
    <cdr:from>
      <cdr:x>0.01159</cdr:x>
      <cdr:y>0.01852</cdr:y>
    </cdr:from>
    <cdr:to>
      <cdr:x>0.0942</cdr:x>
      <cdr:y>0.11227</cdr:y>
    </cdr:to>
    <cdr:sp macro="" textlink="">
      <cdr:nvSpPr>
        <cdr:cNvPr id="2" name="TextBox 1"/>
        <cdr:cNvSpPr txBox="1"/>
      </cdr:nvSpPr>
      <cdr:spPr>
        <a:xfrm xmlns:a="http://schemas.openxmlformats.org/drawingml/2006/main">
          <a:off x="50800" y="50800"/>
          <a:ext cx="361950" cy="2571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B)</a:t>
          </a:r>
        </a:p>
      </cdr:txBody>
    </cdr:sp>
  </cdr:relSizeAnchor>
</c:userShapes>
</file>

<file path=xl/drawings/drawing12.xml><?xml version="1.0" encoding="utf-8"?>
<c:userShapes xmlns:c="http://schemas.openxmlformats.org/drawingml/2006/chart">
  <cdr:relSizeAnchor xmlns:cdr="http://schemas.openxmlformats.org/drawingml/2006/chartDrawing">
    <cdr:from>
      <cdr:x>0.0108</cdr:x>
      <cdr:y>0.01852</cdr:y>
    </cdr:from>
    <cdr:to>
      <cdr:x>0.08772</cdr:x>
      <cdr:y>0.11227</cdr:y>
    </cdr:to>
    <cdr:sp macro="" textlink="">
      <cdr:nvSpPr>
        <cdr:cNvPr id="2" name="TextBox 1"/>
        <cdr:cNvSpPr txBox="1"/>
      </cdr:nvSpPr>
      <cdr:spPr>
        <a:xfrm xmlns:a="http://schemas.openxmlformats.org/drawingml/2006/main">
          <a:off x="50800" y="50800"/>
          <a:ext cx="361950" cy="2571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D)</a:t>
          </a:r>
        </a:p>
      </cdr:txBody>
    </cdr:sp>
  </cdr:relSizeAnchor>
</c:userShapes>
</file>

<file path=xl/drawings/drawing13.xml><?xml version="1.0" encoding="utf-8"?>
<c:userShapes xmlns:c="http://schemas.openxmlformats.org/drawingml/2006/chart">
  <cdr:relSizeAnchor xmlns:cdr="http://schemas.openxmlformats.org/drawingml/2006/chartDrawing">
    <cdr:from>
      <cdr:x>0.0112</cdr:x>
      <cdr:y>0.01729</cdr:y>
    </cdr:from>
    <cdr:to>
      <cdr:x>0.09104</cdr:x>
      <cdr:y>0.10481</cdr:y>
    </cdr:to>
    <cdr:sp macro="" textlink="">
      <cdr:nvSpPr>
        <cdr:cNvPr id="2" name="TextBox 1"/>
        <cdr:cNvSpPr txBox="1"/>
      </cdr:nvSpPr>
      <cdr:spPr>
        <a:xfrm xmlns:a="http://schemas.openxmlformats.org/drawingml/2006/main">
          <a:off x="50800" y="50800"/>
          <a:ext cx="361950" cy="2571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F)</a:t>
          </a:r>
        </a:p>
      </cdr:txBody>
    </cdr:sp>
  </cdr:relSizeAnchor>
</c:userShapes>
</file>

<file path=xl/drawings/drawing14.xml><?xml version="1.0" encoding="utf-8"?>
<xdr:wsDr xmlns:xdr="http://schemas.openxmlformats.org/drawingml/2006/spreadsheetDrawing" xmlns:a="http://schemas.openxmlformats.org/drawingml/2006/main">
  <xdr:twoCellAnchor>
    <xdr:from>
      <xdr:col>11</xdr:col>
      <xdr:colOff>381001</xdr:colOff>
      <xdr:row>5</xdr:row>
      <xdr:rowOff>38100</xdr:rowOff>
    </xdr:from>
    <xdr:to>
      <xdr:col>18</xdr:col>
      <xdr:colOff>276225</xdr:colOff>
      <xdr:row>24</xdr:row>
      <xdr:rowOff>123825</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161926</xdr:colOff>
      <xdr:row>5</xdr:row>
      <xdr:rowOff>66675</xdr:rowOff>
    </xdr:from>
    <xdr:to>
      <xdr:col>26</xdr:col>
      <xdr:colOff>247650</xdr:colOff>
      <xdr:row>25</xdr:row>
      <xdr:rowOff>9525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123825</xdr:colOff>
      <xdr:row>50</xdr:row>
      <xdr:rowOff>133350</xdr:rowOff>
    </xdr:from>
    <xdr:to>
      <xdr:col>18</xdr:col>
      <xdr:colOff>209550</xdr:colOff>
      <xdr:row>70</xdr:row>
      <xdr:rowOff>76200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295276</xdr:colOff>
      <xdr:row>27</xdr:row>
      <xdr:rowOff>9525</xdr:rowOff>
    </xdr:from>
    <xdr:to>
      <xdr:col>18</xdr:col>
      <xdr:colOff>438150</xdr:colOff>
      <xdr:row>46</xdr:row>
      <xdr:rowOff>95250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xdr:col>
      <xdr:colOff>171450</xdr:colOff>
      <xdr:row>26</xdr:row>
      <xdr:rowOff>66675</xdr:rowOff>
    </xdr:from>
    <xdr:to>
      <xdr:col>26</xdr:col>
      <xdr:colOff>200025</xdr:colOff>
      <xdr:row>46</xdr:row>
      <xdr:rowOff>9525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13</xdr:col>
      <xdr:colOff>19050</xdr:colOff>
      <xdr:row>1</xdr:row>
      <xdr:rowOff>161925</xdr:rowOff>
    </xdr:from>
    <xdr:to>
      <xdr:col>25</xdr:col>
      <xdr:colOff>457200</xdr:colOff>
      <xdr:row>4</xdr:row>
      <xdr:rowOff>57150</xdr:rowOff>
    </xdr:to>
    <xdr:sp macro="" textlink="">
      <xdr:nvSpPr>
        <xdr:cNvPr id="2" name="TextBox 1"/>
        <xdr:cNvSpPr txBox="1"/>
      </xdr:nvSpPr>
      <xdr:spPr>
        <a:xfrm>
          <a:off x="10058400" y="523875"/>
          <a:ext cx="7753350"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9-22. Time series of sediment concentrations in the Animas River in Durango from RK 88 to RK 103 from August 5, 2015 to June 30, 2016 for A) aluminum, B) lead, C) copper, and D) zinc.  2016 snowmelt data are included. </a:t>
          </a:r>
        </a:p>
        <a:p>
          <a:endParaRPr lang="en-US" sz="1100"/>
        </a:p>
      </xdr:txBody>
    </xdr:sp>
    <xdr:clientData/>
  </xdr:twoCellAnchor>
</xdr:wsDr>
</file>

<file path=xl/drawings/drawing15.xml><?xml version="1.0" encoding="utf-8"?>
<c:userShapes xmlns:c="http://schemas.openxmlformats.org/drawingml/2006/chart">
  <cdr:relSizeAnchor xmlns:cdr="http://schemas.openxmlformats.org/drawingml/2006/chartDrawing">
    <cdr:from>
      <cdr:x>0.05263</cdr:x>
      <cdr:y>0.02041</cdr:y>
    </cdr:from>
    <cdr:to>
      <cdr:x>0.17849</cdr:x>
      <cdr:y>0.11905</cdr:y>
    </cdr:to>
    <cdr:sp macro="" textlink="">
      <cdr:nvSpPr>
        <cdr:cNvPr id="2" name="TextBox 1"/>
        <cdr:cNvSpPr txBox="1"/>
      </cdr:nvSpPr>
      <cdr:spPr>
        <a:xfrm xmlns:a="http://schemas.openxmlformats.org/drawingml/2006/main">
          <a:off x="219074" y="57150"/>
          <a:ext cx="523875" cy="2762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t>A)</a:t>
          </a:r>
        </a:p>
      </cdr:txBody>
    </cdr:sp>
  </cdr:relSizeAnchor>
</c:userShapes>
</file>

<file path=xl/drawings/drawing16.xml><?xml version="1.0" encoding="utf-8"?>
<c:userShapes xmlns:c="http://schemas.openxmlformats.org/drawingml/2006/chart">
  <cdr:relSizeAnchor xmlns:cdr="http://schemas.openxmlformats.org/drawingml/2006/chartDrawing">
    <cdr:from>
      <cdr:x>0.01167</cdr:x>
      <cdr:y>0.01814</cdr:y>
    </cdr:from>
    <cdr:to>
      <cdr:x>0.13202</cdr:x>
      <cdr:y>0.11678</cdr:y>
    </cdr:to>
    <cdr:sp macro="" textlink="">
      <cdr:nvSpPr>
        <cdr:cNvPr id="2" name="TextBox 1"/>
        <cdr:cNvSpPr txBox="1"/>
      </cdr:nvSpPr>
      <cdr:spPr>
        <a:xfrm xmlns:a="http://schemas.openxmlformats.org/drawingml/2006/main">
          <a:off x="50800" y="50800"/>
          <a:ext cx="523875" cy="276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a:t>B)</a:t>
          </a:r>
        </a:p>
      </cdr:txBody>
    </cdr:sp>
  </cdr:relSizeAnchor>
</c:userShapes>
</file>

<file path=xl/drawings/drawing17.xml><?xml version="1.0" encoding="utf-8"?>
<c:userShapes xmlns:c="http://schemas.openxmlformats.org/drawingml/2006/chart">
  <cdr:relSizeAnchor xmlns:cdr="http://schemas.openxmlformats.org/drawingml/2006/chartDrawing">
    <cdr:from>
      <cdr:x>0.01152</cdr:x>
      <cdr:y>0.01814</cdr:y>
    </cdr:from>
    <cdr:to>
      <cdr:x>0.13031</cdr:x>
      <cdr:y>0.11678</cdr:y>
    </cdr:to>
    <cdr:sp macro="" textlink="">
      <cdr:nvSpPr>
        <cdr:cNvPr id="2" name="TextBox 1"/>
        <cdr:cNvSpPr txBox="1"/>
      </cdr:nvSpPr>
      <cdr:spPr>
        <a:xfrm xmlns:a="http://schemas.openxmlformats.org/drawingml/2006/main">
          <a:off x="50800" y="50800"/>
          <a:ext cx="523875" cy="276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a:t>C)</a:t>
          </a:r>
        </a:p>
      </cdr:txBody>
    </cdr:sp>
  </cdr:relSizeAnchor>
</c:userShapes>
</file>

<file path=xl/drawings/drawing18.xml><?xml version="1.0" encoding="utf-8"?>
<xdr:wsDr xmlns:xdr="http://schemas.openxmlformats.org/drawingml/2006/spreadsheetDrawing" xmlns:a="http://schemas.openxmlformats.org/drawingml/2006/main">
  <xdr:twoCellAnchor>
    <xdr:from>
      <xdr:col>23</xdr:col>
      <xdr:colOff>862012</xdr:colOff>
      <xdr:row>53</xdr:row>
      <xdr:rowOff>85726</xdr:rowOff>
    </xdr:from>
    <xdr:to>
      <xdr:col>27</xdr:col>
      <xdr:colOff>523875</xdr:colOff>
      <xdr:row>66</xdr:row>
      <xdr:rowOff>190501</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171450</xdr:colOff>
      <xdr:row>52</xdr:row>
      <xdr:rowOff>180975</xdr:rowOff>
    </xdr:from>
    <xdr:to>
      <xdr:col>23</xdr:col>
      <xdr:colOff>409575</xdr:colOff>
      <xdr:row>66</xdr:row>
      <xdr:rowOff>190500</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38</xdr:col>
      <xdr:colOff>219075</xdr:colOff>
      <xdr:row>53</xdr:row>
      <xdr:rowOff>0</xdr:rowOff>
    </xdr:from>
    <xdr:to>
      <xdr:col>43</xdr:col>
      <xdr:colOff>400049</xdr:colOff>
      <xdr:row>67</xdr:row>
      <xdr:rowOff>28575</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33</xdr:col>
      <xdr:colOff>657225</xdr:colOff>
      <xdr:row>54</xdr:row>
      <xdr:rowOff>9526</xdr:rowOff>
    </xdr:from>
    <xdr:to>
      <xdr:col>37</xdr:col>
      <xdr:colOff>819150</xdr:colOff>
      <xdr:row>66</xdr:row>
      <xdr:rowOff>180975</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28</xdr:col>
      <xdr:colOff>266700</xdr:colOff>
      <xdr:row>53</xdr:row>
      <xdr:rowOff>142875</xdr:rowOff>
    </xdr:from>
    <xdr:to>
      <xdr:col>33</xdr:col>
      <xdr:colOff>571500</xdr:colOff>
      <xdr:row>67</xdr:row>
      <xdr:rowOff>9524</xdr:rowOff>
    </xdr:to>
    <xdr:graphicFrame macro="">
      <xdr:nvGraphicFramePr>
        <xdr:cNvPr id="1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xdr:col>
      <xdr:colOff>323850</xdr:colOff>
      <xdr:row>0</xdr:row>
      <xdr:rowOff>95250</xdr:rowOff>
    </xdr:from>
    <xdr:to>
      <xdr:col>26</xdr:col>
      <xdr:colOff>666750</xdr:colOff>
      <xdr:row>3</xdr:row>
      <xdr:rowOff>219075</xdr:rowOff>
    </xdr:to>
    <xdr:sp macro="" textlink="">
      <xdr:nvSpPr>
        <xdr:cNvPr id="2" name="TextBox 1"/>
        <xdr:cNvSpPr txBox="1"/>
      </xdr:nvSpPr>
      <xdr:spPr>
        <a:xfrm>
          <a:off x="14716125" y="95250"/>
          <a:ext cx="6686550" cy="838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dk1"/>
              </a:solidFill>
              <a:effectLst/>
              <a:latin typeface="+mn-lt"/>
              <a:ea typeface="+mn-ea"/>
              <a:cs typeface="+mn-cs"/>
            </a:rPr>
            <a:t>Table 9-8. Results of Statistical Analyses Comparing Pre-event and Post-event samples in the Animas River at RK 190.2 (Farmington, New Mexico). Total metal concentrations were not measured in the pre-event period at Farmington. Pre-event included data from 2009 to 2014. In the post-event period, samples were included from flow between 7.1 and 14.2 m</a:t>
          </a:r>
          <a:r>
            <a:rPr lang="en-US" sz="1000" b="1" baseline="30000">
              <a:solidFill>
                <a:schemeClr val="dk1"/>
              </a:solidFill>
              <a:effectLst/>
              <a:latin typeface="+mn-lt"/>
              <a:ea typeface="+mn-ea"/>
              <a:cs typeface="+mn-cs"/>
            </a:rPr>
            <a:t>3</a:t>
          </a:r>
          <a:r>
            <a:rPr lang="en-US" sz="1000" b="1">
              <a:solidFill>
                <a:schemeClr val="dk1"/>
              </a:solidFill>
              <a:effectLst/>
              <a:latin typeface="+mn-lt"/>
              <a:ea typeface="+mn-ea"/>
              <a:cs typeface="+mn-cs"/>
            </a:rPr>
            <a:t>/s. Geometric mean concentrations are shown, SE=standard error of the mean.</a:t>
          </a:r>
          <a:endParaRPr lang="en-US" sz="1000" b="1"/>
        </a:p>
      </xdr:txBody>
    </xdr:sp>
    <xdr:clientData/>
  </xdr:twoCellAnchor>
  <xdr:twoCellAnchor editAs="oneCell">
    <xdr:from>
      <xdr:col>25</xdr:col>
      <xdr:colOff>123825</xdr:colOff>
      <xdr:row>12</xdr:row>
      <xdr:rowOff>142875</xdr:rowOff>
    </xdr:from>
    <xdr:to>
      <xdr:col>28</xdr:col>
      <xdr:colOff>142484</xdr:colOff>
      <xdr:row>25</xdr:row>
      <xdr:rowOff>66298</xdr:rowOff>
    </xdr:to>
    <xdr:pic>
      <xdr:nvPicPr>
        <xdr:cNvPr id="12" name="Picture 11"/>
        <xdr:cNvPicPr>
          <a:picLocks noChangeAspect="1"/>
        </xdr:cNvPicPr>
      </xdr:nvPicPr>
      <xdr:blipFill>
        <a:blip xmlns:r="http://schemas.openxmlformats.org/officeDocument/2006/relationships" r:embed="rId6"/>
        <a:stretch>
          <a:fillRect/>
        </a:stretch>
      </xdr:blipFill>
      <xdr:spPr>
        <a:xfrm>
          <a:off x="19945350" y="3000375"/>
          <a:ext cx="3123809" cy="3019048"/>
        </a:xfrm>
        <a:prstGeom prst="rect">
          <a:avLst/>
        </a:prstGeom>
      </xdr:spPr>
    </xdr:pic>
    <xdr:clientData/>
  </xdr:twoCellAnchor>
  <xdr:twoCellAnchor>
    <xdr:from>
      <xdr:col>19</xdr:col>
      <xdr:colOff>771525</xdr:colOff>
      <xdr:row>77</xdr:row>
      <xdr:rowOff>42861</xdr:rowOff>
    </xdr:from>
    <xdr:to>
      <xdr:col>25</xdr:col>
      <xdr:colOff>714375</xdr:colOff>
      <xdr:row>93</xdr:row>
      <xdr:rowOff>200024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38</xdr:col>
      <xdr:colOff>60702</xdr:colOff>
      <xdr:row>14</xdr:row>
      <xdr:rowOff>124493</xdr:rowOff>
    </xdr:from>
    <xdr:to>
      <xdr:col>42</xdr:col>
      <xdr:colOff>485774</xdr:colOff>
      <xdr:row>27</xdr:row>
      <xdr:rowOff>77912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42</xdr:col>
      <xdr:colOff>745625</xdr:colOff>
      <xdr:row>14</xdr:row>
      <xdr:rowOff>152399</xdr:rowOff>
    </xdr:from>
    <xdr:to>
      <xdr:col>45</xdr:col>
      <xdr:colOff>561975</xdr:colOff>
      <xdr:row>26</xdr:row>
      <xdr:rowOff>47625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38</xdr:col>
      <xdr:colOff>714828</xdr:colOff>
      <xdr:row>51</xdr:row>
      <xdr:rowOff>39007</xdr:rowOff>
    </xdr:from>
    <xdr:to>
      <xdr:col>43</xdr:col>
      <xdr:colOff>480673</xdr:colOff>
      <xdr:row>68</xdr:row>
      <xdr:rowOff>30526</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38</xdr:col>
      <xdr:colOff>783317</xdr:colOff>
      <xdr:row>68</xdr:row>
      <xdr:rowOff>76655</xdr:rowOff>
    </xdr:from>
    <xdr:to>
      <xdr:col>43</xdr:col>
      <xdr:colOff>504825</xdr:colOff>
      <xdr:row>84</xdr:row>
      <xdr:rowOff>95251</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38</xdr:col>
      <xdr:colOff>1019174</xdr:colOff>
      <xdr:row>85</xdr:row>
      <xdr:rowOff>114301</xdr:rowOff>
    </xdr:from>
    <xdr:to>
      <xdr:col>43</xdr:col>
      <xdr:colOff>619125</xdr:colOff>
      <xdr:row>101</xdr:row>
      <xdr:rowOff>1</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38</xdr:col>
      <xdr:colOff>704850</xdr:colOff>
      <xdr:row>34</xdr:row>
      <xdr:rowOff>76200</xdr:rowOff>
    </xdr:from>
    <xdr:to>
      <xdr:col>43</xdr:col>
      <xdr:colOff>438150</xdr:colOff>
      <xdr:row>51</xdr:row>
      <xdr:rowOff>58194</xdr:rowOff>
    </xdr:to>
    <xdr:graphicFrame macro="">
      <xdr:nvGraphicFramePr>
        <xdr:cNvPr id="22"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38</xdr:col>
      <xdr:colOff>762000</xdr:colOff>
      <xdr:row>8</xdr:row>
      <xdr:rowOff>104775</xdr:rowOff>
    </xdr:from>
    <xdr:to>
      <xdr:col>45</xdr:col>
      <xdr:colOff>152400</xdr:colOff>
      <xdr:row>13</xdr:row>
      <xdr:rowOff>57150</xdr:rowOff>
    </xdr:to>
    <xdr:sp macro="" textlink="">
      <xdr:nvSpPr>
        <xdr:cNvPr id="4" name="TextBox 3"/>
        <xdr:cNvSpPr txBox="1"/>
      </xdr:nvSpPr>
      <xdr:spPr>
        <a:xfrm>
          <a:off x="34375725" y="2152650"/>
          <a:ext cx="6724650" cy="95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9-44. Sediment samples from multiple locations on the Upper San Juan were taken near the peak of snowmelt runoff on June 8, 2016. Data appear to show elevated concentrations at Fruitland (RK 214).  Pre-event concentrations do not show a strong longitudinal pattern of bed sediment metals concentrations in the upper San Juan.</a:t>
          </a:r>
        </a:p>
      </xdr:txBody>
    </xdr:sp>
    <xdr:clientData/>
  </xdr:twoCellAnchor>
  <xdr:twoCellAnchor>
    <xdr:from>
      <xdr:col>20</xdr:col>
      <xdr:colOff>1076325</xdr:colOff>
      <xdr:row>1</xdr:row>
      <xdr:rowOff>171450</xdr:rowOff>
    </xdr:from>
    <xdr:to>
      <xdr:col>26</xdr:col>
      <xdr:colOff>952500</xdr:colOff>
      <xdr:row>5</xdr:row>
      <xdr:rowOff>76200</xdr:rowOff>
    </xdr:to>
    <xdr:sp macro="" textlink="">
      <xdr:nvSpPr>
        <xdr:cNvPr id="5" name="TextBox 4"/>
        <xdr:cNvSpPr txBox="1"/>
      </xdr:nvSpPr>
      <xdr:spPr>
        <a:xfrm>
          <a:off x="16840200" y="409575"/>
          <a:ext cx="5581650" cy="1076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Table 9-9. Results of Statistical Analyses Comparing Pre-event and Post-event Bed Sediment Metal Concentrations in the San Juan River Downstream of the Animas (RK 196 to 214; Farmington/Fruitland area and RK 246 to 296; Shiprock to Four Corners. Concentrations were logged (base 10) prior to testing. Geometric</a:t>
          </a:r>
          <a:r>
            <a:rPr lang="en-US" sz="1100" b="1" baseline="0">
              <a:solidFill>
                <a:schemeClr val="dk1"/>
              </a:solidFill>
              <a:effectLst/>
              <a:latin typeface="+mn-lt"/>
              <a:ea typeface="+mn-ea"/>
              <a:cs typeface="+mn-cs"/>
            </a:rPr>
            <a:t> m</a:t>
          </a:r>
          <a:r>
            <a:rPr lang="en-US" sz="1100" b="1">
              <a:solidFill>
                <a:schemeClr val="dk1"/>
              </a:solidFill>
              <a:effectLst/>
              <a:latin typeface="+mn-lt"/>
              <a:ea typeface="+mn-ea"/>
              <a:cs typeface="+mn-cs"/>
            </a:rPr>
            <a:t>ean concentrations are shown, SE=standard error of the mean.</a:t>
          </a:r>
        </a:p>
      </xdr:txBody>
    </xdr:sp>
    <xdr:clientData/>
  </xdr:twoCellAnchor>
  <xdr:twoCellAnchor editAs="oneCell">
    <xdr:from>
      <xdr:col>20</xdr:col>
      <xdr:colOff>1095375</xdr:colOff>
      <xdr:row>34</xdr:row>
      <xdr:rowOff>123825</xdr:rowOff>
    </xdr:from>
    <xdr:to>
      <xdr:col>23</xdr:col>
      <xdr:colOff>923534</xdr:colOff>
      <xdr:row>49</xdr:row>
      <xdr:rowOff>142498</xdr:rowOff>
    </xdr:to>
    <xdr:pic>
      <xdr:nvPicPr>
        <xdr:cNvPr id="6" name="Picture 5"/>
        <xdr:cNvPicPr>
          <a:picLocks noChangeAspect="1"/>
        </xdr:cNvPicPr>
      </xdr:nvPicPr>
      <xdr:blipFill>
        <a:blip xmlns:r="http://schemas.openxmlformats.org/officeDocument/2006/relationships" r:embed="rId7"/>
        <a:stretch>
          <a:fillRect/>
        </a:stretch>
      </xdr:blipFill>
      <xdr:spPr>
        <a:xfrm>
          <a:off x="16859250" y="8096250"/>
          <a:ext cx="3123809" cy="30190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25</xdr:col>
      <xdr:colOff>433386</xdr:colOff>
      <xdr:row>65</xdr:row>
      <xdr:rowOff>109537</xdr:rowOff>
    </xdr:from>
    <xdr:to>
      <xdr:col>29</xdr:col>
      <xdr:colOff>685799</xdr:colOff>
      <xdr:row>75</xdr:row>
      <xdr:rowOff>185737</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723900</xdr:colOff>
      <xdr:row>64</xdr:row>
      <xdr:rowOff>147637</xdr:rowOff>
    </xdr:from>
    <xdr:to>
      <xdr:col>24</xdr:col>
      <xdr:colOff>9525</xdr:colOff>
      <xdr:row>74</xdr:row>
      <xdr:rowOff>223837</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xdr:col>
      <xdr:colOff>219074</xdr:colOff>
      <xdr:row>41</xdr:row>
      <xdr:rowOff>171450</xdr:rowOff>
    </xdr:from>
    <xdr:to>
      <xdr:col>23</xdr:col>
      <xdr:colOff>400049</xdr:colOff>
      <xdr:row>51</xdr:row>
      <xdr:rowOff>66675</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25</xdr:col>
      <xdr:colOff>333375</xdr:colOff>
      <xdr:row>77</xdr:row>
      <xdr:rowOff>38100</xdr:rowOff>
    </xdr:from>
    <xdr:to>
      <xdr:col>29</xdr:col>
      <xdr:colOff>466725</xdr:colOff>
      <xdr:row>87</xdr:row>
      <xdr:rowOff>114300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18</xdr:col>
      <xdr:colOff>638175</xdr:colOff>
      <xdr:row>52</xdr:row>
      <xdr:rowOff>133350</xdr:rowOff>
    </xdr:from>
    <xdr:to>
      <xdr:col>23</xdr:col>
      <xdr:colOff>733425</xdr:colOff>
      <xdr:row>63</xdr:row>
      <xdr:rowOff>200025</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25</xdr:col>
      <xdr:colOff>76199</xdr:colOff>
      <xdr:row>53</xdr:row>
      <xdr:rowOff>114300</xdr:rowOff>
    </xdr:from>
    <xdr:to>
      <xdr:col>30</xdr:col>
      <xdr:colOff>38099</xdr:colOff>
      <xdr:row>63</xdr:row>
      <xdr:rowOff>190500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xdr:col>
      <xdr:colOff>304800</xdr:colOff>
      <xdr:row>42</xdr:row>
      <xdr:rowOff>66675</xdr:rowOff>
    </xdr:from>
    <xdr:to>
      <xdr:col>29</xdr:col>
      <xdr:colOff>704850</xdr:colOff>
      <xdr:row>52</xdr:row>
      <xdr:rowOff>142875</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19</xdr:col>
      <xdr:colOff>647699</xdr:colOff>
      <xdr:row>1</xdr:row>
      <xdr:rowOff>19050</xdr:rowOff>
    </xdr:from>
    <xdr:to>
      <xdr:col>26</xdr:col>
      <xdr:colOff>828674</xdr:colOff>
      <xdr:row>3</xdr:row>
      <xdr:rowOff>123825</xdr:rowOff>
    </xdr:to>
    <xdr:sp macro="" textlink="">
      <xdr:nvSpPr>
        <xdr:cNvPr id="2" name="TextBox 1"/>
        <xdr:cNvSpPr txBox="1"/>
      </xdr:nvSpPr>
      <xdr:spPr>
        <a:xfrm>
          <a:off x="15840074" y="285750"/>
          <a:ext cx="6448425" cy="638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dk1"/>
              </a:solidFill>
              <a:effectLst/>
              <a:latin typeface="+mn-lt"/>
              <a:ea typeface="+mn-ea"/>
              <a:cs typeface="+mn-cs"/>
            </a:rPr>
            <a:t>Table 9-4. Results of Statistical Analyses Comparing Pre-event and Post-event samples in the Animas River at RK 16.4 (below Silverton, Colorado). Data include samples that were collected at flow between 2.8-7.1 m</a:t>
          </a:r>
          <a:r>
            <a:rPr lang="en-US" sz="1000" b="1" baseline="30000">
              <a:solidFill>
                <a:schemeClr val="dk1"/>
              </a:solidFill>
              <a:effectLst/>
              <a:latin typeface="+mn-lt"/>
              <a:ea typeface="+mn-ea"/>
              <a:cs typeface="+mn-cs"/>
            </a:rPr>
            <a:t>3</a:t>
          </a:r>
          <a:r>
            <a:rPr lang="en-US" sz="1000" b="1">
              <a:solidFill>
                <a:schemeClr val="dk1"/>
              </a:solidFill>
              <a:effectLst/>
              <a:latin typeface="+mn-lt"/>
              <a:ea typeface="+mn-ea"/>
              <a:cs typeface="+mn-cs"/>
            </a:rPr>
            <a:t>/s. Concentrations were logged (base 10) prior to testing. Mean concentrations are shown, SE=standard error of the mean.</a:t>
          </a:r>
          <a:endParaRPr lang="en-US" sz="1000" b="1"/>
        </a:p>
      </xdr:txBody>
    </xdr:sp>
    <xdr:clientData/>
  </xdr:twoCellAnchor>
  <xdr:twoCellAnchor>
    <xdr:from>
      <xdr:col>18</xdr:col>
      <xdr:colOff>1200150</xdr:colOff>
      <xdr:row>38</xdr:row>
      <xdr:rowOff>190499</xdr:rowOff>
    </xdr:from>
    <xdr:to>
      <xdr:col>27</xdr:col>
      <xdr:colOff>981075</xdr:colOff>
      <xdr:row>41</xdr:row>
      <xdr:rowOff>114300</xdr:rowOff>
    </xdr:to>
    <xdr:sp macro="" textlink="">
      <xdr:nvSpPr>
        <xdr:cNvPr id="3" name="TextBox 2"/>
        <xdr:cNvSpPr txBox="1"/>
      </xdr:nvSpPr>
      <xdr:spPr>
        <a:xfrm>
          <a:off x="15116175" y="9486899"/>
          <a:ext cx="8429625" cy="7239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dk1"/>
              </a:solidFill>
              <a:effectLst/>
              <a:latin typeface="+mn-lt"/>
              <a:ea typeface="+mn-ea"/>
              <a:cs typeface="+mn-cs"/>
            </a:rPr>
            <a:t>Figure 9-13. Time sequence of sediment concentrations) in the Animas River at RK 16.4 (below Silverton). A) Aluminum and iron during snowmelt from April through June 2016; B) Iron from August 5 through June 2016. Iron is shown because it was the major component of the Gold King Mine Mass; C) Trace metals during during snowmelt from April through June 2016; and D) Copper from August 5, 2015 through June 2016.   </a:t>
          </a:r>
          <a:endParaRPr lang="en-US" sz="1000" b="1"/>
        </a:p>
      </xdr:txBody>
    </xdr:sp>
    <xdr:clientData/>
  </xdr:twoCellAnchor>
  <xdr:twoCellAnchor editAs="oneCell">
    <xdr:from>
      <xdr:col>20</xdr:col>
      <xdr:colOff>0</xdr:colOff>
      <xdr:row>26</xdr:row>
      <xdr:rowOff>0</xdr:rowOff>
    </xdr:from>
    <xdr:to>
      <xdr:col>24</xdr:col>
      <xdr:colOff>152009</xdr:colOff>
      <xdr:row>38</xdr:row>
      <xdr:rowOff>123448</xdr:rowOff>
    </xdr:to>
    <xdr:pic>
      <xdr:nvPicPr>
        <xdr:cNvPr id="19" name="Picture 18"/>
        <xdr:cNvPicPr>
          <a:picLocks noChangeAspect="1"/>
        </xdr:cNvPicPr>
      </xdr:nvPicPr>
      <xdr:blipFill>
        <a:blip xmlns:r="http://schemas.openxmlformats.org/officeDocument/2006/relationships" r:embed="rId8"/>
        <a:stretch>
          <a:fillRect/>
        </a:stretch>
      </xdr:blipFill>
      <xdr:spPr>
        <a:xfrm>
          <a:off x="16230600" y="6400800"/>
          <a:ext cx="3123809" cy="3019048"/>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11</xdr:col>
      <xdr:colOff>466725</xdr:colOff>
      <xdr:row>3</xdr:row>
      <xdr:rowOff>138112</xdr:rowOff>
    </xdr:from>
    <xdr:to>
      <xdr:col>19</xdr:col>
      <xdr:colOff>123825</xdr:colOff>
      <xdr:row>16</xdr:row>
      <xdr:rowOff>133350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447676</xdr:colOff>
      <xdr:row>18</xdr:row>
      <xdr:rowOff>180975</xdr:rowOff>
    </xdr:from>
    <xdr:to>
      <xdr:col>19</xdr:col>
      <xdr:colOff>123825</xdr:colOff>
      <xdr:row>31</xdr:row>
      <xdr:rowOff>176213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20</xdr:col>
      <xdr:colOff>161925</xdr:colOff>
      <xdr:row>48</xdr:row>
      <xdr:rowOff>95250</xdr:rowOff>
    </xdr:from>
    <xdr:to>
      <xdr:col>28</xdr:col>
      <xdr:colOff>57150</xdr:colOff>
      <xdr:row>61</xdr:row>
      <xdr:rowOff>138113</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9525</xdr:colOff>
      <xdr:row>11</xdr:row>
      <xdr:rowOff>57149</xdr:rowOff>
    </xdr:from>
    <xdr:to>
      <xdr:col>17</xdr:col>
      <xdr:colOff>9525</xdr:colOff>
      <xdr:row>12</xdr:row>
      <xdr:rowOff>66674</xdr:rowOff>
    </xdr:to>
    <xdr:sp macro="" textlink="">
      <xdr:nvSpPr>
        <xdr:cNvPr id="5" name="TextBox 4"/>
        <xdr:cNvSpPr txBox="1"/>
      </xdr:nvSpPr>
      <xdr:spPr>
        <a:xfrm>
          <a:off x="10020300" y="2305049"/>
          <a:ext cx="609600" cy="200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t>Peak Q</a:t>
          </a:r>
        </a:p>
      </xdr:txBody>
    </xdr:sp>
    <xdr:clientData/>
  </xdr:twoCellAnchor>
  <xdr:twoCellAnchor>
    <xdr:from>
      <xdr:col>11</xdr:col>
      <xdr:colOff>247651</xdr:colOff>
      <xdr:row>33</xdr:row>
      <xdr:rowOff>66675</xdr:rowOff>
    </xdr:from>
    <xdr:to>
      <xdr:col>19</xdr:col>
      <xdr:colOff>95251</xdr:colOff>
      <xdr:row>46</xdr:row>
      <xdr:rowOff>61913</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xdr:col>
      <xdr:colOff>495300</xdr:colOff>
      <xdr:row>32</xdr:row>
      <xdr:rowOff>171450</xdr:rowOff>
    </xdr:from>
    <xdr:to>
      <xdr:col>27</xdr:col>
      <xdr:colOff>0</xdr:colOff>
      <xdr:row>45</xdr:row>
      <xdr:rowOff>166688</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xdr:col>
      <xdr:colOff>333375</xdr:colOff>
      <xdr:row>18</xdr:row>
      <xdr:rowOff>123825</xdr:rowOff>
    </xdr:from>
    <xdr:to>
      <xdr:col>26</xdr:col>
      <xdr:colOff>514350</xdr:colOff>
      <xdr:row>31</xdr:row>
      <xdr:rowOff>119063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19</xdr:col>
      <xdr:colOff>323850</xdr:colOff>
      <xdr:row>4</xdr:row>
      <xdr:rowOff>38100</xdr:rowOff>
    </xdr:from>
    <xdr:to>
      <xdr:col>26</xdr:col>
      <xdr:colOff>542925</xdr:colOff>
      <xdr:row>17</xdr:row>
      <xdr:rowOff>33338</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13</xdr:col>
      <xdr:colOff>571500</xdr:colOff>
      <xdr:row>0</xdr:row>
      <xdr:rowOff>247650</xdr:rowOff>
    </xdr:from>
    <xdr:to>
      <xdr:col>25</xdr:col>
      <xdr:colOff>552450</xdr:colOff>
      <xdr:row>2</xdr:row>
      <xdr:rowOff>171450</xdr:rowOff>
    </xdr:to>
    <xdr:sp macro="" textlink="">
      <xdr:nvSpPr>
        <xdr:cNvPr id="10" name="TextBox 9"/>
        <xdr:cNvSpPr txBox="1"/>
      </xdr:nvSpPr>
      <xdr:spPr>
        <a:xfrm>
          <a:off x="8753475" y="247650"/>
          <a:ext cx="7296150" cy="504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9-23. Time sequence of sediment samples collected during 2016 snowmelt for four metals comparing the Animas River at RK 64 (Baker’s Bridge) and RK 94 (Durango): A) aluminum, B) iron, C) lead, and D) copper.</a:t>
          </a:r>
          <a:endParaRPr lang="en-US" sz="1100" b="1"/>
        </a:p>
      </xdr:txBody>
    </xdr:sp>
    <xdr:clientData/>
  </xdr:twoCellAnchor>
</xdr:wsDr>
</file>

<file path=xl/drawings/drawing21.xml><?xml version="1.0" encoding="utf-8"?>
<c:userShapes xmlns:c="http://schemas.openxmlformats.org/drawingml/2006/chart">
  <cdr:relSizeAnchor xmlns:cdr="http://schemas.openxmlformats.org/drawingml/2006/chartDrawing">
    <cdr:from>
      <cdr:x>0.6957</cdr:x>
      <cdr:y>0.81824</cdr:y>
    </cdr:from>
    <cdr:to>
      <cdr:x>0.81949</cdr:x>
      <cdr:y>0.89916</cdr:y>
    </cdr:to>
    <cdr:sp macro="" textlink="">
      <cdr:nvSpPr>
        <cdr:cNvPr id="2" name="TextBox 4"/>
        <cdr:cNvSpPr txBox="1"/>
      </cdr:nvSpPr>
      <cdr:spPr>
        <a:xfrm xmlns:a="http://schemas.openxmlformats.org/drawingml/2006/main">
          <a:off x="3154249" y="2022484"/>
          <a:ext cx="561252" cy="20001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Peak Q</a:t>
          </a:r>
        </a:p>
      </cdr:txBody>
    </cdr:sp>
  </cdr:relSizeAnchor>
  <cdr:relSizeAnchor xmlns:cdr="http://schemas.openxmlformats.org/drawingml/2006/chartDrawing">
    <cdr:from>
      <cdr:x>0.03782</cdr:x>
      <cdr:y>0.0289</cdr:y>
    </cdr:from>
    <cdr:to>
      <cdr:x>0.15756</cdr:x>
      <cdr:y>0.1368</cdr:y>
    </cdr:to>
    <cdr:sp macro="" textlink="">
      <cdr:nvSpPr>
        <cdr:cNvPr id="3" name="TextBox 2"/>
        <cdr:cNvSpPr txBox="1"/>
      </cdr:nvSpPr>
      <cdr:spPr>
        <a:xfrm xmlns:a="http://schemas.openxmlformats.org/drawingml/2006/main">
          <a:off x="171450" y="71438"/>
          <a:ext cx="542925"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A)</a:t>
          </a:r>
        </a:p>
      </cdr:txBody>
    </cdr:sp>
  </cdr:relSizeAnchor>
</c:userShapes>
</file>

<file path=xl/drawings/drawing22.xml><?xml version="1.0" encoding="utf-8"?>
<c:userShapes xmlns:c="http://schemas.openxmlformats.org/drawingml/2006/chart">
  <cdr:relSizeAnchor xmlns:cdr="http://schemas.openxmlformats.org/drawingml/2006/chartDrawing">
    <cdr:from>
      <cdr:x>0.69715</cdr:x>
      <cdr:y>0.81053</cdr:y>
    </cdr:from>
    <cdr:to>
      <cdr:x>0.82094</cdr:x>
      <cdr:y>0.89146</cdr:y>
    </cdr:to>
    <cdr:sp macro="" textlink="">
      <cdr:nvSpPr>
        <cdr:cNvPr id="2" name="TextBox 4"/>
        <cdr:cNvSpPr txBox="1"/>
      </cdr:nvSpPr>
      <cdr:spPr>
        <a:xfrm xmlns:a="http://schemas.openxmlformats.org/drawingml/2006/main">
          <a:off x="3220552" y="2003418"/>
          <a:ext cx="571863" cy="2000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Peak Q</a:t>
          </a:r>
        </a:p>
      </cdr:txBody>
    </cdr:sp>
  </cdr:relSizeAnchor>
  <cdr:relSizeAnchor xmlns:cdr="http://schemas.openxmlformats.org/drawingml/2006/chartDrawing">
    <cdr:from>
      <cdr:x>0.01116</cdr:x>
      <cdr:y>0.02055</cdr:y>
    </cdr:from>
    <cdr:to>
      <cdr:x>0.1304</cdr:x>
      <cdr:y>0.12845</cdr:y>
    </cdr:to>
    <cdr:sp macro="" textlink="">
      <cdr:nvSpPr>
        <cdr:cNvPr id="3" name="TextBox 1"/>
        <cdr:cNvSpPr txBox="1"/>
      </cdr:nvSpPr>
      <cdr:spPr>
        <a:xfrm xmlns:a="http://schemas.openxmlformats.org/drawingml/2006/main">
          <a:off x="50800" y="50800"/>
          <a:ext cx="542925" cy="2667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C)</a:t>
          </a:r>
        </a:p>
      </cdr:txBody>
    </cdr:sp>
  </cdr:relSizeAnchor>
</c:userShapes>
</file>

<file path=xl/drawings/drawing23.xml><?xml version="1.0" encoding="utf-8"?>
<c:userShapes xmlns:c="http://schemas.openxmlformats.org/drawingml/2006/chart">
  <cdr:relSizeAnchor xmlns:cdr="http://schemas.openxmlformats.org/drawingml/2006/chartDrawing">
    <cdr:from>
      <cdr:x>0.69508</cdr:x>
      <cdr:y>0.87219</cdr:y>
    </cdr:from>
    <cdr:to>
      <cdr:x>0.81887</cdr:x>
      <cdr:y>0.95312</cdr:y>
    </cdr:to>
    <cdr:sp macro="" textlink="">
      <cdr:nvSpPr>
        <cdr:cNvPr id="3" name="TextBox 4"/>
        <cdr:cNvSpPr txBox="1"/>
      </cdr:nvSpPr>
      <cdr:spPr>
        <a:xfrm xmlns:a="http://schemas.openxmlformats.org/drawingml/2006/main">
          <a:off x="3336821" y="2155818"/>
          <a:ext cx="594266" cy="2000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Peak Q</a:t>
          </a:r>
        </a:p>
      </cdr:txBody>
    </cdr:sp>
  </cdr:relSizeAnchor>
</c:userShapes>
</file>

<file path=xl/drawings/drawing24.xml><?xml version="1.0" encoding="utf-8"?>
<c:userShapes xmlns:c="http://schemas.openxmlformats.org/drawingml/2006/chart">
  <cdr:relSizeAnchor xmlns:cdr="http://schemas.openxmlformats.org/drawingml/2006/chartDrawing">
    <cdr:from>
      <cdr:x>0.69278</cdr:x>
      <cdr:y>0.76044</cdr:y>
    </cdr:from>
    <cdr:to>
      <cdr:x>0.81657</cdr:x>
      <cdr:y>0.84137</cdr:y>
    </cdr:to>
    <cdr:sp macro="" textlink="">
      <cdr:nvSpPr>
        <cdr:cNvPr id="2" name="TextBox 4"/>
        <cdr:cNvSpPr txBox="1"/>
      </cdr:nvSpPr>
      <cdr:spPr>
        <a:xfrm xmlns:a="http://schemas.openxmlformats.org/drawingml/2006/main">
          <a:off x="3035415" y="1879601"/>
          <a:ext cx="542386" cy="2000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Peak Q</a:t>
          </a:r>
        </a:p>
      </cdr:txBody>
    </cdr:sp>
  </cdr:relSizeAnchor>
</c:userShapes>
</file>

<file path=xl/drawings/drawing25.xml><?xml version="1.0" encoding="utf-8"?>
<c:userShapes xmlns:c="http://schemas.openxmlformats.org/drawingml/2006/chart">
  <cdr:relSizeAnchor xmlns:cdr="http://schemas.openxmlformats.org/drawingml/2006/chartDrawing">
    <cdr:from>
      <cdr:x>0.69726</cdr:x>
      <cdr:y>0.82595</cdr:y>
    </cdr:from>
    <cdr:to>
      <cdr:x>0.82105</cdr:x>
      <cdr:y>0.90688</cdr:y>
    </cdr:to>
    <cdr:sp macro="" textlink="">
      <cdr:nvSpPr>
        <cdr:cNvPr id="3" name="TextBox 4"/>
        <cdr:cNvSpPr txBox="1"/>
      </cdr:nvSpPr>
      <cdr:spPr>
        <a:xfrm xmlns:a="http://schemas.openxmlformats.org/drawingml/2006/main">
          <a:off x="3101540" y="2041525"/>
          <a:ext cx="550640" cy="2000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Peak Q</a:t>
          </a:r>
        </a:p>
      </cdr:txBody>
    </cdr:sp>
  </cdr:relSizeAnchor>
  <cdr:relSizeAnchor xmlns:cdr="http://schemas.openxmlformats.org/drawingml/2006/chartDrawing">
    <cdr:from>
      <cdr:x>0.01142</cdr:x>
      <cdr:y>0.02055</cdr:y>
    </cdr:from>
    <cdr:to>
      <cdr:x>0.13348</cdr:x>
      <cdr:y>0.12845</cdr:y>
    </cdr:to>
    <cdr:sp macro="" textlink="">
      <cdr:nvSpPr>
        <cdr:cNvPr id="4" name="TextBox 1"/>
        <cdr:cNvSpPr txBox="1"/>
      </cdr:nvSpPr>
      <cdr:spPr>
        <a:xfrm xmlns:a="http://schemas.openxmlformats.org/drawingml/2006/main">
          <a:off x="50800" y="50800"/>
          <a:ext cx="542925" cy="2667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D)</a:t>
          </a:r>
        </a:p>
      </cdr:txBody>
    </cdr:sp>
  </cdr:relSizeAnchor>
</c:userShapes>
</file>

<file path=xl/drawings/drawing26.xml><?xml version="1.0" encoding="utf-8"?>
<c:userShapes xmlns:c="http://schemas.openxmlformats.org/drawingml/2006/chart">
  <cdr:relSizeAnchor xmlns:cdr="http://schemas.openxmlformats.org/drawingml/2006/chartDrawing">
    <cdr:from>
      <cdr:x>0.69339</cdr:x>
      <cdr:y>0.81439</cdr:y>
    </cdr:from>
    <cdr:to>
      <cdr:x>0.81718</cdr:x>
      <cdr:y>0.89531</cdr:y>
    </cdr:to>
    <cdr:sp macro="" textlink="">
      <cdr:nvSpPr>
        <cdr:cNvPr id="2" name="TextBox 4"/>
        <cdr:cNvSpPr txBox="1"/>
      </cdr:nvSpPr>
      <cdr:spPr>
        <a:xfrm xmlns:a="http://schemas.openxmlformats.org/drawingml/2006/main">
          <a:off x="3256016" y="2012950"/>
          <a:ext cx="581297" cy="20001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Peak Q</a:t>
          </a:r>
        </a:p>
      </cdr:txBody>
    </cdr:sp>
  </cdr:relSizeAnchor>
  <cdr:relSizeAnchor xmlns:cdr="http://schemas.openxmlformats.org/drawingml/2006/chartDrawing">
    <cdr:from>
      <cdr:x>0.01132</cdr:x>
      <cdr:y>0.02055</cdr:y>
    </cdr:from>
    <cdr:to>
      <cdr:x>0.13234</cdr:x>
      <cdr:y>0.12845</cdr:y>
    </cdr:to>
    <cdr:sp macro="" textlink="">
      <cdr:nvSpPr>
        <cdr:cNvPr id="3" name="TextBox 1"/>
        <cdr:cNvSpPr txBox="1"/>
      </cdr:nvSpPr>
      <cdr:spPr>
        <a:xfrm xmlns:a="http://schemas.openxmlformats.org/drawingml/2006/main">
          <a:off x="50800" y="50800"/>
          <a:ext cx="542925" cy="2667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B)</a:t>
          </a:r>
        </a:p>
      </cdr:txBody>
    </cdr:sp>
  </cdr:relSizeAnchor>
</c:userShapes>
</file>

<file path=xl/drawings/drawing27.xml><?xml version="1.0" encoding="utf-8"?>
<xdr:wsDr xmlns:xdr="http://schemas.openxmlformats.org/drawingml/2006/spreadsheetDrawing" xmlns:a="http://schemas.openxmlformats.org/drawingml/2006/main">
  <xdr:twoCellAnchor editAs="oneCell">
    <xdr:from>
      <xdr:col>3</xdr:col>
      <xdr:colOff>561975</xdr:colOff>
      <xdr:row>9</xdr:row>
      <xdr:rowOff>0</xdr:rowOff>
    </xdr:from>
    <xdr:to>
      <xdr:col>6</xdr:col>
      <xdr:colOff>113909</xdr:colOff>
      <xdr:row>24</xdr:row>
      <xdr:rowOff>161548</xdr:rowOff>
    </xdr:to>
    <xdr:pic>
      <xdr:nvPicPr>
        <xdr:cNvPr id="4" name="Picture 3"/>
        <xdr:cNvPicPr>
          <a:picLocks noChangeAspect="1"/>
        </xdr:cNvPicPr>
      </xdr:nvPicPr>
      <xdr:blipFill>
        <a:blip xmlns:r="http://schemas.openxmlformats.org/officeDocument/2006/relationships" r:embed="rId1"/>
        <a:stretch>
          <a:fillRect/>
        </a:stretch>
      </xdr:blipFill>
      <xdr:spPr>
        <a:xfrm>
          <a:off x="2390775" y="2286000"/>
          <a:ext cx="3123809" cy="3019048"/>
        </a:xfrm>
        <a:prstGeom prst="rect">
          <a:avLst/>
        </a:prstGeom>
      </xdr:spPr>
    </xdr:pic>
    <xdr:clientData/>
  </xdr:twoCellAnchor>
</xdr:wsDr>
</file>

<file path=xl/drawings/drawing3.xml><?xml version="1.0" encoding="utf-8"?>
<c:userShapes xmlns:c="http://schemas.openxmlformats.org/drawingml/2006/chart">
  <cdr:relSizeAnchor xmlns:cdr="http://schemas.openxmlformats.org/drawingml/2006/chartDrawing">
    <cdr:from>
      <cdr:x>0.00811</cdr:x>
      <cdr:y>0.04461</cdr:y>
    </cdr:from>
    <cdr:to>
      <cdr:x>0.09533</cdr:x>
      <cdr:y>0.1487</cdr:y>
    </cdr:to>
    <cdr:sp macro="" textlink="">
      <cdr:nvSpPr>
        <cdr:cNvPr id="2" name="TextBox 1"/>
        <cdr:cNvSpPr txBox="1"/>
      </cdr:nvSpPr>
      <cdr:spPr>
        <a:xfrm xmlns:a="http://schemas.openxmlformats.org/drawingml/2006/main">
          <a:off x="38101" y="114300"/>
          <a:ext cx="409575"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A)</a:t>
          </a:r>
        </a:p>
      </cdr:txBody>
    </cdr:sp>
  </cdr:relSizeAnchor>
</c:userShapes>
</file>

<file path=xl/drawings/drawing4.xml><?xml version="1.0" encoding="utf-8"?>
<c:userShapes xmlns:c="http://schemas.openxmlformats.org/drawingml/2006/chart">
  <cdr:relSizeAnchor xmlns:cdr="http://schemas.openxmlformats.org/drawingml/2006/chartDrawing">
    <cdr:from>
      <cdr:x>0.01102</cdr:x>
      <cdr:y>0.01808</cdr:y>
    </cdr:from>
    <cdr:to>
      <cdr:x>0.09986</cdr:x>
      <cdr:y>0.11299</cdr:y>
    </cdr:to>
    <cdr:sp macro="" textlink="">
      <cdr:nvSpPr>
        <cdr:cNvPr id="2" name="TextBox 1"/>
        <cdr:cNvSpPr txBox="1"/>
      </cdr:nvSpPr>
      <cdr:spPr>
        <a:xfrm xmlns:a="http://schemas.openxmlformats.org/drawingml/2006/main">
          <a:off x="50800" y="50800"/>
          <a:ext cx="409575" cy="2667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C)</a:t>
          </a:r>
        </a:p>
      </cdr:txBody>
    </cdr:sp>
  </cdr:relSizeAnchor>
</c:userShapes>
</file>

<file path=xl/drawings/drawing5.xml><?xml version="1.0" encoding="utf-8"?>
<c:userShapes xmlns:c="http://schemas.openxmlformats.org/drawingml/2006/chart">
  <cdr:relSizeAnchor xmlns:cdr="http://schemas.openxmlformats.org/drawingml/2006/chartDrawing">
    <cdr:from>
      <cdr:x>0.01004</cdr:x>
      <cdr:y>0.01852</cdr:y>
    </cdr:from>
    <cdr:to>
      <cdr:x>0.09102</cdr:x>
      <cdr:y>0.11574</cdr:y>
    </cdr:to>
    <cdr:sp macro="" textlink="">
      <cdr:nvSpPr>
        <cdr:cNvPr id="2" name="TextBox 1"/>
        <cdr:cNvSpPr txBox="1"/>
      </cdr:nvSpPr>
      <cdr:spPr>
        <a:xfrm xmlns:a="http://schemas.openxmlformats.org/drawingml/2006/main">
          <a:off x="50800" y="50800"/>
          <a:ext cx="409575" cy="2667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D)</a:t>
          </a:r>
        </a:p>
      </cdr:txBody>
    </cdr:sp>
  </cdr:relSizeAnchor>
</c:userShapes>
</file>

<file path=xl/drawings/drawing6.xml><?xml version="1.0" encoding="utf-8"?>
<c:userShapes xmlns:c="http://schemas.openxmlformats.org/drawingml/2006/chart">
  <cdr:relSizeAnchor xmlns:cdr="http://schemas.openxmlformats.org/drawingml/2006/chartDrawing">
    <cdr:from>
      <cdr:x>0.01062</cdr:x>
      <cdr:y>0.01852</cdr:y>
    </cdr:from>
    <cdr:to>
      <cdr:x>0.09628</cdr:x>
      <cdr:y>0.11574</cdr:y>
    </cdr:to>
    <cdr:sp macro="" textlink="">
      <cdr:nvSpPr>
        <cdr:cNvPr id="2" name="TextBox 1"/>
        <cdr:cNvSpPr txBox="1"/>
      </cdr:nvSpPr>
      <cdr:spPr>
        <a:xfrm xmlns:a="http://schemas.openxmlformats.org/drawingml/2006/main">
          <a:off x="50800" y="50800"/>
          <a:ext cx="409575" cy="2667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B)</a:t>
          </a:r>
        </a:p>
      </cdr:txBody>
    </cdr:sp>
  </cdr:relSizeAnchor>
</c:userShapes>
</file>

<file path=xl/drawings/drawing7.xml><?xml version="1.0" encoding="utf-8"?>
<xdr:wsDr xmlns:xdr="http://schemas.openxmlformats.org/drawingml/2006/spreadsheetDrawing" xmlns:a="http://schemas.openxmlformats.org/drawingml/2006/main">
  <xdr:twoCellAnchor>
    <xdr:from>
      <xdr:col>26</xdr:col>
      <xdr:colOff>185738</xdr:colOff>
      <xdr:row>35</xdr:row>
      <xdr:rowOff>90487</xdr:rowOff>
    </xdr:from>
    <xdr:to>
      <xdr:col>31</xdr:col>
      <xdr:colOff>381000</xdr:colOff>
      <xdr:row>45</xdr:row>
      <xdr:rowOff>157162</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26</xdr:col>
      <xdr:colOff>571500</xdr:colOff>
      <xdr:row>57</xdr:row>
      <xdr:rowOff>180975</xdr:rowOff>
    </xdr:from>
    <xdr:to>
      <xdr:col>31</xdr:col>
      <xdr:colOff>571500</xdr:colOff>
      <xdr:row>67</xdr:row>
      <xdr:rowOff>257175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20</xdr:col>
      <xdr:colOff>314324</xdr:colOff>
      <xdr:row>35</xdr:row>
      <xdr:rowOff>200025</xdr:rowOff>
    </xdr:from>
    <xdr:to>
      <xdr:col>25</xdr:col>
      <xdr:colOff>495300</xdr:colOff>
      <xdr:row>46</xdr:row>
      <xdr:rowOff>204787</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26</xdr:col>
      <xdr:colOff>85724</xdr:colOff>
      <xdr:row>45</xdr:row>
      <xdr:rowOff>238125</xdr:rowOff>
    </xdr:from>
    <xdr:to>
      <xdr:col>31</xdr:col>
      <xdr:colOff>457199</xdr:colOff>
      <xdr:row>56</xdr:row>
      <xdr:rowOff>47625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31</xdr:col>
      <xdr:colOff>561975</xdr:colOff>
      <xdr:row>35</xdr:row>
      <xdr:rowOff>28575</xdr:rowOff>
    </xdr:from>
    <xdr:to>
      <xdr:col>39</xdr:col>
      <xdr:colOff>66675</xdr:colOff>
      <xdr:row>45</xdr:row>
      <xdr:rowOff>104775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190500</xdr:colOff>
      <xdr:row>57</xdr:row>
      <xdr:rowOff>47625</xdr:rowOff>
    </xdr:from>
    <xdr:to>
      <xdr:col>39</xdr:col>
      <xdr:colOff>285750</xdr:colOff>
      <xdr:row>67</xdr:row>
      <xdr:rowOff>123825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31</xdr:col>
      <xdr:colOff>590550</xdr:colOff>
      <xdr:row>45</xdr:row>
      <xdr:rowOff>238125</xdr:rowOff>
    </xdr:from>
    <xdr:to>
      <xdr:col>39</xdr:col>
      <xdr:colOff>419099</xdr:colOff>
      <xdr:row>56</xdr:row>
      <xdr:rowOff>47625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20</xdr:col>
      <xdr:colOff>342900</xdr:colOff>
      <xdr:row>47</xdr:row>
      <xdr:rowOff>76200</xdr:rowOff>
    </xdr:from>
    <xdr:to>
      <xdr:col>25</xdr:col>
      <xdr:colOff>514350</xdr:colOff>
      <xdr:row>58</xdr:row>
      <xdr:rowOff>80962</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26</xdr:col>
      <xdr:colOff>514349</xdr:colOff>
      <xdr:row>69</xdr:row>
      <xdr:rowOff>238125</xdr:rowOff>
    </xdr:from>
    <xdr:to>
      <xdr:col>32</xdr:col>
      <xdr:colOff>257174</xdr:colOff>
      <xdr:row>80</xdr:row>
      <xdr:rowOff>47625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33</xdr:col>
      <xdr:colOff>66675</xdr:colOff>
      <xdr:row>70</xdr:row>
      <xdr:rowOff>66675</xdr:rowOff>
    </xdr:from>
    <xdr:to>
      <xdr:col>40</xdr:col>
      <xdr:colOff>161925</xdr:colOff>
      <xdr:row>80</xdr:row>
      <xdr:rowOff>142875</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24</xdr:col>
      <xdr:colOff>342900</xdr:colOff>
      <xdr:row>32</xdr:row>
      <xdr:rowOff>123825</xdr:rowOff>
    </xdr:from>
    <xdr:to>
      <xdr:col>38</xdr:col>
      <xdr:colOff>238125</xdr:colOff>
      <xdr:row>34</xdr:row>
      <xdr:rowOff>200025</xdr:rowOff>
    </xdr:to>
    <xdr:sp macro="" textlink="">
      <xdr:nvSpPr>
        <xdr:cNvPr id="15" name="TextBox 14"/>
        <xdr:cNvSpPr txBox="1"/>
      </xdr:nvSpPr>
      <xdr:spPr>
        <a:xfrm>
          <a:off x="20450175" y="9372600"/>
          <a:ext cx="10125075" cy="609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1">
              <a:solidFill>
                <a:schemeClr val="dk1"/>
              </a:solidFill>
              <a:effectLst/>
              <a:latin typeface="+mn-lt"/>
              <a:ea typeface="+mn-ea"/>
              <a:cs typeface="+mn-cs"/>
            </a:rPr>
            <a:t>Figure 9-16. Sediment concentration of samples sequenced in time in the Animas River at RK 64.0 (Bakers Bridge) in mg/kg.  All samples from August 8, 2015 to June 30, 2016 for Lead (A), Copper (B), Cadmium (C), Zinc (D).  The time series during snowmelt 2016 for Aluminum and Iron (E) and Zinc and Lead (F).</a:t>
          </a:r>
          <a:endParaRPr lang="en-US" sz="1050" b="1"/>
        </a:p>
      </xdr:txBody>
    </xdr:sp>
    <xdr:clientData/>
  </xdr:twoCellAnchor>
  <xdr:twoCellAnchor>
    <xdr:from>
      <xdr:col>20</xdr:col>
      <xdr:colOff>1057275</xdr:colOff>
      <xdr:row>1</xdr:row>
      <xdr:rowOff>257175</xdr:rowOff>
    </xdr:from>
    <xdr:to>
      <xdr:col>27</xdr:col>
      <xdr:colOff>419100</xdr:colOff>
      <xdr:row>3</xdr:row>
      <xdr:rowOff>419100</xdr:rowOff>
    </xdr:to>
    <xdr:sp macro="" textlink="">
      <xdr:nvSpPr>
        <xdr:cNvPr id="16" name="TextBox 15"/>
        <xdr:cNvSpPr txBox="1"/>
      </xdr:nvSpPr>
      <xdr:spPr>
        <a:xfrm>
          <a:off x="14011275" y="714375"/>
          <a:ext cx="5743575" cy="885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Table 9-5.  Results of Statistical Tests on Streambed Sediment Metal Concentrations on the Animas River at RK 64.0 (Baker’s Bridge) for Pre-event and Fall 2015 Samples. Concentrations were logged (base 10) prior to testing. Mean concentrations are shown, SE=standard error of the mean.</a:t>
          </a:r>
        </a:p>
        <a:p>
          <a:endParaRPr lang="en-US" sz="1100"/>
        </a:p>
      </xdr:txBody>
    </xdr:sp>
    <xdr:clientData/>
  </xdr:twoCellAnchor>
  <xdr:twoCellAnchor editAs="oneCell">
    <xdr:from>
      <xdr:col>40</xdr:col>
      <xdr:colOff>295275</xdr:colOff>
      <xdr:row>19</xdr:row>
      <xdr:rowOff>38100</xdr:rowOff>
    </xdr:from>
    <xdr:to>
      <xdr:col>45</xdr:col>
      <xdr:colOff>371084</xdr:colOff>
      <xdr:row>29</xdr:row>
      <xdr:rowOff>228223</xdr:rowOff>
    </xdr:to>
    <xdr:pic>
      <xdr:nvPicPr>
        <xdr:cNvPr id="20" name="Picture 19"/>
        <xdr:cNvPicPr>
          <a:picLocks noChangeAspect="1"/>
        </xdr:cNvPicPr>
      </xdr:nvPicPr>
      <xdr:blipFill>
        <a:blip xmlns:r="http://schemas.openxmlformats.org/officeDocument/2006/relationships" r:embed="rId11"/>
        <a:stretch>
          <a:fillRect/>
        </a:stretch>
      </xdr:blipFill>
      <xdr:spPr>
        <a:xfrm>
          <a:off x="28594050" y="5686425"/>
          <a:ext cx="3123809" cy="3019048"/>
        </a:xfrm>
        <a:prstGeom prst="rect">
          <a:avLst/>
        </a:prstGeom>
      </xdr:spPr>
    </xdr:pic>
    <xdr:clientData/>
  </xdr:twoCellAnchor>
</xdr:wsDr>
</file>

<file path=xl/drawings/drawing8.xml><?xml version="1.0" encoding="utf-8"?>
<c:userShapes xmlns:c="http://schemas.openxmlformats.org/drawingml/2006/chart">
  <cdr:relSizeAnchor xmlns:cdr="http://schemas.openxmlformats.org/drawingml/2006/chartDrawing">
    <cdr:from>
      <cdr:x>0.01554</cdr:x>
      <cdr:y>0.02265</cdr:y>
    </cdr:from>
    <cdr:to>
      <cdr:x>0.0943</cdr:x>
      <cdr:y>0.11672</cdr:y>
    </cdr:to>
    <cdr:sp macro="" textlink="">
      <cdr:nvSpPr>
        <cdr:cNvPr id="2" name="TextBox 1"/>
        <cdr:cNvSpPr txBox="1"/>
      </cdr:nvSpPr>
      <cdr:spPr>
        <a:xfrm xmlns:a="http://schemas.openxmlformats.org/drawingml/2006/main">
          <a:off x="71437" y="61913"/>
          <a:ext cx="361950"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A)</a:t>
          </a:r>
        </a:p>
      </cdr:txBody>
    </cdr:sp>
  </cdr:relSizeAnchor>
</c:userShapes>
</file>

<file path=xl/drawings/drawing9.xml><?xml version="1.0" encoding="utf-8"?>
<c:userShapes xmlns:c="http://schemas.openxmlformats.org/drawingml/2006/chart">
  <cdr:relSizeAnchor xmlns:cdr="http://schemas.openxmlformats.org/drawingml/2006/chartDrawing">
    <cdr:from>
      <cdr:x>0.01118</cdr:x>
      <cdr:y>0.01729</cdr:y>
    </cdr:from>
    <cdr:to>
      <cdr:x>0.09085</cdr:x>
      <cdr:y>0.10481</cdr:y>
    </cdr:to>
    <cdr:sp macro="" textlink="">
      <cdr:nvSpPr>
        <cdr:cNvPr id="2" name="TextBox 1"/>
        <cdr:cNvSpPr txBox="1"/>
      </cdr:nvSpPr>
      <cdr:spPr>
        <a:xfrm xmlns:a="http://schemas.openxmlformats.org/drawingml/2006/main">
          <a:off x="50800" y="50800"/>
          <a:ext cx="361950" cy="2571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E)</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CYTERSK\AppData\Roaming\Microsoft\AddIns\RealStats.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fig"/>
      <sheetName val="Wilcoxon Table"/>
      <sheetName val="Mann Table"/>
      <sheetName val="RSign Table"/>
      <sheetName val="Runs Table"/>
      <sheetName val="KS Table"/>
      <sheetName val="Lil Table"/>
      <sheetName val="SW Table"/>
      <sheetName val="Stud. Q Table"/>
      <sheetName val="Stud. Q Table 2"/>
      <sheetName val="Sp Rho Table"/>
      <sheetName val="Ken Tau Table"/>
      <sheetName val="Durbin Table"/>
      <sheetName val="Dunnett Table"/>
      <sheetName val="RealStats"/>
    </sheetNames>
    <definedNames>
      <definedName name="MANN_EXACT"/>
      <definedName name="MCRIT"/>
      <definedName name="RANK_SUM"/>
      <definedName name="TiesCorrection"/>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0.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tabSelected="1" workbookViewId="0">
      <selection activeCell="T7" sqref="T7"/>
    </sheetView>
  </sheetViews>
  <sheetFormatPr defaultRowHeight="15" x14ac:dyDescent="0.25"/>
  <cols>
    <col min="1" max="1" width="75.85546875" style="257" customWidth="1"/>
    <col min="2" max="2" width="24.42578125" customWidth="1"/>
    <col min="3" max="3" width="26.85546875" customWidth="1"/>
  </cols>
  <sheetData>
    <row r="1" spans="1:3" ht="18.75" x14ac:dyDescent="0.3">
      <c r="A1" s="256" t="s">
        <v>157</v>
      </c>
    </row>
    <row r="2" spans="1:3" ht="30" x14ac:dyDescent="0.25">
      <c r="A2" s="257" t="s">
        <v>166</v>
      </c>
    </row>
    <row r="5" spans="1:3" x14ac:dyDescent="0.25">
      <c r="A5" s="257" t="s">
        <v>158</v>
      </c>
    </row>
    <row r="6" spans="1:3" x14ac:dyDescent="0.25">
      <c r="A6" t="s">
        <v>159</v>
      </c>
    </row>
    <row r="7" spans="1:3" x14ac:dyDescent="0.25">
      <c r="A7" t="s">
        <v>160</v>
      </c>
    </row>
    <row r="12" spans="1:3" x14ac:dyDescent="0.25">
      <c r="A12"/>
    </row>
    <row r="13" spans="1:3" ht="30" x14ac:dyDescent="0.25">
      <c r="A13" s="258" t="s">
        <v>161</v>
      </c>
      <c r="B13" s="418" t="s">
        <v>162</v>
      </c>
      <c r="C13" s="418"/>
    </row>
    <row r="14" spans="1:3" x14ac:dyDescent="0.25">
      <c r="A14" s="259"/>
      <c r="B14" s="260" t="s">
        <v>163</v>
      </c>
      <c r="C14" s="260" t="s">
        <v>164</v>
      </c>
    </row>
    <row r="15" spans="1:3" ht="15.75" x14ac:dyDescent="0.25">
      <c r="A15"/>
      <c r="B15" s="261" t="s">
        <v>193</v>
      </c>
      <c r="C15" s="236" t="s">
        <v>194</v>
      </c>
    </row>
    <row r="16" spans="1:3" ht="15.75" x14ac:dyDescent="0.25">
      <c r="A16"/>
      <c r="B16" s="261" t="s">
        <v>196</v>
      </c>
      <c r="C16" s="236" t="s">
        <v>248</v>
      </c>
    </row>
    <row r="17" spans="1:3" ht="15.75" x14ac:dyDescent="0.25">
      <c r="A17"/>
      <c r="B17" s="261" t="s">
        <v>251</v>
      </c>
      <c r="C17" s="236" t="s">
        <v>247</v>
      </c>
    </row>
    <row r="18" spans="1:3" ht="26.25" x14ac:dyDescent="0.25">
      <c r="A18" s="262" t="s">
        <v>329</v>
      </c>
      <c r="B18" s="261" t="s">
        <v>253</v>
      </c>
      <c r="C18" s="236" t="s">
        <v>255</v>
      </c>
    </row>
    <row r="19" spans="1:3" ht="15.75" x14ac:dyDescent="0.25">
      <c r="A19"/>
      <c r="B19" s="261" t="s">
        <v>244</v>
      </c>
      <c r="C19" s="236" t="s">
        <v>250</v>
      </c>
    </row>
    <row r="20" spans="1:3" ht="15.75" x14ac:dyDescent="0.25">
      <c r="A20"/>
      <c r="B20" s="261" t="s">
        <v>168</v>
      </c>
      <c r="C20" s="236" t="s">
        <v>169</v>
      </c>
    </row>
    <row r="21" spans="1:3" ht="15.75" x14ac:dyDescent="0.25">
      <c r="B21" s="261" t="s">
        <v>195</v>
      </c>
      <c r="C21" s="236" t="s">
        <v>194</v>
      </c>
    </row>
    <row r="22" spans="1:3" ht="15.75" x14ac:dyDescent="0.25">
      <c r="B22" s="261" t="s">
        <v>198</v>
      </c>
      <c r="C22" s="236" t="s">
        <v>248</v>
      </c>
    </row>
    <row r="23" spans="1:3" ht="15.75" x14ac:dyDescent="0.25">
      <c r="B23" s="261" t="s">
        <v>165</v>
      </c>
      <c r="C23" s="236" t="s">
        <v>249</v>
      </c>
    </row>
    <row r="24" spans="1:3" ht="15.75" x14ac:dyDescent="0.25">
      <c r="B24" s="261" t="s">
        <v>246</v>
      </c>
      <c r="C24" s="236" t="s">
        <v>250</v>
      </c>
    </row>
    <row r="25" spans="1:3" ht="15.75" x14ac:dyDescent="0.25">
      <c r="B25" s="261"/>
      <c r="C25" s="236"/>
    </row>
    <row r="26" spans="1:3" ht="15.75" x14ac:dyDescent="0.25">
      <c r="B26" s="261"/>
      <c r="C26" s="236"/>
    </row>
    <row r="27" spans="1:3" ht="15.75" x14ac:dyDescent="0.25">
      <c r="B27" s="261"/>
      <c r="C27" s="236"/>
    </row>
    <row r="28" spans="1:3" ht="15.75" x14ac:dyDescent="0.25">
      <c r="B28" s="261"/>
      <c r="C28" s="236"/>
    </row>
    <row r="29" spans="1:3" ht="15.75" x14ac:dyDescent="0.25">
      <c r="B29" s="261"/>
      <c r="C29" s="236"/>
    </row>
    <row r="30" spans="1:3" ht="15.75" x14ac:dyDescent="0.25">
      <c r="B30" s="261"/>
      <c r="C30" s="236"/>
    </row>
    <row r="31" spans="1:3" ht="15.75" x14ac:dyDescent="0.25">
      <c r="B31" s="261"/>
      <c r="C31" s="236"/>
    </row>
    <row r="32" spans="1:3" ht="15.75" x14ac:dyDescent="0.25">
      <c r="B32" s="261"/>
      <c r="C32" s="236"/>
    </row>
    <row r="33" spans="2:3" ht="15.75" x14ac:dyDescent="0.25">
      <c r="B33" s="261"/>
    </row>
    <row r="34" spans="2:3" ht="15.75" x14ac:dyDescent="0.25">
      <c r="B34" s="261"/>
      <c r="C34" s="236"/>
    </row>
    <row r="35" spans="2:3" ht="15.75" x14ac:dyDescent="0.25">
      <c r="B35" s="261"/>
      <c r="C35" s="236"/>
    </row>
  </sheetData>
  <sheetProtection algorithmName="SHA-512" hashValue="GRHSwAIkfarjr9hmiegHycH9QlL1jkWYbHqYmnPevCOADYyi/7b/vEox0sgp61w8iqy1ivUmpoTY7+PxxRu2bQ==" saltValue="KOm8lno0H5W4Sdei5AVawg==" spinCount="100000" sheet="1" scenarios="1"/>
  <mergeCells count="1">
    <mergeCell ref="B13: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AJ101"/>
  <sheetViews>
    <sheetView showGridLines="0" workbookViewId="0">
      <selection activeCell="T7" sqref="T7"/>
    </sheetView>
  </sheetViews>
  <sheetFormatPr defaultRowHeight="12" x14ac:dyDescent="0.2"/>
  <cols>
    <col min="1" max="1" width="13.28515625" style="32" customWidth="1"/>
    <col min="2" max="2" width="24.42578125" style="3" customWidth="1"/>
    <col min="3" max="4" width="11.140625" style="1" bestFit="1" customWidth="1"/>
    <col min="5" max="5" width="10.5703125" style="1" bestFit="1" customWidth="1"/>
    <col min="6" max="6" width="10.85546875" style="1" bestFit="1" customWidth="1"/>
    <col min="7" max="7" width="10.5703125" style="1" bestFit="1" customWidth="1"/>
    <col min="8" max="8" width="11.140625" style="1" bestFit="1" customWidth="1"/>
    <col min="9" max="9" width="10.5703125" style="1" bestFit="1" customWidth="1"/>
    <col min="10" max="11" width="9.140625" style="32"/>
    <col min="12" max="12" width="24.140625" style="32" bestFit="1" customWidth="1"/>
    <col min="13" max="13" width="13.7109375" style="1" bestFit="1" customWidth="1"/>
    <col min="14" max="14" width="20.28515625" style="1" bestFit="1" customWidth="1"/>
    <col min="15" max="15" width="4.42578125" style="1" bestFit="1" customWidth="1"/>
    <col min="16" max="16" width="6" style="32" bestFit="1" customWidth="1"/>
    <col min="17" max="17" width="10.140625" style="32" bestFit="1" customWidth="1"/>
    <col min="18" max="18" width="9.140625" style="32"/>
    <col min="19" max="19" width="16" style="32" customWidth="1"/>
    <col min="20" max="20" width="26" style="32" customWidth="1"/>
    <col min="21" max="32" width="9.140625" style="32"/>
    <col min="33" max="33" width="15.140625" style="32" customWidth="1"/>
    <col min="34" max="36" width="12.5703125" style="32" customWidth="1"/>
    <col min="37" max="16384" width="9.140625" style="32"/>
  </cols>
  <sheetData>
    <row r="1" spans="1:36" ht="24" customHeight="1" x14ac:dyDescent="0.25">
      <c r="A1" s="224" t="s">
        <v>208</v>
      </c>
      <c r="B1" s="32"/>
      <c r="I1" s="264" t="s">
        <v>170</v>
      </c>
    </row>
    <row r="2" spans="1:36" ht="24" customHeight="1" x14ac:dyDescent="0.2">
      <c r="A2" s="224"/>
      <c r="B2" s="32"/>
    </row>
    <row r="3" spans="1:36" ht="24" customHeight="1" x14ac:dyDescent="0.2">
      <c r="B3" s="222"/>
      <c r="C3" s="421" t="s">
        <v>146</v>
      </c>
      <c r="D3" s="421"/>
      <c r="E3" s="421"/>
      <c r="F3" s="421"/>
      <c r="G3" s="421"/>
      <c r="H3" s="421"/>
      <c r="I3" s="421"/>
    </row>
    <row r="4" spans="1:36" x14ac:dyDescent="0.2">
      <c r="A4" s="33" t="s">
        <v>140</v>
      </c>
      <c r="B4" s="3" t="s">
        <v>138</v>
      </c>
      <c r="C4" s="1" t="s">
        <v>7</v>
      </c>
      <c r="D4" s="1" t="s">
        <v>1</v>
      </c>
      <c r="E4" s="1" t="s">
        <v>2</v>
      </c>
      <c r="F4" s="1" t="s">
        <v>3</v>
      </c>
      <c r="G4" s="1" t="s">
        <v>4</v>
      </c>
      <c r="H4" s="1" t="s">
        <v>5</v>
      </c>
      <c r="I4" s="1" t="s">
        <v>6</v>
      </c>
    </row>
    <row r="5" spans="1:36" x14ac:dyDescent="0.2">
      <c r="A5" s="249" t="s">
        <v>101</v>
      </c>
      <c r="B5" s="250">
        <v>42243.506944444445</v>
      </c>
      <c r="C5" s="15">
        <v>6100</v>
      </c>
      <c r="D5" s="15">
        <v>3.1</v>
      </c>
      <c r="E5" s="15">
        <v>250</v>
      </c>
      <c r="F5" s="15">
        <v>46000</v>
      </c>
      <c r="G5" s="15">
        <v>720</v>
      </c>
      <c r="H5" s="15">
        <v>550</v>
      </c>
      <c r="I5" s="15">
        <v>830</v>
      </c>
      <c r="J5" s="1"/>
      <c r="K5" s="1"/>
      <c r="L5" s="1"/>
      <c r="P5" s="1"/>
    </row>
    <row r="6" spans="1:36" x14ac:dyDescent="0.2">
      <c r="A6" s="249" t="s">
        <v>101</v>
      </c>
      <c r="B6" s="250">
        <v>42247.486111111109</v>
      </c>
      <c r="C6" s="15">
        <v>7400</v>
      </c>
      <c r="D6" s="15">
        <v>2.2000000000000002</v>
      </c>
      <c r="E6" s="15">
        <v>220</v>
      </c>
      <c r="F6" s="15">
        <v>58000</v>
      </c>
      <c r="G6" s="15">
        <v>990</v>
      </c>
      <c r="H6" s="15">
        <v>750</v>
      </c>
      <c r="I6" s="15">
        <v>560</v>
      </c>
      <c r="J6" s="1"/>
      <c r="K6" s="2"/>
      <c r="M6" s="2"/>
      <c r="N6" s="2"/>
      <c r="O6" s="2"/>
      <c r="P6" s="2"/>
      <c r="Q6" s="144"/>
      <c r="R6" s="144"/>
      <c r="S6" s="144"/>
    </row>
    <row r="7" spans="1:36" ht="18.75" x14ac:dyDescent="0.3">
      <c r="A7" s="249" t="s">
        <v>101</v>
      </c>
      <c r="B7" s="250">
        <v>42247.486111111109</v>
      </c>
      <c r="C7" s="15">
        <v>9200</v>
      </c>
      <c r="D7" s="15">
        <v>2.4</v>
      </c>
      <c r="E7" s="15">
        <v>240</v>
      </c>
      <c r="F7" s="15">
        <v>70000</v>
      </c>
      <c r="G7" s="15">
        <v>1000</v>
      </c>
      <c r="H7" s="15">
        <v>800</v>
      </c>
      <c r="I7" s="15">
        <v>620</v>
      </c>
      <c r="J7" s="1"/>
      <c r="K7" s="2"/>
      <c r="L7" s="263" t="s">
        <v>167</v>
      </c>
      <c r="M7" s="2"/>
      <c r="N7" s="2"/>
      <c r="O7" s="2"/>
      <c r="P7" s="2"/>
      <c r="Q7" s="144"/>
      <c r="R7" s="144"/>
      <c r="S7" s="144"/>
    </row>
    <row r="8" spans="1:36" x14ac:dyDescent="0.2">
      <c r="A8" s="249" t="s">
        <v>101</v>
      </c>
      <c r="B8" s="250">
        <v>42263.583333333336</v>
      </c>
      <c r="C8" s="15">
        <v>6600</v>
      </c>
      <c r="D8" s="15">
        <v>1.9</v>
      </c>
      <c r="E8" s="15">
        <v>180</v>
      </c>
      <c r="F8" s="15">
        <v>51000</v>
      </c>
      <c r="G8" s="15">
        <v>790</v>
      </c>
      <c r="H8" s="15">
        <v>560</v>
      </c>
      <c r="I8" s="15">
        <v>510</v>
      </c>
      <c r="J8" s="1"/>
      <c r="K8" s="2"/>
      <c r="M8" s="2"/>
      <c r="N8" s="2"/>
      <c r="O8" s="2"/>
      <c r="P8" s="2"/>
      <c r="Q8" s="2"/>
      <c r="R8" s="144"/>
      <c r="S8" s="144"/>
    </row>
    <row r="9" spans="1:36" x14ac:dyDescent="0.2">
      <c r="A9" s="249" t="s">
        <v>101</v>
      </c>
      <c r="B9" s="250">
        <v>42263.583333333336</v>
      </c>
      <c r="C9" s="15">
        <v>6600</v>
      </c>
      <c r="D9" s="15">
        <v>1.9</v>
      </c>
      <c r="E9" s="15">
        <v>180</v>
      </c>
      <c r="F9" s="15">
        <v>51000</v>
      </c>
      <c r="G9" s="15">
        <v>790</v>
      </c>
      <c r="H9" s="15">
        <v>560</v>
      </c>
      <c r="I9" s="15">
        <v>510</v>
      </c>
      <c r="J9" s="1"/>
      <c r="K9" s="2"/>
      <c r="L9" s="27"/>
      <c r="M9" s="208"/>
      <c r="N9" s="208"/>
      <c r="O9" s="2"/>
      <c r="P9" s="2"/>
      <c r="Q9" s="27"/>
      <c r="R9" s="144"/>
      <c r="S9" s="144"/>
    </row>
    <row r="10" spans="1:36" x14ac:dyDescent="0.2">
      <c r="A10" s="249" t="s">
        <v>101</v>
      </c>
      <c r="B10" s="250">
        <v>42264.597222222219</v>
      </c>
      <c r="C10" s="15">
        <v>7400</v>
      </c>
      <c r="D10" s="15">
        <v>1.7</v>
      </c>
      <c r="E10" s="15">
        <v>180</v>
      </c>
      <c r="F10" s="15">
        <v>52000</v>
      </c>
      <c r="G10" s="15">
        <v>740</v>
      </c>
      <c r="H10" s="15">
        <v>560</v>
      </c>
      <c r="I10" s="15">
        <v>430</v>
      </c>
      <c r="J10" s="1"/>
      <c r="K10" s="2"/>
      <c r="L10" s="27"/>
      <c r="M10" s="208"/>
      <c r="N10" s="208"/>
      <c r="O10" s="2"/>
      <c r="P10" s="2"/>
      <c r="Q10" s="27"/>
      <c r="R10" s="144"/>
      <c r="S10" s="144"/>
      <c r="AG10" s="1"/>
      <c r="AH10" s="1"/>
      <c r="AI10" s="1"/>
      <c r="AJ10" s="1"/>
    </row>
    <row r="11" spans="1:36" x14ac:dyDescent="0.2">
      <c r="A11" s="249" t="s">
        <v>101</v>
      </c>
      <c r="B11" s="250">
        <v>42264.597222222219</v>
      </c>
      <c r="C11" s="15">
        <v>7400</v>
      </c>
      <c r="D11" s="15">
        <v>1.7</v>
      </c>
      <c r="E11" s="15">
        <v>180</v>
      </c>
      <c r="F11" s="15">
        <v>52000</v>
      </c>
      <c r="G11" s="15">
        <v>740</v>
      </c>
      <c r="H11" s="15">
        <v>560</v>
      </c>
      <c r="I11" s="15">
        <v>430</v>
      </c>
      <c r="J11" s="1"/>
      <c r="K11" s="2"/>
      <c r="L11" s="27"/>
      <c r="M11" s="208"/>
      <c r="N11" s="208"/>
      <c r="O11" s="2"/>
      <c r="P11" s="2"/>
      <c r="Q11" s="27"/>
      <c r="R11" s="144"/>
      <c r="S11" s="144"/>
      <c r="AG11" s="1"/>
      <c r="AH11" s="1"/>
      <c r="AI11" s="1"/>
      <c r="AJ11" s="1"/>
    </row>
    <row r="12" spans="1:36" x14ac:dyDescent="0.2">
      <c r="A12" s="249" t="s">
        <v>101</v>
      </c>
      <c r="B12" s="250">
        <v>42266.59375</v>
      </c>
      <c r="C12" s="15">
        <v>7400</v>
      </c>
      <c r="D12" s="15">
        <v>2.1</v>
      </c>
      <c r="E12" s="15">
        <v>200</v>
      </c>
      <c r="F12" s="15">
        <v>57000</v>
      </c>
      <c r="G12" s="15">
        <v>820</v>
      </c>
      <c r="H12" s="15">
        <v>560</v>
      </c>
      <c r="I12" s="15">
        <v>570</v>
      </c>
      <c r="J12" s="1"/>
      <c r="K12" s="2"/>
      <c r="L12" s="27"/>
      <c r="M12" s="208"/>
      <c r="N12" s="208"/>
      <c r="O12" s="2"/>
      <c r="P12" s="2"/>
      <c r="Q12" s="27"/>
      <c r="R12" s="144"/>
      <c r="S12" s="144"/>
      <c r="AG12" s="1"/>
      <c r="AH12" s="1"/>
    </row>
    <row r="13" spans="1:36" x14ac:dyDescent="0.2">
      <c r="A13" s="249" t="s">
        <v>101</v>
      </c>
      <c r="B13" s="250">
        <v>42266.59375</v>
      </c>
      <c r="C13" s="15">
        <v>7400</v>
      </c>
      <c r="D13" s="15">
        <v>2.1</v>
      </c>
      <c r="E13" s="15">
        <v>200</v>
      </c>
      <c r="F13" s="15">
        <v>57000</v>
      </c>
      <c r="G13" s="15">
        <v>820</v>
      </c>
      <c r="H13" s="15">
        <v>560</v>
      </c>
      <c r="I13" s="15">
        <v>570</v>
      </c>
      <c r="J13" s="1"/>
      <c r="K13" s="2"/>
      <c r="L13" s="27"/>
      <c r="M13" s="208"/>
      <c r="N13" s="208"/>
      <c r="O13" s="2"/>
      <c r="P13" s="2"/>
      <c r="Q13" s="27"/>
      <c r="R13" s="144"/>
      <c r="S13" s="144"/>
      <c r="AG13" s="1"/>
      <c r="AH13" s="1"/>
    </row>
    <row r="14" spans="1:36" x14ac:dyDescent="0.2">
      <c r="A14" s="249" t="s">
        <v>101</v>
      </c>
      <c r="B14" s="250">
        <v>42267.611111111109</v>
      </c>
      <c r="C14" s="15">
        <v>6400</v>
      </c>
      <c r="D14" s="15">
        <v>1.6</v>
      </c>
      <c r="E14" s="15">
        <v>160</v>
      </c>
      <c r="F14" s="15">
        <v>48000</v>
      </c>
      <c r="G14" s="15">
        <v>800</v>
      </c>
      <c r="H14" s="15">
        <v>610</v>
      </c>
      <c r="I14" s="15">
        <v>460</v>
      </c>
      <c r="J14" s="1"/>
      <c r="K14" s="2"/>
      <c r="L14" s="27"/>
      <c r="M14" s="208"/>
      <c r="N14" s="208"/>
      <c r="O14" s="2"/>
      <c r="P14" s="2"/>
      <c r="Q14" s="27"/>
      <c r="R14" s="144"/>
      <c r="S14" s="144"/>
      <c r="AG14" s="1"/>
      <c r="AH14" s="1"/>
    </row>
    <row r="15" spans="1:36" x14ac:dyDescent="0.2">
      <c r="A15" s="249" t="s">
        <v>101</v>
      </c>
      <c r="B15" s="250">
        <v>42267.611111111109</v>
      </c>
      <c r="C15" s="15">
        <v>6400</v>
      </c>
      <c r="D15" s="15">
        <v>1.6</v>
      </c>
      <c r="E15" s="15">
        <v>160</v>
      </c>
      <c r="F15" s="15">
        <v>48000</v>
      </c>
      <c r="G15" s="15">
        <v>800</v>
      </c>
      <c r="H15" s="15">
        <v>610</v>
      </c>
      <c r="I15" s="15">
        <v>460</v>
      </c>
      <c r="J15" s="1"/>
      <c r="K15" s="2"/>
      <c r="L15" s="27"/>
      <c r="M15" s="27"/>
      <c r="N15" s="123"/>
      <c r="O15" s="27"/>
      <c r="P15" s="140"/>
      <c r="Q15" s="27"/>
      <c r="R15" s="144"/>
      <c r="S15" s="144"/>
      <c r="AG15" s="1"/>
      <c r="AH15" s="1"/>
    </row>
    <row r="16" spans="1:36" x14ac:dyDescent="0.2">
      <c r="A16" s="249" t="s">
        <v>101</v>
      </c>
      <c r="B16" s="250">
        <v>42268.600694444445</v>
      </c>
      <c r="C16" s="15">
        <v>6500</v>
      </c>
      <c r="D16" s="15">
        <v>1.9</v>
      </c>
      <c r="E16" s="15">
        <v>180</v>
      </c>
      <c r="F16" s="15">
        <v>50000</v>
      </c>
      <c r="G16" s="15">
        <v>780</v>
      </c>
      <c r="H16" s="15">
        <v>510</v>
      </c>
      <c r="I16" s="15">
        <v>540</v>
      </c>
      <c r="J16" s="1"/>
      <c r="K16" s="2"/>
      <c r="L16" s="27"/>
      <c r="M16" s="27"/>
      <c r="N16" s="123"/>
      <c r="O16" s="27"/>
      <c r="P16" s="140"/>
      <c r="Q16" s="144"/>
      <c r="R16" s="144"/>
      <c r="S16" s="144"/>
    </row>
    <row r="17" spans="1:20" x14ac:dyDescent="0.2">
      <c r="A17" s="249" t="s">
        <v>101</v>
      </c>
      <c r="B17" s="250">
        <v>42268.600694444445</v>
      </c>
      <c r="C17" s="15">
        <v>6800</v>
      </c>
      <c r="D17" s="15">
        <v>2.4</v>
      </c>
      <c r="E17" s="15">
        <v>200</v>
      </c>
      <c r="F17" s="15">
        <v>54000</v>
      </c>
      <c r="G17" s="15">
        <v>860</v>
      </c>
      <c r="H17" s="15">
        <v>610</v>
      </c>
      <c r="I17" s="15">
        <v>630</v>
      </c>
      <c r="J17" s="1"/>
      <c r="K17" s="2"/>
      <c r="L17" s="27"/>
      <c r="M17" s="27"/>
      <c r="N17" s="123"/>
      <c r="O17" s="27"/>
      <c r="P17" s="140"/>
      <c r="Q17" s="144"/>
      <c r="R17" s="144"/>
      <c r="S17" s="144"/>
    </row>
    <row r="18" spans="1:20" x14ac:dyDescent="0.2">
      <c r="A18" s="249" t="s">
        <v>101</v>
      </c>
      <c r="B18" s="250">
        <v>42268.600694444445</v>
      </c>
      <c r="C18" s="15">
        <v>6500</v>
      </c>
      <c r="D18" s="15">
        <v>1.9</v>
      </c>
      <c r="E18" s="15">
        <v>180</v>
      </c>
      <c r="F18" s="15">
        <v>50000</v>
      </c>
      <c r="G18" s="15">
        <v>780</v>
      </c>
      <c r="H18" s="15">
        <v>510</v>
      </c>
      <c r="I18" s="15">
        <v>540</v>
      </c>
      <c r="J18" s="1"/>
      <c r="K18" s="2"/>
      <c r="L18" s="27"/>
      <c r="M18" s="141"/>
      <c r="N18" s="123"/>
      <c r="O18" s="27"/>
      <c r="P18" s="140"/>
      <c r="Q18" s="144"/>
      <c r="R18" s="144"/>
      <c r="S18" s="144"/>
    </row>
    <row r="19" spans="1:20" x14ac:dyDescent="0.2">
      <c r="A19" s="249" t="s">
        <v>101</v>
      </c>
      <c r="B19" s="250">
        <v>42268.600694444445</v>
      </c>
      <c r="C19" s="15">
        <v>6800</v>
      </c>
      <c r="D19" s="15">
        <v>2.4</v>
      </c>
      <c r="E19" s="15">
        <v>200</v>
      </c>
      <c r="F19" s="15">
        <v>54000</v>
      </c>
      <c r="G19" s="15">
        <v>860</v>
      </c>
      <c r="H19" s="15">
        <v>610</v>
      </c>
      <c r="I19" s="15">
        <v>630</v>
      </c>
      <c r="J19" s="1"/>
      <c r="K19" s="2"/>
      <c r="L19" s="27"/>
      <c r="M19" s="141"/>
      <c r="N19" s="142" t="s">
        <v>110</v>
      </c>
      <c r="O19" s="27"/>
      <c r="P19" s="140"/>
      <c r="Q19" s="144"/>
      <c r="R19" s="144"/>
      <c r="S19" s="144"/>
    </row>
    <row r="20" spans="1:20" x14ac:dyDescent="0.2">
      <c r="A20" s="249" t="s">
        <v>101</v>
      </c>
      <c r="B20" s="250">
        <v>42271.628472222219</v>
      </c>
      <c r="C20" s="15">
        <v>6100</v>
      </c>
      <c r="D20" s="15">
        <v>2.2999999999999998</v>
      </c>
      <c r="E20" s="15">
        <v>190</v>
      </c>
      <c r="F20" s="15">
        <v>47000</v>
      </c>
      <c r="G20" s="15">
        <v>750</v>
      </c>
      <c r="H20" s="15">
        <v>520</v>
      </c>
      <c r="I20" s="15">
        <v>600</v>
      </c>
      <c r="J20" s="1"/>
      <c r="K20" s="2"/>
      <c r="L20" s="140"/>
      <c r="M20" s="27"/>
      <c r="N20" s="27"/>
      <c r="O20" s="27"/>
      <c r="P20" s="140"/>
      <c r="Q20" s="144"/>
      <c r="R20" s="144"/>
      <c r="S20" s="144"/>
    </row>
    <row r="21" spans="1:20" x14ac:dyDescent="0.2">
      <c r="A21" s="249" t="s">
        <v>101</v>
      </c>
      <c r="B21" s="250">
        <v>42271.628472222219</v>
      </c>
      <c r="C21" s="15">
        <v>6100</v>
      </c>
      <c r="D21" s="15">
        <v>2.2999999999999998</v>
      </c>
      <c r="E21" s="15">
        <v>190</v>
      </c>
      <c r="F21" s="15">
        <v>47000</v>
      </c>
      <c r="G21" s="15">
        <v>750</v>
      </c>
      <c r="H21" s="15">
        <v>520</v>
      </c>
      <c r="I21" s="15">
        <v>600</v>
      </c>
      <c r="J21" s="1"/>
      <c r="K21" s="2"/>
      <c r="L21" s="143" t="s">
        <v>109</v>
      </c>
      <c r="M21" s="2"/>
      <c r="N21" s="142"/>
      <c r="O21" s="2"/>
      <c r="P21" s="144"/>
      <c r="Q21" s="144"/>
      <c r="R21" s="144"/>
      <c r="S21" s="144"/>
    </row>
    <row r="22" spans="1:20" ht="24" x14ac:dyDescent="0.2">
      <c r="A22" s="249" t="s">
        <v>101</v>
      </c>
      <c r="B22" s="250">
        <v>42275.625</v>
      </c>
      <c r="C22" s="15">
        <v>4400</v>
      </c>
      <c r="D22" s="15">
        <v>2.4</v>
      </c>
      <c r="E22" s="15">
        <v>200</v>
      </c>
      <c r="F22" s="15">
        <v>35000</v>
      </c>
      <c r="G22" s="15">
        <v>710</v>
      </c>
      <c r="H22" s="15">
        <v>520</v>
      </c>
      <c r="I22" s="15">
        <v>620</v>
      </c>
      <c r="J22" s="1"/>
      <c r="K22" s="2"/>
      <c r="L22" s="145" t="s">
        <v>8</v>
      </c>
      <c r="M22" s="146" t="s">
        <v>99</v>
      </c>
      <c r="N22" s="146" t="s">
        <v>100</v>
      </c>
      <c r="O22" s="146" t="s">
        <v>116</v>
      </c>
      <c r="P22" s="146" t="s">
        <v>19</v>
      </c>
      <c r="Q22" s="144"/>
      <c r="R22" s="144"/>
    </row>
    <row r="23" spans="1:20" ht="17.25" customHeight="1" x14ac:dyDescent="0.2">
      <c r="A23" s="249" t="s">
        <v>101</v>
      </c>
      <c r="B23" s="250">
        <v>42275.625</v>
      </c>
      <c r="C23" s="15">
        <v>4400</v>
      </c>
      <c r="D23" s="15">
        <v>2.4</v>
      </c>
      <c r="E23" s="15">
        <v>200</v>
      </c>
      <c r="F23" s="15">
        <v>35000</v>
      </c>
      <c r="G23" s="15">
        <v>710</v>
      </c>
      <c r="H23" s="15">
        <v>520</v>
      </c>
      <c r="I23" s="15">
        <v>620</v>
      </c>
      <c r="J23" s="1"/>
      <c r="K23" s="2"/>
      <c r="L23" s="148" t="s">
        <v>7</v>
      </c>
      <c r="M23" s="149">
        <f>C68</f>
        <v>5310</v>
      </c>
      <c r="N23" s="150">
        <f>C54</f>
        <v>6625.5464048401536</v>
      </c>
      <c r="O23" s="151">
        <f>C60</f>
        <v>215.57105002119678</v>
      </c>
      <c r="P23" s="152">
        <v>-1.3792115864830481</v>
      </c>
      <c r="Q23" s="144"/>
      <c r="R23" s="144"/>
    </row>
    <row r="24" spans="1:20" ht="17.25" customHeight="1" x14ac:dyDescent="0.2">
      <c r="A24" s="249" t="s">
        <v>101</v>
      </c>
      <c r="B24" s="250">
        <v>42278.635416666664</v>
      </c>
      <c r="C24" s="15">
        <v>7300</v>
      </c>
      <c r="D24" s="15">
        <v>2</v>
      </c>
      <c r="E24" s="15">
        <v>200</v>
      </c>
      <c r="F24" s="15">
        <v>55000</v>
      </c>
      <c r="G24" s="15">
        <v>970</v>
      </c>
      <c r="H24" s="15">
        <v>640</v>
      </c>
      <c r="I24" s="15">
        <v>530</v>
      </c>
      <c r="J24" s="1"/>
      <c r="K24" s="2"/>
      <c r="L24" s="153" t="s">
        <v>1</v>
      </c>
      <c r="M24" s="406">
        <f>D68</f>
        <v>0.59499999999999997</v>
      </c>
      <c r="N24" s="155">
        <f>D54</f>
        <v>2.0874097849817459</v>
      </c>
      <c r="O24" s="156">
        <f>D60</f>
        <v>7.4233589013993712E-2</v>
      </c>
      <c r="P24" s="157">
        <v>-4.3615614563633391</v>
      </c>
      <c r="Q24" s="144"/>
      <c r="R24" s="144"/>
      <c r="S24" s="144"/>
    </row>
    <row r="25" spans="1:20" ht="17.25" customHeight="1" x14ac:dyDescent="0.2">
      <c r="A25" s="249" t="s">
        <v>101</v>
      </c>
      <c r="B25" s="250">
        <v>42278.635416666664</v>
      </c>
      <c r="C25" s="15">
        <v>7300</v>
      </c>
      <c r="D25" s="15">
        <v>2</v>
      </c>
      <c r="E25" s="15">
        <v>200</v>
      </c>
      <c r="F25" s="15">
        <v>55000</v>
      </c>
      <c r="G25" s="15">
        <v>970</v>
      </c>
      <c r="H25" s="15">
        <v>640</v>
      </c>
      <c r="I25" s="15">
        <v>530</v>
      </c>
      <c r="J25" s="1"/>
      <c r="K25" s="2"/>
      <c r="L25" s="153" t="s">
        <v>2</v>
      </c>
      <c r="M25" s="158">
        <f>E68</f>
        <v>55.6</v>
      </c>
      <c r="N25" s="158">
        <f>E54</f>
        <v>192.98399828817864</v>
      </c>
      <c r="O25" s="157">
        <f>E60</f>
        <v>4.6365333981313581</v>
      </c>
      <c r="P25" s="157">
        <v>-6.3681976363680297</v>
      </c>
      <c r="Q25" s="144"/>
      <c r="R25" s="144"/>
      <c r="S25" s="293" t="s">
        <v>200</v>
      </c>
    </row>
    <row r="26" spans="1:20" ht="17.25" customHeight="1" x14ac:dyDescent="0.2">
      <c r="A26" s="249" t="s">
        <v>101</v>
      </c>
      <c r="B26" s="250">
        <v>42303.409722222219</v>
      </c>
      <c r="C26" s="15">
        <v>7000</v>
      </c>
      <c r="D26" s="15">
        <v>2.2000000000000002</v>
      </c>
      <c r="E26" s="15">
        <v>180</v>
      </c>
      <c r="F26" s="15">
        <v>62000</v>
      </c>
      <c r="G26" s="15">
        <v>630</v>
      </c>
      <c r="H26" s="15">
        <v>600</v>
      </c>
      <c r="I26" s="15">
        <v>600</v>
      </c>
      <c r="J26" s="1"/>
      <c r="K26" s="2"/>
      <c r="L26" s="159" t="s">
        <v>3</v>
      </c>
      <c r="M26" s="160">
        <f>F68</f>
        <v>143000</v>
      </c>
      <c r="N26" s="161">
        <f>F54</f>
        <v>50969.560175586783</v>
      </c>
      <c r="O26" s="162">
        <f>F60</f>
        <v>1636.6041189332875</v>
      </c>
      <c r="P26" s="163">
        <v>11.913800276632827</v>
      </c>
      <c r="Q26" s="144"/>
      <c r="R26" s="144"/>
      <c r="S26" s="328" t="s">
        <v>121</v>
      </c>
      <c r="T26" s="373" t="s">
        <v>257</v>
      </c>
    </row>
    <row r="27" spans="1:20" ht="17.25" customHeight="1" x14ac:dyDescent="0.2">
      <c r="K27" s="144"/>
      <c r="L27" s="153" t="s">
        <v>4</v>
      </c>
      <c r="M27" s="154">
        <f>G68</f>
        <v>282</v>
      </c>
      <c r="N27" s="158">
        <f>G54</f>
        <v>802.61855830913078</v>
      </c>
      <c r="O27" s="164">
        <f>G60</f>
        <v>21.071270151953563</v>
      </c>
      <c r="P27" s="157">
        <v>-5.3239477146213003</v>
      </c>
      <c r="Q27" s="144"/>
      <c r="R27" s="144"/>
      <c r="S27" s="331" t="s">
        <v>121</v>
      </c>
      <c r="T27" s="374" t="s">
        <v>259</v>
      </c>
    </row>
    <row r="28" spans="1:20" ht="17.25" customHeight="1" x14ac:dyDescent="0.2">
      <c r="C28" s="421" t="s">
        <v>151</v>
      </c>
      <c r="D28" s="421"/>
      <c r="E28" s="421"/>
      <c r="F28" s="421"/>
      <c r="G28" s="421"/>
      <c r="H28" s="421"/>
      <c r="I28" s="421"/>
      <c r="K28" s="144"/>
      <c r="L28" s="165" t="s">
        <v>5</v>
      </c>
      <c r="M28" s="166">
        <f>H68</f>
        <v>478</v>
      </c>
      <c r="N28" s="167">
        <f>H54</f>
        <v>581.41069549013741</v>
      </c>
      <c r="O28" s="168">
        <f>H60</f>
        <v>15.800806499325327</v>
      </c>
      <c r="P28" s="169">
        <v>-1.4498871350366707</v>
      </c>
      <c r="Q28" s="144"/>
      <c r="R28" s="144"/>
      <c r="S28" s="329" t="s">
        <v>123</v>
      </c>
      <c r="T28" s="375" t="s">
        <v>258</v>
      </c>
    </row>
    <row r="29" spans="1:20" ht="17.25" customHeight="1" x14ac:dyDescent="0.2">
      <c r="A29" s="33" t="s">
        <v>140</v>
      </c>
      <c r="C29" s="1" t="s">
        <v>7</v>
      </c>
      <c r="D29" s="1" t="s">
        <v>1</v>
      </c>
      <c r="E29" s="1" t="s">
        <v>2</v>
      </c>
      <c r="F29" s="1" t="s">
        <v>3</v>
      </c>
      <c r="G29" s="1" t="s">
        <v>4</v>
      </c>
      <c r="H29" s="1" t="s">
        <v>5</v>
      </c>
      <c r="I29" s="1" t="s">
        <v>6</v>
      </c>
      <c r="K29" s="144"/>
      <c r="L29" s="170" t="s">
        <v>6</v>
      </c>
      <c r="M29" s="171">
        <f>I54</f>
        <v>557.08416668616553</v>
      </c>
      <c r="N29" s="171">
        <f>I54</f>
        <v>557.08416668616553</v>
      </c>
      <c r="O29" s="172">
        <f>I60</f>
        <v>18.59090644481822</v>
      </c>
      <c r="P29" s="173">
        <v>1.1791200220970244</v>
      </c>
      <c r="Q29" s="144"/>
      <c r="R29" s="144"/>
      <c r="S29" s="330" t="s">
        <v>122</v>
      </c>
      <c r="T29" s="376" t="s">
        <v>261</v>
      </c>
    </row>
    <row r="30" spans="1:20" ht="17.25" customHeight="1" x14ac:dyDescent="0.2">
      <c r="A30" s="249" t="s">
        <v>101</v>
      </c>
      <c r="B30" s="210">
        <v>42243.506944444445</v>
      </c>
      <c r="C30" s="228">
        <f t="shared" ref="C30:I39" si="0">LOG(C5)</f>
        <v>3.7853298350107671</v>
      </c>
      <c r="D30" s="228">
        <f t="shared" si="0"/>
        <v>0.49136169383427269</v>
      </c>
      <c r="E30" s="228">
        <f t="shared" si="0"/>
        <v>2.3979400086720375</v>
      </c>
      <c r="F30" s="228">
        <f t="shared" si="0"/>
        <v>4.6627578316815743</v>
      </c>
      <c r="G30" s="228">
        <f t="shared" si="0"/>
        <v>2.8573324964312685</v>
      </c>
      <c r="H30" s="228">
        <f t="shared" si="0"/>
        <v>2.7403626894942437</v>
      </c>
      <c r="I30" s="228">
        <f t="shared" si="0"/>
        <v>2.9190780923760737</v>
      </c>
      <c r="L30" s="174" t="s">
        <v>108</v>
      </c>
      <c r="M30" s="59">
        <v>1</v>
      </c>
      <c r="N30" s="59">
        <v>22</v>
      </c>
      <c r="O30" s="59"/>
      <c r="P30" s="1"/>
      <c r="S30" s="377" t="s">
        <v>122</v>
      </c>
      <c r="T30" s="378" t="s">
        <v>260</v>
      </c>
    </row>
    <row r="31" spans="1:20" ht="17.25" customHeight="1" x14ac:dyDescent="0.2">
      <c r="A31" s="249" t="s">
        <v>101</v>
      </c>
      <c r="B31" s="210">
        <v>42247.486111111109</v>
      </c>
      <c r="C31" s="228">
        <f t="shared" si="0"/>
        <v>3.8692317197309762</v>
      </c>
      <c r="D31" s="228">
        <f t="shared" si="0"/>
        <v>0.34242268082220628</v>
      </c>
      <c r="E31" s="228">
        <f t="shared" si="0"/>
        <v>2.3424226808222062</v>
      </c>
      <c r="F31" s="228">
        <f t="shared" si="0"/>
        <v>4.7634279935629369</v>
      </c>
      <c r="G31" s="228">
        <f t="shared" si="0"/>
        <v>2.9956351945975501</v>
      </c>
      <c r="H31" s="228">
        <f t="shared" si="0"/>
        <v>2.8750612633917001</v>
      </c>
      <c r="I31" s="228">
        <f t="shared" si="0"/>
        <v>2.7481880270062002</v>
      </c>
      <c r="L31" s="174"/>
      <c r="M31" s="59"/>
      <c r="N31" s="59"/>
      <c r="O31" s="59"/>
      <c r="P31" s="1"/>
    </row>
    <row r="32" spans="1:20" ht="17.25" customHeight="1" x14ac:dyDescent="0.2">
      <c r="A32" s="249" t="s">
        <v>101</v>
      </c>
      <c r="B32" s="210">
        <v>42247.486111111109</v>
      </c>
      <c r="C32" s="228">
        <f t="shared" si="0"/>
        <v>3.9637878273455551</v>
      </c>
      <c r="D32" s="228">
        <f t="shared" si="0"/>
        <v>0.38021124171160603</v>
      </c>
      <c r="E32" s="228">
        <f t="shared" si="0"/>
        <v>2.3802112417116059</v>
      </c>
      <c r="F32" s="228">
        <f t="shared" si="0"/>
        <v>4.8450980400142569</v>
      </c>
      <c r="G32" s="228">
        <f t="shared" si="0"/>
        <v>3</v>
      </c>
      <c r="H32" s="228">
        <f t="shared" si="0"/>
        <v>2.9030899869919438</v>
      </c>
      <c r="I32" s="228">
        <f t="shared" si="0"/>
        <v>2.7923916894982539</v>
      </c>
      <c r="L32" s="143" t="s">
        <v>109</v>
      </c>
      <c r="M32" s="27"/>
      <c r="N32" s="27"/>
      <c r="O32" s="27"/>
      <c r="P32" s="27"/>
      <c r="S32" s="293" t="s">
        <v>262</v>
      </c>
    </row>
    <row r="33" spans="1:26" ht="33" customHeight="1" x14ac:dyDescent="0.2">
      <c r="A33" s="249" t="s">
        <v>101</v>
      </c>
      <c r="B33" s="210">
        <v>42263.583333333336</v>
      </c>
      <c r="C33" s="228">
        <f t="shared" si="0"/>
        <v>3.8195439355418688</v>
      </c>
      <c r="D33" s="228">
        <f t="shared" si="0"/>
        <v>0.27875360095282892</v>
      </c>
      <c r="E33" s="228">
        <f t="shared" si="0"/>
        <v>2.255272505103306</v>
      </c>
      <c r="F33" s="228">
        <f t="shared" si="0"/>
        <v>4.7075701760979367</v>
      </c>
      <c r="G33" s="228">
        <f t="shared" si="0"/>
        <v>2.8976270912904414</v>
      </c>
      <c r="H33" s="228">
        <f t="shared" si="0"/>
        <v>2.7481880270062002</v>
      </c>
      <c r="I33" s="228">
        <f t="shared" si="0"/>
        <v>2.7075701760979363</v>
      </c>
      <c r="L33" s="145" t="s">
        <v>8</v>
      </c>
      <c r="M33" s="146" t="s">
        <v>99</v>
      </c>
      <c r="N33" s="146" t="s">
        <v>103</v>
      </c>
      <c r="O33" s="146" t="s">
        <v>116</v>
      </c>
      <c r="P33" s="146" t="s">
        <v>19</v>
      </c>
    </row>
    <row r="34" spans="1:26" ht="17.25" customHeight="1" x14ac:dyDescent="0.2">
      <c r="A34" s="249" t="s">
        <v>101</v>
      </c>
      <c r="B34" s="210">
        <v>42263.583333333336</v>
      </c>
      <c r="C34" s="228">
        <f t="shared" si="0"/>
        <v>3.8195439355418688</v>
      </c>
      <c r="D34" s="228">
        <f t="shared" si="0"/>
        <v>0.27875360095282892</v>
      </c>
      <c r="E34" s="228">
        <f t="shared" si="0"/>
        <v>2.255272505103306</v>
      </c>
      <c r="F34" s="228">
        <f t="shared" si="0"/>
        <v>4.7075701760979367</v>
      </c>
      <c r="G34" s="228">
        <f t="shared" si="0"/>
        <v>2.8976270912904414</v>
      </c>
      <c r="H34" s="228">
        <f t="shared" si="0"/>
        <v>2.7481880270062002</v>
      </c>
      <c r="I34" s="228">
        <f t="shared" si="0"/>
        <v>2.7075701760979363</v>
      </c>
      <c r="L34" s="177" t="s">
        <v>7</v>
      </c>
      <c r="M34" s="178">
        <f>C68</f>
        <v>5310</v>
      </c>
      <c r="N34" s="179">
        <f>C94</f>
        <v>7626.818443448883</v>
      </c>
      <c r="O34" s="180">
        <f>C95</f>
        <v>280.9025631780529</v>
      </c>
      <c r="P34" s="181">
        <v>-2.9609354288571352</v>
      </c>
    </row>
    <row r="35" spans="1:26" ht="17.25" customHeight="1" x14ac:dyDescent="0.2">
      <c r="A35" s="249" t="s">
        <v>101</v>
      </c>
      <c r="B35" s="210">
        <v>42264.597222222219</v>
      </c>
      <c r="C35" s="228">
        <f t="shared" si="0"/>
        <v>3.8692317197309762</v>
      </c>
      <c r="D35" s="228">
        <f t="shared" si="0"/>
        <v>0.23044892137827391</v>
      </c>
      <c r="E35" s="228">
        <f t="shared" si="0"/>
        <v>2.255272505103306</v>
      </c>
      <c r="F35" s="228">
        <f t="shared" si="0"/>
        <v>4.7160033436347994</v>
      </c>
      <c r="G35" s="228">
        <f t="shared" si="0"/>
        <v>2.8692317197309762</v>
      </c>
      <c r="H35" s="228">
        <f t="shared" si="0"/>
        <v>2.7481880270062002</v>
      </c>
      <c r="I35" s="228">
        <f t="shared" si="0"/>
        <v>2.6334684555795866</v>
      </c>
      <c r="L35" s="182" t="s">
        <v>1</v>
      </c>
      <c r="M35" s="407">
        <f>D68</f>
        <v>0.59499999999999997</v>
      </c>
      <c r="N35" s="184">
        <f>D94</f>
        <v>1.6475276680053017</v>
      </c>
      <c r="O35" s="185">
        <f>D95</f>
        <v>0.31795524168392875</v>
      </c>
      <c r="P35" s="186">
        <v>-1.3871696293768088</v>
      </c>
    </row>
    <row r="36" spans="1:26" ht="17.25" customHeight="1" x14ac:dyDescent="0.2">
      <c r="A36" s="249" t="s">
        <v>101</v>
      </c>
      <c r="B36" s="210">
        <v>42264.597222222219</v>
      </c>
      <c r="C36" s="228">
        <f t="shared" si="0"/>
        <v>3.8692317197309762</v>
      </c>
      <c r="D36" s="228">
        <f t="shared" si="0"/>
        <v>0.23044892137827391</v>
      </c>
      <c r="E36" s="228">
        <f t="shared" si="0"/>
        <v>2.255272505103306</v>
      </c>
      <c r="F36" s="228">
        <f t="shared" si="0"/>
        <v>4.7160033436347994</v>
      </c>
      <c r="G36" s="228">
        <f t="shared" si="0"/>
        <v>2.8692317197309762</v>
      </c>
      <c r="H36" s="228">
        <f t="shared" si="0"/>
        <v>2.7481880270062002</v>
      </c>
      <c r="I36" s="228">
        <f t="shared" si="0"/>
        <v>2.6334684555795866</v>
      </c>
      <c r="L36" s="187" t="s">
        <v>2</v>
      </c>
      <c r="M36" s="188">
        <f>E68</f>
        <v>55.6</v>
      </c>
      <c r="N36" s="188">
        <f>E94</f>
        <v>100.67584977693467</v>
      </c>
      <c r="O36" s="189">
        <f>E95</f>
        <v>7.1962291712892448</v>
      </c>
      <c r="P36" s="189">
        <v>-2.3042142800260268</v>
      </c>
    </row>
    <row r="37" spans="1:26" ht="17.25" customHeight="1" x14ac:dyDescent="0.2">
      <c r="A37" s="249" t="s">
        <v>101</v>
      </c>
      <c r="B37" s="210">
        <v>42266.59375</v>
      </c>
      <c r="C37" s="228">
        <f t="shared" si="0"/>
        <v>3.8692317197309762</v>
      </c>
      <c r="D37" s="228">
        <f t="shared" si="0"/>
        <v>0.3222192947339193</v>
      </c>
      <c r="E37" s="228">
        <f t="shared" si="0"/>
        <v>2.3010299956639813</v>
      </c>
      <c r="F37" s="228">
        <f t="shared" si="0"/>
        <v>4.7558748556724915</v>
      </c>
      <c r="G37" s="228">
        <f t="shared" si="0"/>
        <v>2.9138138523837167</v>
      </c>
      <c r="H37" s="228">
        <f t="shared" si="0"/>
        <v>2.7481880270062002</v>
      </c>
      <c r="I37" s="228">
        <f t="shared" si="0"/>
        <v>2.7558748556724915</v>
      </c>
      <c r="L37" s="190" t="s">
        <v>3</v>
      </c>
      <c r="M37" s="191">
        <f>F68</f>
        <v>143000</v>
      </c>
      <c r="N37" s="192">
        <f>F94</f>
        <v>74939.839285519847</v>
      </c>
      <c r="O37" s="193">
        <f>F95</f>
        <v>5846.410299735825</v>
      </c>
      <c r="P37" s="194">
        <v>4.0207374870922878</v>
      </c>
    </row>
    <row r="38" spans="1:26" ht="17.25" customHeight="1" x14ac:dyDescent="0.2">
      <c r="A38" s="249" t="s">
        <v>101</v>
      </c>
      <c r="B38" s="210">
        <v>42266.59375</v>
      </c>
      <c r="C38" s="228">
        <f t="shared" si="0"/>
        <v>3.8692317197309762</v>
      </c>
      <c r="D38" s="228">
        <f t="shared" si="0"/>
        <v>0.3222192947339193</v>
      </c>
      <c r="E38" s="228">
        <f t="shared" si="0"/>
        <v>2.3010299956639813</v>
      </c>
      <c r="F38" s="228">
        <f t="shared" si="0"/>
        <v>4.7558748556724915</v>
      </c>
      <c r="G38" s="228">
        <f t="shared" si="0"/>
        <v>2.9138138523837167</v>
      </c>
      <c r="H38" s="228">
        <f t="shared" si="0"/>
        <v>2.7481880270062002</v>
      </c>
      <c r="I38" s="228">
        <f t="shared" si="0"/>
        <v>2.7558748556724915</v>
      </c>
      <c r="L38" s="182" t="s">
        <v>4</v>
      </c>
      <c r="M38" s="183">
        <f>G68</f>
        <v>282</v>
      </c>
      <c r="N38" s="195">
        <f>G94</f>
        <v>380.45136463806659</v>
      </c>
      <c r="O38" s="196">
        <f>G95</f>
        <v>24.99553531561758</v>
      </c>
      <c r="P38" s="186">
        <v>-1.4745809803208896</v>
      </c>
    </row>
    <row r="39" spans="1:26" ht="17.25" customHeight="1" x14ac:dyDescent="0.2">
      <c r="A39" s="249" t="s">
        <v>101</v>
      </c>
      <c r="B39" s="210">
        <v>42267.611111111109</v>
      </c>
      <c r="C39" s="228">
        <f t="shared" si="0"/>
        <v>3.8061799739838871</v>
      </c>
      <c r="D39" s="228">
        <f t="shared" si="0"/>
        <v>0.20411998265592479</v>
      </c>
      <c r="E39" s="228">
        <f t="shared" si="0"/>
        <v>2.2041199826559246</v>
      </c>
      <c r="F39" s="228">
        <f t="shared" si="0"/>
        <v>4.6812412373755876</v>
      </c>
      <c r="G39" s="228">
        <f t="shared" si="0"/>
        <v>2.9030899869919438</v>
      </c>
      <c r="H39" s="228">
        <f t="shared" si="0"/>
        <v>2.7853298350107671</v>
      </c>
      <c r="I39" s="228">
        <f t="shared" si="0"/>
        <v>2.6627578316815739</v>
      </c>
      <c r="L39" s="182" t="s">
        <v>5</v>
      </c>
      <c r="M39" s="183">
        <f>H68</f>
        <v>478</v>
      </c>
      <c r="N39" s="195">
        <f>H94</f>
        <v>633.28152573668444</v>
      </c>
      <c r="O39" s="196">
        <f>H95</f>
        <v>53.075081589332349</v>
      </c>
      <c r="P39" s="186">
        <v>-1.1291042408421805</v>
      </c>
      <c r="Q39" s="147"/>
    </row>
    <row r="40" spans="1:26" ht="17.25" customHeight="1" x14ac:dyDescent="0.2">
      <c r="A40" s="249" t="s">
        <v>101</v>
      </c>
      <c r="B40" s="210">
        <v>42267.611111111109</v>
      </c>
      <c r="C40" s="228">
        <f t="shared" ref="C40:I49" si="1">LOG(C15)</f>
        <v>3.8061799739838871</v>
      </c>
      <c r="D40" s="228">
        <f t="shared" si="1"/>
        <v>0.20411998265592479</v>
      </c>
      <c r="E40" s="228">
        <f t="shared" si="1"/>
        <v>2.2041199826559246</v>
      </c>
      <c r="F40" s="228">
        <f t="shared" si="1"/>
        <v>4.6812412373755876</v>
      </c>
      <c r="G40" s="228">
        <f t="shared" si="1"/>
        <v>2.9030899869919438</v>
      </c>
      <c r="H40" s="228">
        <f t="shared" si="1"/>
        <v>2.7853298350107671</v>
      </c>
      <c r="I40" s="228">
        <f t="shared" si="1"/>
        <v>2.6627578316815739</v>
      </c>
      <c r="L40" s="198" t="s">
        <v>6</v>
      </c>
      <c r="M40" s="199">
        <f>I68</f>
        <v>666</v>
      </c>
      <c r="N40" s="200">
        <f>I94</f>
        <v>539.60688903425864</v>
      </c>
      <c r="O40" s="201">
        <f>I95</f>
        <v>83.361304829381979</v>
      </c>
      <c r="P40" s="202">
        <v>0.3753477123654172</v>
      </c>
      <c r="Q40" s="123"/>
      <c r="R40" s="140"/>
    </row>
    <row r="41" spans="1:26" x14ac:dyDescent="0.2">
      <c r="A41" s="249" t="s">
        <v>101</v>
      </c>
      <c r="B41" s="210">
        <v>42268.600694444445</v>
      </c>
      <c r="C41" s="228">
        <f t="shared" si="1"/>
        <v>3.8129133566428557</v>
      </c>
      <c r="D41" s="228">
        <f t="shared" si="1"/>
        <v>0.27875360095282892</v>
      </c>
      <c r="E41" s="228">
        <f t="shared" si="1"/>
        <v>2.255272505103306</v>
      </c>
      <c r="F41" s="228">
        <f t="shared" si="1"/>
        <v>4.6989700043360187</v>
      </c>
      <c r="G41" s="228">
        <f t="shared" si="1"/>
        <v>2.8920946026904804</v>
      </c>
      <c r="H41" s="228">
        <f t="shared" si="1"/>
        <v>2.7075701760979363</v>
      </c>
      <c r="I41" s="228">
        <f t="shared" si="1"/>
        <v>2.7323937598229686</v>
      </c>
      <c r="L41" s="174" t="s">
        <v>108</v>
      </c>
      <c r="M41" s="59">
        <v>1</v>
      </c>
      <c r="N41" s="59">
        <v>8</v>
      </c>
      <c r="O41" s="204"/>
      <c r="P41" s="203"/>
      <c r="Q41" s="141"/>
      <c r="R41" s="140"/>
    </row>
    <row r="42" spans="1:26" x14ac:dyDescent="0.2">
      <c r="A42" s="249" t="s">
        <v>101</v>
      </c>
      <c r="B42" s="210">
        <v>42268.600694444445</v>
      </c>
      <c r="C42" s="228">
        <f t="shared" si="1"/>
        <v>3.8325089127062362</v>
      </c>
      <c r="D42" s="228">
        <f t="shared" si="1"/>
        <v>0.38021124171160603</v>
      </c>
      <c r="E42" s="228">
        <f t="shared" si="1"/>
        <v>2.3010299956639813</v>
      </c>
      <c r="F42" s="228">
        <f t="shared" si="1"/>
        <v>4.7323937598229682</v>
      </c>
      <c r="G42" s="228">
        <f t="shared" si="1"/>
        <v>2.9344984512435679</v>
      </c>
      <c r="H42" s="228">
        <f t="shared" si="1"/>
        <v>2.7853298350107671</v>
      </c>
      <c r="I42" s="228">
        <f t="shared" si="1"/>
        <v>2.7993405494535817</v>
      </c>
      <c r="Q42" s="123"/>
      <c r="R42" s="140"/>
    </row>
    <row r="43" spans="1:26" x14ac:dyDescent="0.2">
      <c r="A43" s="249" t="s">
        <v>101</v>
      </c>
      <c r="B43" s="210">
        <v>42268.600694444445</v>
      </c>
      <c r="C43" s="228">
        <f t="shared" si="1"/>
        <v>3.8129133566428557</v>
      </c>
      <c r="D43" s="228">
        <f t="shared" si="1"/>
        <v>0.27875360095282892</v>
      </c>
      <c r="E43" s="228">
        <f t="shared" si="1"/>
        <v>2.255272505103306</v>
      </c>
      <c r="F43" s="228">
        <f t="shared" si="1"/>
        <v>4.6989700043360187</v>
      </c>
      <c r="G43" s="228">
        <f t="shared" si="1"/>
        <v>2.8920946026904804</v>
      </c>
      <c r="H43" s="228">
        <f t="shared" si="1"/>
        <v>2.7075701760979363</v>
      </c>
      <c r="I43" s="228">
        <f t="shared" si="1"/>
        <v>2.7323937598229686</v>
      </c>
      <c r="Q43" s="123"/>
      <c r="R43" s="140"/>
    </row>
    <row r="44" spans="1:26" x14ac:dyDescent="0.2">
      <c r="A44" s="249" t="s">
        <v>101</v>
      </c>
      <c r="B44" s="210">
        <v>42268.600694444445</v>
      </c>
      <c r="C44" s="228">
        <f t="shared" si="1"/>
        <v>3.8325089127062362</v>
      </c>
      <c r="D44" s="228">
        <f t="shared" si="1"/>
        <v>0.38021124171160603</v>
      </c>
      <c r="E44" s="228">
        <f t="shared" si="1"/>
        <v>2.3010299956639813</v>
      </c>
      <c r="F44" s="228">
        <f t="shared" si="1"/>
        <v>4.7323937598229682</v>
      </c>
      <c r="G44" s="228">
        <f t="shared" si="1"/>
        <v>2.9344984512435679</v>
      </c>
      <c r="H44" s="228">
        <f t="shared" si="1"/>
        <v>2.7853298350107671</v>
      </c>
      <c r="I44" s="228">
        <f t="shared" si="1"/>
        <v>2.7993405494535817</v>
      </c>
      <c r="Q44" s="123"/>
      <c r="R44" s="140"/>
    </row>
    <row r="45" spans="1:26" x14ac:dyDescent="0.2">
      <c r="A45" s="249" t="s">
        <v>101</v>
      </c>
      <c r="B45" s="210">
        <v>42271.628472222219</v>
      </c>
      <c r="C45" s="228">
        <f t="shared" si="1"/>
        <v>3.7853298350107671</v>
      </c>
      <c r="D45" s="228">
        <f t="shared" si="1"/>
        <v>0.36172783601759284</v>
      </c>
      <c r="E45" s="228">
        <f t="shared" si="1"/>
        <v>2.2787536009528289</v>
      </c>
      <c r="F45" s="228">
        <f t="shared" si="1"/>
        <v>4.6720978579357171</v>
      </c>
      <c r="G45" s="228">
        <f t="shared" si="1"/>
        <v>2.8750612633917001</v>
      </c>
      <c r="H45" s="228">
        <f t="shared" si="1"/>
        <v>2.716003343634799</v>
      </c>
      <c r="I45" s="228">
        <f t="shared" si="1"/>
        <v>2.7781512503836434</v>
      </c>
      <c r="Q45" s="123"/>
      <c r="R45" s="140"/>
    </row>
    <row r="46" spans="1:26" x14ac:dyDescent="0.2">
      <c r="A46" s="249" t="s">
        <v>101</v>
      </c>
      <c r="B46" s="210">
        <v>42271.628472222219</v>
      </c>
      <c r="C46" s="228">
        <f t="shared" si="1"/>
        <v>3.7853298350107671</v>
      </c>
      <c r="D46" s="228">
        <f t="shared" si="1"/>
        <v>0.36172783601759284</v>
      </c>
      <c r="E46" s="228">
        <f t="shared" si="1"/>
        <v>2.2787536009528289</v>
      </c>
      <c r="F46" s="228">
        <f t="shared" si="1"/>
        <v>4.6720978579357171</v>
      </c>
      <c r="G46" s="228">
        <f t="shared" si="1"/>
        <v>2.8750612633917001</v>
      </c>
      <c r="H46" s="228">
        <f t="shared" si="1"/>
        <v>2.716003343634799</v>
      </c>
      <c r="I46" s="228">
        <f t="shared" si="1"/>
        <v>2.7781512503836434</v>
      </c>
      <c r="Q46" s="123"/>
      <c r="R46" s="140"/>
    </row>
    <row r="47" spans="1:26" x14ac:dyDescent="0.2">
      <c r="A47" s="249" t="s">
        <v>101</v>
      </c>
      <c r="B47" s="210">
        <v>42275.625</v>
      </c>
      <c r="C47" s="228">
        <f t="shared" si="1"/>
        <v>3.6434526764861874</v>
      </c>
      <c r="D47" s="228">
        <f t="shared" si="1"/>
        <v>0.38021124171160603</v>
      </c>
      <c r="E47" s="228">
        <f t="shared" si="1"/>
        <v>2.3010299956639813</v>
      </c>
      <c r="F47" s="228">
        <f t="shared" si="1"/>
        <v>4.5440680443502757</v>
      </c>
      <c r="G47" s="228">
        <f t="shared" si="1"/>
        <v>2.8512583487190755</v>
      </c>
      <c r="H47" s="228">
        <f t="shared" si="1"/>
        <v>2.716003343634799</v>
      </c>
      <c r="I47" s="228">
        <f t="shared" si="1"/>
        <v>2.7923916894982539</v>
      </c>
      <c r="Q47" s="140"/>
      <c r="R47" s="140"/>
    </row>
    <row r="48" spans="1:26" x14ac:dyDescent="0.2">
      <c r="A48" s="249" t="s">
        <v>101</v>
      </c>
      <c r="B48" s="210">
        <v>42275.625</v>
      </c>
      <c r="C48" s="228">
        <f t="shared" si="1"/>
        <v>3.6434526764861874</v>
      </c>
      <c r="D48" s="228">
        <f t="shared" si="1"/>
        <v>0.38021124171160603</v>
      </c>
      <c r="E48" s="228">
        <f t="shared" si="1"/>
        <v>2.3010299956639813</v>
      </c>
      <c r="F48" s="228">
        <f t="shared" si="1"/>
        <v>4.5440680443502757</v>
      </c>
      <c r="G48" s="228">
        <f t="shared" si="1"/>
        <v>2.8512583487190755</v>
      </c>
      <c r="H48" s="228">
        <f t="shared" si="1"/>
        <v>2.716003343634799</v>
      </c>
      <c r="I48" s="228">
        <f t="shared" si="1"/>
        <v>2.7923916894982539</v>
      </c>
      <c r="Q48" s="140"/>
      <c r="R48" s="140"/>
      <c r="S48" s="140"/>
      <c r="T48" s="140"/>
      <c r="U48" s="140"/>
      <c r="V48" s="140"/>
      <c r="W48" s="140"/>
      <c r="X48" s="140"/>
      <c r="Y48" s="140"/>
      <c r="Z48" s="140"/>
    </row>
    <row r="49" spans="1:26" x14ac:dyDescent="0.2">
      <c r="A49" s="249" t="s">
        <v>101</v>
      </c>
      <c r="B49" s="210">
        <v>42278.635416666664</v>
      </c>
      <c r="C49" s="228">
        <f t="shared" si="1"/>
        <v>3.8633228601204559</v>
      </c>
      <c r="D49" s="228">
        <f t="shared" si="1"/>
        <v>0.3010299956639812</v>
      </c>
      <c r="E49" s="228">
        <f t="shared" si="1"/>
        <v>2.3010299956639813</v>
      </c>
      <c r="F49" s="228">
        <f t="shared" si="1"/>
        <v>4.7403626894942441</v>
      </c>
      <c r="G49" s="228">
        <f t="shared" si="1"/>
        <v>2.9867717342662448</v>
      </c>
      <c r="H49" s="228">
        <f t="shared" si="1"/>
        <v>2.8061799739838871</v>
      </c>
      <c r="I49" s="228">
        <f t="shared" si="1"/>
        <v>2.7242758696007892</v>
      </c>
      <c r="Q49" s="139"/>
      <c r="R49" s="140"/>
      <c r="S49" s="140"/>
      <c r="T49" s="140"/>
      <c r="U49" s="140"/>
      <c r="V49" s="140"/>
      <c r="W49" s="140"/>
      <c r="X49" s="140"/>
      <c r="Y49" s="140"/>
      <c r="Z49" s="140"/>
    </row>
    <row r="50" spans="1:26" x14ac:dyDescent="0.2">
      <c r="A50" s="249" t="s">
        <v>101</v>
      </c>
      <c r="B50" s="210">
        <v>42278.635416666664</v>
      </c>
      <c r="C50" s="228">
        <f t="shared" ref="C50:I51" si="2">LOG(C25)</f>
        <v>3.8633228601204559</v>
      </c>
      <c r="D50" s="228">
        <f t="shared" si="2"/>
        <v>0.3010299956639812</v>
      </c>
      <c r="E50" s="228">
        <f t="shared" si="2"/>
        <v>2.3010299956639813</v>
      </c>
      <c r="F50" s="228">
        <f t="shared" si="2"/>
        <v>4.7403626894942441</v>
      </c>
      <c r="G50" s="228">
        <f t="shared" si="2"/>
        <v>2.9867717342662448</v>
      </c>
      <c r="H50" s="228">
        <f t="shared" si="2"/>
        <v>2.8061799739838871</v>
      </c>
      <c r="I50" s="228">
        <f t="shared" si="2"/>
        <v>2.7242758696007892</v>
      </c>
      <c r="Q50" s="140"/>
      <c r="R50" s="140"/>
      <c r="S50" s="140"/>
      <c r="T50" s="140"/>
      <c r="U50" s="140"/>
      <c r="V50" s="140"/>
      <c r="W50" s="175"/>
      <c r="X50" s="176"/>
      <c r="Y50" s="140"/>
      <c r="Z50" s="140"/>
    </row>
    <row r="51" spans="1:26" x14ac:dyDescent="0.2">
      <c r="A51" s="249" t="s">
        <v>101</v>
      </c>
      <c r="B51" s="210">
        <v>42303.409722222219</v>
      </c>
      <c r="C51" s="228">
        <f t="shared" si="2"/>
        <v>3.8450980400142569</v>
      </c>
      <c r="D51" s="228">
        <f t="shared" si="2"/>
        <v>0.34242268082220628</v>
      </c>
      <c r="E51" s="228">
        <f t="shared" si="2"/>
        <v>2.255272505103306</v>
      </c>
      <c r="F51" s="228">
        <f t="shared" si="2"/>
        <v>4.7923916894982534</v>
      </c>
      <c r="G51" s="228">
        <f t="shared" si="2"/>
        <v>2.7993405494535817</v>
      </c>
      <c r="H51" s="228">
        <f t="shared" si="2"/>
        <v>2.7781512503836434</v>
      </c>
      <c r="I51" s="228">
        <f t="shared" si="2"/>
        <v>2.7781512503836434</v>
      </c>
      <c r="Q51" s="140"/>
      <c r="R51" s="140"/>
      <c r="S51" s="140"/>
      <c r="T51" s="140"/>
      <c r="U51" s="140"/>
      <c r="V51" s="140"/>
      <c r="W51" s="140"/>
      <c r="X51" s="140"/>
      <c r="Y51" s="140"/>
      <c r="Z51" s="140"/>
    </row>
    <row r="52" spans="1:26" ht="12.75" thickBot="1" x14ac:dyDescent="0.25">
      <c r="C52" s="64"/>
      <c r="D52" s="64"/>
      <c r="E52" s="64"/>
      <c r="F52" s="64"/>
      <c r="G52" s="64"/>
      <c r="H52" s="64"/>
      <c r="I52" s="64"/>
      <c r="Q52" s="140"/>
      <c r="R52" s="140"/>
      <c r="S52" s="140"/>
      <c r="T52" s="140"/>
      <c r="U52" s="140"/>
      <c r="V52" s="140"/>
      <c r="W52" s="175"/>
      <c r="X52" s="176"/>
      <c r="Y52" s="140"/>
      <c r="Z52" s="140"/>
    </row>
    <row r="53" spans="1:26" ht="24" customHeight="1" x14ac:dyDescent="0.2">
      <c r="A53" s="424" t="s">
        <v>155</v>
      </c>
      <c r="B53" s="229"/>
      <c r="C53" s="238" t="s">
        <v>7</v>
      </c>
      <c r="D53" s="238" t="s">
        <v>1</v>
      </c>
      <c r="E53" s="238" t="s">
        <v>2</v>
      </c>
      <c r="F53" s="238" t="s">
        <v>3</v>
      </c>
      <c r="G53" s="238" t="s">
        <v>4</v>
      </c>
      <c r="H53" s="238" t="s">
        <v>5</v>
      </c>
      <c r="I53" s="239" t="s">
        <v>6</v>
      </c>
      <c r="Q53" s="140"/>
      <c r="R53" s="140"/>
      <c r="S53" s="140"/>
      <c r="T53" s="140"/>
      <c r="U53" s="140"/>
      <c r="V53" s="140"/>
      <c r="W53" s="140"/>
      <c r="X53" s="140"/>
      <c r="Y53" s="140"/>
      <c r="Z53" s="140"/>
    </row>
    <row r="54" spans="1:26" ht="12" customHeight="1" x14ac:dyDescent="0.2">
      <c r="A54" s="422"/>
      <c r="B54" s="16" t="s">
        <v>322</v>
      </c>
      <c r="C54" s="208">
        <f>GEOMEAN(C5:C26)</f>
        <v>6625.5464048401536</v>
      </c>
      <c r="D54" s="208">
        <f t="shared" ref="D54:I54" si="3">GEOMEAN(D5:D26)</f>
        <v>2.0874097849817459</v>
      </c>
      <c r="E54" s="208">
        <f t="shared" si="3"/>
        <v>192.98399828817864</v>
      </c>
      <c r="F54" s="208">
        <f t="shared" si="3"/>
        <v>50969.560175586783</v>
      </c>
      <c r="G54" s="208">
        <f t="shared" si="3"/>
        <v>802.61855830913078</v>
      </c>
      <c r="H54" s="208">
        <f t="shared" si="3"/>
        <v>581.41069549013741</v>
      </c>
      <c r="I54" s="234">
        <f t="shared" si="3"/>
        <v>557.08416668616553</v>
      </c>
      <c r="R54" s="140"/>
      <c r="S54" s="140"/>
      <c r="T54" s="140"/>
      <c r="U54" s="140"/>
      <c r="V54" s="140"/>
      <c r="W54" s="140"/>
      <c r="X54" s="140"/>
      <c r="Y54" s="140"/>
      <c r="Z54" s="140"/>
    </row>
    <row r="55" spans="1:26" ht="12" customHeight="1" x14ac:dyDescent="0.2">
      <c r="A55" s="422"/>
      <c r="B55" s="16" t="s">
        <v>141</v>
      </c>
      <c r="C55" s="237">
        <f t="shared" ref="C55:I55" si="4">AVERAGE(C30:C51)</f>
        <v>3.8212217000913635</v>
      </c>
      <c r="D55" s="237">
        <f t="shared" si="4"/>
        <v>0.3196077149430645</v>
      </c>
      <c r="E55" s="237">
        <f t="shared" si="4"/>
        <v>2.2855212999753793</v>
      </c>
      <c r="F55" s="237">
        <f t="shared" si="4"/>
        <v>4.7073108860089583</v>
      </c>
      <c r="G55" s="237">
        <f t="shared" si="4"/>
        <v>2.9045091973590313</v>
      </c>
      <c r="H55" s="237">
        <f t="shared" si="4"/>
        <v>2.764483016683847</v>
      </c>
      <c r="I55" s="240">
        <f t="shared" si="4"/>
        <v>2.7459208152202645</v>
      </c>
      <c r="R55" s="140"/>
      <c r="S55" s="140"/>
      <c r="T55" s="140"/>
      <c r="U55" s="140"/>
      <c r="V55" s="140"/>
      <c r="W55" s="140"/>
      <c r="X55" s="140"/>
      <c r="Y55" s="140"/>
      <c r="Z55" s="140"/>
    </row>
    <row r="56" spans="1:26" ht="12" customHeight="1" x14ac:dyDescent="0.2">
      <c r="A56" s="422"/>
      <c r="B56" s="16" t="s">
        <v>142</v>
      </c>
      <c r="C56" s="230">
        <f t="shared" ref="C56:I56" si="5">STDEV(C30:C51)</f>
        <v>7.0334009685826301E-2</v>
      </c>
      <c r="D56" s="230">
        <f t="shared" si="5"/>
        <v>6.9831829680187252E-2</v>
      </c>
      <c r="E56" s="230">
        <f t="shared" si="5"/>
        <v>4.7063763722512003E-2</v>
      </c>
      <c r="F56" s="230">
        <f t="shared" si="5"/>
        <v>6.7944032100194771E-2</v>
      </c>
      <c r="G56" s="230">
        <f t="shared" si="5"/>
        <v>5.1877285556725328E-2</v>
      </c>
      <c r="H56" s="230">
        <f t="shared" si="5"/>
        <v>5.1128270656688742E-2</v>
      </c>
      <c r="I56" s="231">
        <f t="shared" si="5"/>
        <v>6.5048281312164793E-2</v>
      </c>
      <c r="R56" s="140"/>
      <c r="S56" s="140"/>
      <c r="T56" s="140"/>
      <c r="U56" s="140"/>
      <c r="V56" s="140"/>
      <c r="W56" s="197"/>
      <c r="X56" s="197"/>
      <c r="Y56" s="140"/>
      <c r="Z56" s="140"/>
    </row>
    <row r="57" spans="1:26" ht="12.75" customHeight="1" x14ac:dyDescent="0.2">
      <c r="A57" s="422"/>
      <c r="B57" s="16"/>
      <c r="C57" s="232"/>
      <c r="D57" s="232"/>
      <c r="E57" s="232"/>
      <c r="F57" s="232"/>
      <c r="G57" s="232"/>
      <c r="H57" s="232"/>
      <c r="I57" s="233"/>
      <c r="Q57" s="203"/>
      <c r="R57" s="203"/>
      <c r="S57" s="203"/>
      <c r="T57" s="140"/>
      <c r="U57" s="140"/>
      <c r="V57" s="140"/>
      <c r="W57" s="140"/>
      <c r="X57" s="140"/>
      <c r="Y57" s="140"/>
    </row>
    <row r="58" spans="1:26" ht="15" customHeight="1" x14ac:dyDescent="0.2">
      <c r="A58" s="422"/>
      <c r="B58" s="16" t="s">
        <v>148</v>
      </c>
      <c r="C58" s="208">
        <f>10^(C55-1.96*C56)</f>
        <v>4823.5528478495953</v>
      </c>
      <c r="D58" s="230">
        <f t="shared" ref="D58:I58" si="6">10^(D55-1.96*D56)</f>
        <v>1.5231312505549932</v>
      </c>
      <c r="E58" s="208">
        <f t="shared" si="6"/>
        <v>156.05450953911688</v>
      </c>
      <c r="F58" s="208">
        <f t="shared" si="6"/>
        <v>37509.440235399648</v>
      </c>
      <c r="G58" s="208">
        <f t="shared" si="6"/>
        <v>635.08187405613933</v>
      </c>
      <c r="H58" s="208">
        <f t="shared" si="6"/>
        <v>461.60617113565525</v>
      </c>
      <c r="I58" s="234">
        <f t="shared" si="6"/>
        <v>415.36144709972774</v>
      </c>
      <c r="Q58" s="140"/>
      <c r="R58" s="205"/>
      <c r="S58" s="140"/>
      <c r="T58" s="140"/>
      <c r="U58" s="140"/>
      <c r="V58" s="140"/>
      <c r="W58" s="140"/>
      <c r="X58" s="140"/>
      <c r="Y58" s="140"/>
    </row>
    <row r="59" spans="1:26" ht="15" customHeight="1" x14ac:dyDescent="0.2">
      <c r="A59" s="422"/>
      <c r="B59" s="16" t="s">
        <v>149</v>
      </c>
      <c r="C59" s="208">
        <f>10^(C55+1.96*C56)</f>
        <v>9100.7327062376462</v>
      </c>
      <c r="D59" s="230">
        <f t="shared" ref="D59:I59" si="7">10^(D55+1.96*D56)</f>
        <v>2.8607381070080815</v>
      </c>
      <c r="E59" s="208">
        <f t="shared" si="7"/>
        <v>238.65265864653787</v>
      </c>
      <c r="F59" s="208">
        <f t="shared" si="7"/>
        <v>69259.792953161334</v>
      </c>
      <c r="G59" s="208">
        <f t="shared" si="7"/>
        <v>1014.3519701292603</v>
      </c>
      <c r="H59" s="208">
        <f t="shared" si="7"/>
        <v>732.30909369923359</v>
      </c>
      <c r="I59" s="234">
        <f t="shared" si="7"/>
        <v>747.16315377702017</v>
      </c>
      <c r="L59" s="174"/>
      <c r="M59" s="59"/>
      <c r="N59" s="59"/>
      <c r="O59" s="204"/>
      <c r="P59" s="203"/>
      <c r="Q59" s="140"/>
      <c r="R59" s="205"/>
      <c r="S59" s="140"/>
      <c r="T59" s="140"/>
      <c r="U59" s="140"/>
      <c r="V59" s="140"/>
      <c r="W59" s="140"/>
      <c r="X59" s="140"/>
      <c r="Y59" s="140"/>
    </row>
    <row r="60" spans="1:26" ht="12" customHeight="1" x14ac:dyDescent="0.2">
      <c r="A60" s="422"/>
      <c r="B60" s="16" t="s">
        <v>150</v>
      </c>
      <c r="C60" s="230">
        <f t="shared" ref="C60:I60" si="8">STDEV(C5:C26)/SQRT(COUNT(C5:C26))</f>
        <v>215.57105002119678</v>
      </c>
      <c r="D60" s="230">
        <f t="shared" si="8"/>
        <v>7.4233589013993712E-2</v>
      </c>
      <c r="E60" s="230">
        <f t="shared" si="8"/>
        <v>4.6365333981313581</v>
      </c>
      <c r="F60" s="209">
        <f t="shared" si="8"/>
        <v>1636.6041189332875</v>
      </c>
      <c r="G60" s="230">
        <f t="shared" si="8"/>
        <v>21.071270151953563</v>
      </c>
      <c r="H60" s="230">
        <f t="shared" si="8"/>
        <v>15.800806499325327</v>
      </c>
      <c r="I60" s="231">
        <f t="shared" si="8"/>
        <v>18.59090644481822</v>
      </c>
      <c r="L60" s="140"/>
      <c r="M60" s="27"/>
      <c r="N60" s="27"/>
      <c r="O60" s="27"/>
      <c r="P60" s="140"/>
      <c r="Q60" s="140"/>
      <c r="R60" s="205"/>
      <c r="S60" s="140"/>
      <c r="T60" s="140"/>
      <c r="U60" s="140"/>
      <c r="V60" s="140"/>
      <c r="W60" s="140"/>
      <c r="X60" s="140"/>
      <c r="Y60" s="140"/>
    </row>
    <row r="61" spans="1:26" ht="12" customHeight="1" thickBot="1" x14ac:dyDescent="0.3">
      <c r="A61" s="423"/>
      <c r="B61" s="235" t="s">
        <v>154</v>
      </c>
      <c r="C61" s="254"/>
      <c r="D61" s="254"/>
      <c r="E61" s="254"/>
      <c r="F61" s="254"/>
      <c r="G61" s="254"/>
      <c r="H61" s="254"/>
      <c r="I61" s="255"/>
      <c r="K61"/>
      <c r="L61"/>
      <c r="M61" s="27"/>
      <c r="N61" s="27"/>
      <c r="O61" s="27"/>
      <c r="P61" s="140"/>
      <c r="Q61" s="140"/>
      <c r="R61" s="140"/>
      <c r="S61" s="140"/>
      <c r="T61" s="140"/>
      <c r="U61" s="140"/>
      <c r="V61" s="140"/>
      <c r="W61" s="140"/>
      <c r="X61" s="140"/>
      <c r="Y61" s="140"/>
    </row>
    <row r="62" spans="1:26" ht="12.75" customHeight="1" x14ac:dyDescent="0.25">
      <c r="A62" s="251"/>
      <c r="K62"/>
      <c r="L62"/>
      <c r="M62" s="27"/>
      <c r="N62" s="27"/>
      <c r="O62" s="27"/>
      <c r="P62" s="140"/>
      <c r="Q62" s="140"/>
      <c r="R62" s="140"/>
      <c r="S62" s="140"/>
      <c r="T62" s="140"/>
      <c r="U62" s="140"/>
      <c r="V62" s="140"/>
      <c r="W62" s="140"/>
      <c r="X62" s="140"/>
      <c r="Y62" s="140"/>
    </row>
    <row r="63" spans="1:26" ht="15.75" thickBot="1" x14ac:dyDescent="0.3">
      <c r="A63" s="252"/>
      <c r="K63"/>
      <c r="L63"/>
      <c r="M63" s="27"/>
      <c r="N63" s="27"/>
      <c r="O63" s="27"/>
      <c r="P63" s="140"/>
      <c r="Q63" s="203"/>
      <c r="R63" s="203"/>
      <c r="S63" s="203"/>
      <c r="T63" s="140"/>
      <c r="U63" s="140"/>
      <c r="V63" s="140"/>
      <c r="W63" s="140"/>
      <c r="X63" s="140"/>
      <c r="Y63" s="140"/>
    </row>
    <row r="64" spans="1:26" ht="15" x14ac:dyDescent="0.25">
      <c r="A64" s="241"/>
      <c r="B64" s="229"/>
      <c r="C64" s="238"/>
      <c r="D64" s="238"/>
      <c r="E64" s="238"/>
      <c r="F64" s="238"/>
      <c r="G64" s="238"/>
      <c r="H64" s="238"/>
      <c r="I64" s="239"/>
      <c r="K64"/>
      <c r="L64"/>
      <c r="M64" s="204"/>
      <c r="N64" s="204"/>
      <c r="O64" s="204"/>
      <c r="P64" s="203"/>
      <c r="Q64" s="140"/>
      <c r="R64" s="205"/>
      <c r="S64" s="140"/>
      <c r="T64" s="140"/>
      <c r="U64" s="140"/>
      <c r="V64" s="140"/>
      <c r="W64" s="140"/>
      <c r="X64" s="140"/>
      <c r="Y64" s="140"/>
    </row>
    <row r="65" spans="1:25" ht="15.75" x14ac:dyDescent="0.25">
      <c r="A65" s="422" t="s">
        <v>156</v>
      </c>
      <c r="B65" s="242" t="s">
        <v>143</v>
      </c>
      <c r="C65" s="2"/>
      <c r="D65" s="2"/>
      <c r="E65" s="132" t="s">
        <v>145</v>
      </c>
      <c r="F65" s="2"/>
      <c r="G65" s="2"/>
      <c r="H65" s="2"/>
      <c r="I65" s="243"/>
      <c r="K65"/>
      <c r="L65"/>
      <c r="M65" s="27"/>
      <c r="N65" s="27"/>
      <c r="O65" s="27"/>
      <c r="P65" s="140"/>
      <c r="Q65" s="140"/>
      <c r="R65" s="205"/>
      <c r="S65" s="140"/>
      <c r="T65" s="140"/>
      <c r="U65" s="140"/>
      <c r="V65" s="140"/>
      <c r="W65" s="140"/>
      <c r="X65" s="140"/>
      <c r="Y65" s="140"/>
    </row>
    <row r="66" spans="1:25" ht="15" x14ac:dyDescent="0.25">
      <c r="A66" s="422"/>
      <c r="B66" s="16"/>
      <c r="C66" s="2"/>
      <c r="D66" s="2"/>
      <c r="E66" s="2"/>
      <c r="F66" s="2"/>
      <c r="G66" s="2"/>
      <c r="H66" s="2"/>
      <c r="I66" s="243"/>
      <c r="K66"/>
      <c r="L66"/>
      <c r="M66" s="27"/>
      <c r="N66" s="27"/>
      <c r="O66" s="27"/>
      <c r="P66" s="140"/>
      <c r="Q66" s="140"/>
      <c r="R66" s="140"/>
      <c r="S66" s="140"/>
      <c r="T66" s="140"/>
      <c r="U66" s="140"/>
      <c r="V66" s="197"/>
      <c r="W66" s="197"/>
      <c r="X66" s="140"/>
      <c r="Y66" s="140"/>
    </row>
    <row r="67" spans="1:25" ht="15" x14ac:dyDescent="0.25">
      <c r="A67" s="422"/>
      <c r="B67" s="16"/>
      <c r="C67" s="2" t="s">
        <v>7</v>
      </c>
      <c r="D67" s="2" t="s">
        <v>1</v>
      </c>
      <c r="E67" s="2" t="s">
        <v>2</v>
      </c>
      <c r="F67" s="2" t="s">
        <v>3</v>
      </c>
      <c r="G67" s="2" t="s">
        <v>4</v>
      </c>
      <c r="H67" s="2" t="s">
        <v>5</v>
      </c>
      <c r="I67" s="243" t="s">
        <v>6</v>
      </c>
      <c r="K67"/>
      <c r="L67"/>
      <c r="M67" s="27"/>
      <c r="N67" s="27"/>
      <c r="O67" s="27"/>
      <c r="P67" s="140"/>
      <c r="Q67" s="140"/>
      <c r="R67" s="140"/>
      <c r="S67" s="140"/>
      <c r="T67" s="140"/>
      <c r="U67" s="140"/>
      <c r="V67" s="140"/>
      <c r="W67" s="140"/>
      <c r="X67" s="140"/>
      <c r="Y67" s="140"/>
    </row>
    <row r="68" spans="1:25" ht="15.75" customHeight="1" x14ac:dyDescent="0.2">
      <c r="A68" s="422"/>
      <c r="B68" s="244" t="s">
        <v>11</v>
      </c>
      <c r="C68" s="221">
        <v>5310</v>
      </c>
      <c r="D68" s="221">
        <v>0.59499999999999997</v>
      </c>
      <c r="E68" s="221">
        <v>55.6</v>
      </c>
      <c r="F68" s="221">
        <v>143000</v>
      </c>
      <c r="G68" s="221">
        <v>282</v>
      </c>
      <c r="H68" s="221">
        <v>478</v>
      </c>
      <c r="I68" s="248">
        <v>666</v>
      </c>
      <c r="L68" s="140"/>
      <c r="M68" s="27"/>
      <c r="N68" s="27"/>
      <c r="O68" s="27"/>
      <c r="P68" s="140"/>
      <c r="Q68" s="140"/>
      <c r="R68" s="140"/>
      <c r="S68" s="140"/>
      <c r="T68" s="140"/>
      <c r="U68" s="140"/>
      <c r="V68" s="140"/>
      <c r="W68" s="140"/>
      <c r="X68" s="140"/>
      <c r="Y68" s="140"/>
    </row>
    <row r="69" spans="1:25" ht="12.75" thickBot="1" x14ac:dyDescent="0.25">
      <c r="A69" s="423"/>
      <c r="B69" s="235" t="s">
        <v>19</v>
      </c>
      <c r="C69" s="245">
        <f t="shared" ref="C69:I69" si="9">(C68-AVERAGE(C5:C26))/STDEV(C5:C26)</f>
        <v>-1.3792115864830481</v>
      </c>
      <c r="D69" s="245">
        <f t="shared" si="9"/>
        <v>-4.3615614563633391</v>
      </c>
      <c r="E69" s="245">
        <f t="shared" si="9"/>
        <v>-6.3681976363680297</v>
      </c>
      <c r="F69" s="245">
        <f t="shared" si="9"/>
        <v>11.913800276632827</v>
      </c>
      <c r="G69" s="245">
        <f t="shared" si="9"/>
        <v>-5.3239477146213003</v>
      </c>
      <c r="H69" s="245">
        <f t="shared" si="9"/>
        <v>-1.4498871350366707</v>
      </c>
      <c r="I69" s="246">
        <f t="shared" si="9"/>
        <v>1.1791200220970244</v>
      </c>
      <c r="L69" s="140"/>
      <c r="M69" s="27"/>
      <c r="N69" s="27"/>
      <c r="O69" s="27"/>
      <c r="P69" s="140"/>
      <c r="Q69" s="140"/>
      <c r="R69" s="140"/>
      <c r="S69" s="140"/>
      <c r="T69" s="140"/>
      <c r="U69" s="140"/>
      <c r="V69" s="140"/>
      <c r="W69" s="140"/>
      <c r="X69" s="140"/>
      <c r="Y69" s="140"/>
    </row>
    <row r="70" spans="1:25" x14ac:dyDescent="0.2">
      <c r="C70" s="125"/>
      <c r="D70" s="125"/>
      <c r="E70" s="125"/>
      <c r="F70" s="125"/>
      <c r="G70" s="125"/>
      <c r="H70" s="125"/>
      <c r="I70" s="125"/>
      <c r="L70" s="140"/>
      <c r="M70" s="27"/>
      <c r="N70" s="27"/>
      <c r="O70" s="27"/>
      <c r="P70" s="140"/>
    </row>
    <row r="71" spans="1:25" ht="15" customHeight="1" x14ac:dyDescent="0.2">
      <c r="C71" s="125"/>
      <c r="D71" s="125"/>
      <c r="E71" s="125"/>
      <c r="F71" s="125"/>
      <c r="G71" s="125"/>
      <c r="H71" s="125"/>
      <c r="I71" s="125"/>
    </row>
    <row r="72" spans="1:25" ht="15" x14ac:dyDescent="0.2">
      <c r="C72" s="421" t="s">
        <v>144</v>
      </c>
      <c r="D72" s="421"/>
      <c r="E72" s="421"/>
      <c r="F72" s="421"/>
      <c r="G72" s="421"/>
      <c r="H72" s="421"/>
      <c r="I72" s="421"/>
    </row>
    <row r="73" spans="1:25" x14ac:dyDescent="0.2">
      <c r="A73" s="32" t="s">
        <v>140</v>
      </c>
      <c r="B73" s="3" t="s">
        <v>24</v>
      </c>
      <c r="C73" s="1" t="s">
        <v>7</v>
      </c>
      <c r="D73" s="1" t="s">
        <v>1</v>
      </c>
      <c r="E73" s="1" t="s">
        <v>2</v>
      </c>
      <c r="F73" s="1" t="s">
        <v>3</v>
      </c>
      <c r="G73" s="1" t="s">
        <v>4</v>
      </c>
      <c r="H73" s="1" t="s">
        <v>5</v>
      </c>
      <c r="I73" s="1" t="s">
        <v>6</v>
      </c>
    </row>
    <row r="74" spans="1:25" x14ac:dyDescent="0.2">
      <c r="A74" s="225" t="s">
        <v>22</v>
      </c>
      <c r="B74" s="210">
        <v>42493</v>
      </c>
      <c r="C74" s="15">
        <v>8300</v>
      </c>
      <c r="D74" s="15">
        <v>0.87</v>
      </c>
      <c r="E74" s="15">
        <v>86</v>
      </c>
      <c r="F74" s="15">
        <v>87100</v>
      </c>
      <c r="G74" s="15">
        <v>410</v>
      </c>
      <c r="H74" s="15">
        <v>640</v>
      </c>
      <c r="I74" s="15">
        <v>360</v>
      </c>
    </row>
    <row r="75" spans="1:25" x14ac:dyDescent="0.2">
      <c r="A75" s="225" t="s">
        <v>22</v>
      </c>
      <c r="B75" s="210">
        <v>42501</v>
      </c>
      <c r="C75" s="15">
        <v>7000</v>
      </c>
      <c r="D75" s="15">
        <v>0.77</v>
      </c>
      <c r="E75" s="15">
        <v>120</v>
      </c>
      <c r="F75" s="15">
        <v>100000</v>
      </c>
      <c r="G75" s="15">
        <v>470</v>
      </c>
      <c r="H75" s="15">
        <v>540</v>
      </c>
      <c r="I75" s="15">
        <v>350</v>
      </c>
    </row>
    <row r="76" spans="1:25" x14ac:dyDescent="0.2">
      <c r="A76" s="225" t="s">
        <v>22</v>
      </c>
      <c r="B76" s="210">
        <v>42509</v>
      </c>
      <c r="C76" s="15">
        <v>7700</v>
      </c>
      <c r="D76" s="15">
        <v>1.6</v>
      </c>
      <c r="E76" s="15">
        <v>120</v>
      </c>
      <c r="F76" s="15">
        <v>95000</v>
      </c>
      <c r="G76" s="15">
        <v>450</v>
      </c>
      <c r="H76" s="15">
        <v>560</v>
      </c>
      <c r="I76" s="15">
        <v>500</v>
      </c>
    </row>
    <row r="77" spans="1:25" x14ac:dyDescent="0.2">
      <c r="A77" s="225" t="s">
        <v>22</v>
      </c>
      <c r="B77" s="210">
        <v>42516</v>
      </c>
      <c r="C77" s="15">
        <v>7900</v>
      </c>
      <c r="D77" s="15">
        <v>2.1</v>
      </c>
      <c r="E77" s="15">
        <v>130</v>
      </c>
      <c r="F77" s="15">
        <v>79000</v>
      </c>
      <c r="G77" s="15">
        <v>460</v>
      </c>
      <c r="H77" s="15">
        <v>560</v>
      </c>
      <c r="I77" s="15">
        <v>640</v>
      </c>
    </row>
    <row r="78" spans="1:25" x14ac:dyDescent="0.2">
      <c r="A78" s="225" t="s">
        <v>22</v>
      </c>
      <c r="B78" s="210">
        <v>42522</v>
      </c>
      <c r="C78" s="15">
        <v>6700</v>
      </c>
      <c r="D78" s="15">
        <v>2.9</v>
      </c>
      <c r="E78" s="15">
        <v>110</v>
      </c>
      <c r="F78" s="15">
        <v>63000</v>
      </c>
      <c r="G78" s="15">
        <v>290</v>
      </c>
      <c r="H78" s="15">
        <v>470</v>
      </c>
      <c r="I78" s="15">
        <v>870</v>
      </c>
    </row>
    <row r="79" spans="1:25" x14ac:dyDescent="0.2">
      <c r="A79" s="225" t="s">
        <v>22</v>
      </c>
      <c r="B79" s="210">
        <v>42527</v>
      </c>
      <c r="C79" s="15">
        <v>9000</v>
      </c>
      <c r="D79" s="15">
        <v>1.4</v>
      </c>
      <c r="E79" s="15">
        <v>89</v>
      </c>
      <c r="F79" s="15">
        <v>71000</v>
      </c>
      <c r="G79" s="15">
        <v>360</v>
      </c>
      <c r="H79" s="15">
        <v>920</v>
      </c>
      <c r="I79" s="15">
        <v>410</v>
      </c>
    </row>
    <row r="80" spans="1:25" x14ac:dyDescent="0.2">
      <c r="A80" s="225" t="s">
        <v>22</v>
      </c>
      <c r="B80" s="210">
        <v>42528</v>
      </c>
      <c r="C80" s="15">
        <v>6800</v>
      </c>
      <c r="D80" s="15">
        <v>1.8</v>
      </c>
      <c r="E80" s="15">
        <v>93</v>
      </c>
      <c r="F80" s="15">
        <v>63000</v>
      </c>
      <c r="G80" s="15">
        <v>340</v>
      </c>
      <c r="H80" s="15">
        <v>690</v>
      </c>
      <c r="I80" s="15">
        <v>510</v>
      </c>
    </row>
    <row r="81" spans="1:9" x14ac:dyDescent="0.2">
      <c r="A81" s="225" t="s">
        <v>22</v>
      </c>
      <c r="B81" s="210">
        <v>42536</v>
      </c>
      <c r="C81" s="15">
        <v>7900</v>
      </c>
      <c r="D81" s="15">
        <v>3.3</v>
      </c>
      <c r="E81" s="15">
        <v>72</v>
      </c>
      <c r="F81" s="15">
        <v>54000</v>
      </c>
      <c r="G81" s="15">
        <v>310</v>
      </c>
      <c r="H81" s="15">
        <v>800</v>
      </c>
      <c r="I81" s="15">
        <v>980</v>
      </c>
    </row>
    <row r="82" spans="1:9" x14ac:dyDescent="0.2">
      <c r="A82" s="225"/>
      <c r="B82" s="210"/>
      <c r="C82" s="15"/>
      <c r="D82" s="15"/>
      <c r="E82" s="15"/>
      <c r="F82" s="15"/>
      <c r="G82" s="15"/>
      <c r="H82" s="15"/>
      <c r="I82" s="15"/>
    </row>
    <row r="83" spans="1:9" ht="18" x14ac:dyDescent="0.2">
      <c r="C83" s="421" t="s">
        <v>179</v>
      </c>
      <c r="D83" s="421"/>
      <c r="E83" s="421"/>
      <c r="F83" s="421"/>
      <c r="G83" s="421"/>
      <c r="H83" s="421"/>
      <c r="I83" s="421"/>
    </row>
    <row r="84" spans="1:9" x14ac:dyDescent="0.2">
      <c r="A84" s="225" t="s">
        <v>22</v>
      </c>
      <c r="B84" s="210">
        <v>42493</v>
      </c>
      <c r="C84" s="253">
        <f>LOG10(C74)</f>
        <v>3.9190780923760737</v>
      </c>
      <c r="D84" s="253">
        <f t="shared" ref="D84:I84" si="10">LOG10(D74)</f>
        <v>-6.0480747381381476E-2</v>
      </c>
      <c r="E84" s="253">
        <f t="shared" si="10"/>
        <v>1.9344984512435677</v>
      </c>
      <c r="F84" s="253">
        <f t="shared" si="10"/>
        <v>4.9400181550076629</v>
      </c>
      <c r="G84" s="253">
        <f t="shared" si="10"/>
        <v>2.6127838567197355</v>
      </c>
      <c r="H84" s="253">
        <f t="shared" si="10"/>
        <v>2.8061799739838871</v>
      </c>
      <c r="I84" s="253">
        <f t="shared" si="10"/>
        <v>2.5563025007672873</v>
      </c>
    </row>
    <row r="85" spans="1:9" x14ac:dyDescent="0.2">
      <c r="A85" s="225" t="s">
        <v>22</v>
      </c>
      <c r="B85" s="210">
        <v>42501</v>
      </c>
      <c r="C85" s="253">
        <f t="shared" ref="C85:I91" si="11">LOG10(C75)</f>
        <v>3.8450980400142569</v>
      </c>
      <c r="D85" s="253">
        <f t="shared" si="11"/>
        <v>-0.11350927482751812</v>
      </c>
      <c r="E85" s="253">
        <f t="shared" si="11"/>
        <v>2.0791812460476247</v>
      </c>
      <c r="F85" s="253">
        <f t="shared" si="11"/>
        <v>5</v>
      </c>
      <c r="G85" s="253">
        <f t="shared" si="11"/>
        <v>2.6720978579357175</v>
      </c>
      <c r="H85" s="253">
        <f t="shared" si="11"/>
        <v>2.7323937598229686</v>
      </c>
      <c r="I85" s="253">
        <f t="shared" si="11"/>
        <v>2.5440680443502757</v>
      </c>
    </row>
    <row r="86" spans="1:9" x14ac:dyDescent="0.2">
      <c r="A86" s="225" t="s">
        <v>22</v>
      </c>
      <c r="B86" s="210">
        <v>42509</v>
      </c>
      <c r="C86" s="253">
        <f t="shared" si="11"/>
        <v>3.8864907251724818</v>
      </c>
      <c r="D86" s="253">
        <f t="shared" si="11"/>
        <v>0.20411998265592479</v>
      </c>
      <c r="E86" s="253">
        <f t="shared" si="11"/>
        <v>2.0791812460476247</v>
      </c>
      <c r="F86" s="253">
        <f t="shared" si="11"/>
        <v>4.9777236052888476</v>
      </c>
      <c r="G86" s="253">
        <f t="shared" si="11"/>
        <v>2.6532125137753435</v>
      </c>
      <c r="H86" s="253">
        <f t="shared" si="11"/>
        <v>2.7481880270062002</v>
      </c>
      <c r="I86" s="253">
        <f t="shared" si="11"/>
        <v>2.6989700043360187</v>
      </c>
    </row>
    <row r="87" spans="1:9" x14ac:dyDescent="0.2">
      <c r="A87" s="225" t="s">
        <v>22</v>
      </c>
      <c r="B87" s="210">
        <v>42516</v>
      </c>
      <c r="C87" s="253">
        <f t="shared" si="11"/>
        <v>3.8976270912904414</v>
      </c>
      <c r="D87" s="253">
        <f t="shared" si="11"/>
        <v>0.3222192947339193</v>
      </c>
      <c r="E87" s="253">
        <f t="shared" si="11"/>
        <v>2.1139433523068369</v>
      </c>
      <c r="F87" s="253">
        <f t="shared" si="11"/>
        <v>4.8976270912904418</v>
      </c>
      <c r="G87" s="253">
        <f t="shared" si="11"/>
        <v>2.6627578316815739</v>
      </c>
      <c r="H87" s="253">
        <f t="shared" si="11"/>
        <v>2.7481880270062002</v>
      </c>
      <c r="I87" s="253">
        <f t="shared" si="11"/>
        <v>2.8061799739838871</v>
      </c>
    </row>
    <row r="88" spans="1:9" x14ac:dyDescent="0.2">
      <c r="A88" s="225" t="s">
        <v>22</v>
      </c>
      <c r="B88" s="210">
        <v>42522</v>
      </c>
      <c r="C88" s="253">
        <f t="shared" si="11"/>
        <v>3.8260748027008264</v>
      </c>
      <c r="D88" s="253">
        <f t="shared" si="11"/>
        <v>0.46239799789895608</v>
      </c>
      <c r="E88" s="253">
        <f t="shared" si="11"/>
        <v>2.0413926851582249</v>
      </c>
      <c r="F88" s="253">
        <f t="shared" si="11"/>
        <v>4.7993405494535821</v>
      </c>
      <c r="G88" s="253">
        <f t="shared" si="11"/>
        <v>2.4623979978989561</v>
      </c>
      <c r="H88" s="253">
        <f t="shared" si="11"/>
        <v>2.6720978579357175</v>
      </c>
      <c r="I88" s="253">
        <f t="shared" si="11"/>
        <v>2.9395192526186187</v>
      </c>
    </row>
    <row r="89" spans="1:9" x14ac:dyDescent="0.2">
      <c r="A89" s="225" t="s">
        <v>22</v>
      </c>
      <c r="B89" s="210">
        <v>42527</v>
      </c>
      <c r="C89" s="253">
        <f t="shared" si="11"/>
        <v>3.9542425094393248</v>
      </c>
      <c r="D89" s="253">
        <f t="shared" si="11"/>
        <v>0.14612803567823801</v>
      </c>
      <c r="E89" s="253">
        <f t="shared" si="11"/>
        <v>1.9493900066449128</v>
      </c>
      <c r="F89" s="253">
        <f t="shared" si="11"/>
        <v>4.8512583487190755</v>
      </c>
      <c r="G89" s="253">
        <f t="shared" si="11"/>
        <v>2.5563025007672873</v>
      </c>
      <c r="H89" s="253">
        <f t="shared" si="11"/>
        <v>2.9637878273455551</v>
      </c>
      <c r="I89" s="253">
        <f t="shared" si="11"/>
        <v>2.6127838567197355</v>
      </c>
    </row>
    <row r="90" spans="1:9" x14ac:dyDescent="0.2">
      <c r="A90" s="225" t="s">
        <v>22</v>
      </c>
      <c r="B90" s="210">
        <v>42528</v>
      </c>
      <c r="C90" s="253">
        <f t="shared" si="11"/>
        <v>3.8325089127062362</v>
      </c>
      <c r="D90" s="253">
        <f t="shared" si="11"/>
        <v>0.25527250510330607</v>
      </c>
      <c r="E90" s="253">
        <f t="shared" si="11"/>
        <v>1.968482948553935</v>
      </c>
      <c r="F90" s="253">
        <f t="shared" si="11"/>
        <v>4.7993405494535821</v>
      </c>
      <c r="G90" s="253">
        <f t="shared" si="11"/>
        <v>2.5314789170422549</v>
      </c>
      <c r="H90" s="253">
        <f t="shared" si="11"/>
        <v>2.8388490907372552</v>
      </c>
      <c r="I90" s="253">
        <f t="shared" si="11"/>
        <v>2.7075701760979363</v>
      </c>
    </row>
    <row r="91" spans="1:9" x14ac:dyDescent="0.2">
      <c r="A91" s="225" t="s">
        <v>22</v>
      </c>
      <c r="B91" s="210">
        <v>42536</v>
      </c>
      <c r="C91" s="253">
        <f t="shared" si="11"/>
        <v>3.8976270912904414</v>
      </c>
      <c r="D91" s="253">
        <f t="shared" si="11"/>
        <v>0.51851393987788741</v>
      </c>
      <c r="E91" s="253">
        <f t="shared" si="11"/>
        <v>1.8573324964312685</v>
      </c>
      <c r="F91" s="253">
        <f t="shared" si="11"/>
        <v>4.7323937598229682</v>
      </c>
      <c r="G91" s="253">
        <f t="shared" si="11"/>
        <v>2.4913616938342726</v>
      </c>
      <c r="H91" s="253">
        <f t="shared" si="11"/>
        <v>2.9030899869919438</v>
      </c>
      <c r="I91" s="253">
        <f t="shared" si="11"/>
        <v>2.9912260756924947</v>
      </c>
    </row>
    <row r="92" spans="1:9" ht="12.75" thickBot="1" x14ac:dyDescent="0.25"/>
    <row r="93" spans="1:9" ht="15" customHeight="1" x14ac:dyDescent="0.2">
      <c r="A93" s="241"/>
      <c r="B93" s="229" t="s">
        <v>211</v>
      </c>
      <c r="C93" s="238" t="s">
        <v>7</v>
      </c>
      <c r="D93" s="238" t="s">
        <v>1</v>
      </c>
      <c r="E93" s="238" t="s">
        <v>2</v>
      </c>
      <c r="F93" s="238" t="s">
        <v>3</v>
      </c>
      <c r="G93" s="238" t="s">
        <v>4</v>
      </c>
      <c r="H93" s="238" t="s">
        <v>5</v>
      </c>
      <c r="I93" s="239" t="s">
        <v>6</v>
      </c>
    </row>
    <row r="94" spans="1:9" ht="32.25" customHeight="1" x14ac:dyDescent="0.2">
      <c r="A94" s="419" t="s">
        <v>152</v>
      </c>
      <c r="B94" s="16" t="s">
        <v>174</v>
      </c>
      <c r="C94" s="208">
        <f>10^AVERAGE(C84:C91)</f>
        <v>7626.818443448883</v>
      </c>
      <c r="D94" s="209">
        <f t="shared" ref="D94:I94" si="12">10^AVERAGE(D84:D91)</f>
        <v>1.6475276680053017</v>
      </c>
      <c r="E94" s="208">
        <f t="shared" si="12"/>
        <v>100.67584977693467</v>
      </c>
      <c r="F94" s="208">
        <f t="shared" si="12"/>
        <v>74939.839285519847</v>
      </c>
      <c r="G94" s="208">
        <f t="shared" si="12"/>
        <v>380.45136463806659</v>
      </c>
      <c r="H94" s="208">
        <f t="shared" si="12"/>
        <v>633.28152573668444</v>
      </c>
      <c r="I94" s="234">
        <f t="shared" si="12"/>
        <v>539.60688903425864</v>
      </c>
    </row>
    <row r="95" spans="1:9" x14ac:dyDescent="0.2">
      <c r="A95" s="419"/>
      <c r="B95" s="16" t="s">
        <v>147</v>
      </c>
      <c r="C95" s="230">
        <f>STDEV(C74:C81)/SQRT(8)</f>
        <v>280.9025631780529</v>
      </c>
      <c r="D95" s="230">
        <f t="shared" ref="D95:I95" si="13">STDEV(D74:D81)/SQRT(8)</f>
        <v>0.31795524168392875</v>
      </c>
      <c r="E95" s="230">
        <f t="shared" si="13"/>
        <v>7.1962291712892448</v>
      </c>
      <c r="F95" s="230">
        <f t="shared" si="13"/>
        <v>5846.410299735825</v>
      </c>
      <c r="G95" s="230">
        <f t="shared" si="13"/>
        <v>24.99553531561758</v>
      </c>
      <c r="H95" s="230">
        <f t="shared" si="13"/>
        <v>53.075081589332349</v>
      </c>
      <c r="I95" s="231">
        <f t="shared" si="13"/>
        <v>83.361304829381979</v>
      </c>
    </row>
    <row r="96" spans="1:9" ht="12.75" thickBot="1" x14ac:dyDescent="0.25">
      <c r="A96" s="420"/>
      <c r="B96" s="235" t="s">
        <v>153</v>
      </c>
      <c r="C96" s="254"/>
      <c r="D96" s="254"/>
      <c r="E96" s="254"/>
      <c r="F96" s="254"/>
      <c r="G96" s="254"/>
      <c r="H96" s="254"/>
      <c r="I96" s="255"/>
    </row>
    <row r="97" spans="1:9" ht="12.75" thickBot="1" x14ac:dyDescent="0.25"/>
    <row r="98" spans="1:9" ht="15" customHeight="1" x14ac:dyDescent="0.2">
      <c r="A98" s="241"/>
      <c r="B98" s="229" t="s">
        <v>211</v>
      </c>
      <c r="C98" s="238" t="s">
        <v>7</v>
      </c>
      <c r="D98" s="238" t="s">
        <v>1</v>
      </c>
      <c r="E98" s="238" t="s">
        <v>2</v>
      </c>
      <c r="F98" s="238" t="s">
        <v>3</v>
      </c>
      <c r="G98" s="238" t="s">
        <v>4</v>
      </c>
      <c r="H98" s="238" t="s">
        <v>5</v>
      </c>
      <c r="I98" s="239" t="s">
        <v>6</v>
      </c>
    </row>
    <row r="99" spans="1:9" ht="15" customHeight="1" x14ac:dyDescent="0.2">
      <c r="A99" s="419" t="s">
        <v>320</v>
      </c>
      <c r="B99" s="16" t="s">
        <v>174</v>
      </c>
      <c r="C99" s="2">
        <v>5310</v>
      </c>
      <c r="D99" s="2">
        <v>0.59499999999999997</v>
      </c>
      <c r="E99" s="2">
        <v>55.6</v>
      </c>
      <c r="F99" s="2">
        <v>143000</v>
      </c>
      <c r="G99" s="2">
        <v>282</v>
      </c>
      <c r="H99" s="2">
        <v>478</v>
      </c>
      <c r="I99" s="243">
        <v>666</v>
      </c>
    </row>
    <row r="100" spans="1:9" ht="12.75" thickBot="1" x14ac:dyDescent="0.25">
      <c r="A100" s="420"/>
      <c r="B100" s="235" t="s">
        <v>19</v>
      </c>
      <c r="C100" s="408">
        <f>(C99-AVERAGE(C74:C81))/STDEV(C74:C81)</f>
        <v>-2.9609354288571352</v>
      </c>
      <c r="D100" s="408">
        <f t="shared" ref="D100:I100" si="14">(D99-AVERAGE(D74:D81))/STDEV(D74:D81)</f>
        <v>-1.3871696293768088</v>
      </c>
      <c r="E100" s="408">
        <f t="shared" si="14"/>
        <v>-2.3042142800260268</v>
      </c>
      <c r="F100" s="408">
        <f t="shared" si="14"/>
        <v>4.0207374870922878</v>
      </c>
      <c r="G100" s="408">
        <f t="shared" si="14"/>
        <v>-1.4745809803208896</v>
      </c>
      <c r="H100" s="408">
        <f t="shared" si="14"/>
        <v>-1.1291042408421805</v>
      </c>
      <c r="I100" s="409">
        <f t="shared" si="14"/>
        <v>0.3753477123654172</v>
      </c>
    </row>
    <row r="101" spans="1:9" x14ac:dyDescent="0.2">
      <c r="A101" s="33"/>
    </row>
  </sheetData>
  <sheetProtection algorithmName="SHA-512" hashValue="UArdbMQlK28mHFGg4A14XLxkeLQD7raozkncxMjqhFpG9YffXzyxlXopJ8wVZU7N2kbwSuCXhlP/S2kSjzt6NA==" saltValue="jPGQv7cOQog4zszC/K/Clw==" spinCount="100000" sheet="1" scenarios="1"/>
  <sortState ref="B57:I64">
    <sortCondition ref="B57:B64"/>
  </sortState>
  <mergeCells count="8">
    <mergeCell ref="A99:A100"/>
    <mergeCell ref="C3:I3"/>
    <mergeCell ref="C28:I28"/>
    <mergeCell ref="C83:I83"/>
    <mergeCell ref="A94:A96"/>
    <mergeCell ref="C72:I72"/>
    <mergeCell ref="A65:A69"/>
    <mergeCell ref="A53:A61"/>
  </mergeCells>
  <pageMargins left="0.7" right="0.7" top="0.75" bottom="0.75" header="0.3" footer="0.3"/>
  <pageSetup orientation="portrait" verticalDpi="597"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AJ421"/>
  <sheetViews>
    <sheetView showGridLines="0" topLeftCell="L1" zoomScaleNormal="100" workbookViewId="0">
      <selection activeCell="T10" sqref="T10"/>
    </sheetView>
  </sheetViews>
  <sheetFormatPr defaultColWidth="14.85546875" defaultRowHeight="21" customHeight="1" x14ac:dyDescent="0.25"/>
  <cols>
    <col min="1" max="1" width="14.85546875" style="1"/>
    <col min="2" max="2" width="14.85546875" style="3"/>
    <col min="3" max="9" width="10.5703125" style="1" customWidth="1"/>
    <col min="10" max="10" width="12.140625" style="1" customWidth="1"/>
    <col min="11" max="17" width="11.140625" style="1" customWidth="1"/>
    <col min="18" max="18" width="14.85546875" style="1"/>
    <col min="19" max="19" width="19.140625" style="1" customWidth="1"/>
    <col min="20" max="20" width="15.5703125" style="1" bestFit="1" customWidth="1"/>
    <col min="21" max="21" width="6.85546875" style="1" bestFit="1" customWidth="1"/>
    <col min="22" max="22" width="19.7109375" style="1" customWidth="1"/>
    <col min="23" max="23" width="6.42578125" style="1" bestFit="1" customWidth="1"/>
    <col min="24" max="24" width="11.5703125" style="1" bestFit="1" customWidth="1"/>
    <col min="25" max="25" width="14.42578125" style="1" bestFit="1" customWidth="1"/>
    <col min="26" max="26" width="19.42578125" style="1" customWidth="1"/>
    <col min="27" max="27" width="16.5703125" style="1" customWidth="1"/>
    <col min="28" max="29" width="14.85546875" style="1"/>
    <col min="30" max="36" width="10.7109375" style="1" customWidth="1"/>
    <col min="37" max="16384" width="14.85546875" style="1"/>
  </cols>
  <sheetData>
    <row r="1" spans="1:36" ht="21" customHeight="1" x14ac:dyDescent="0.25">
      <c r="A1" s="269" t="s">
        <v>207</v>
      </c>
      <c r="B1" s="265"/>
      <c r="C1" s="2"/>
      <c r="D1" s="2"/>
      <c r="E1" s="2"/>
      <c r="F1" s="2"/>
      <c r="G1" s="2"/>
      <c r="H1" s="2"/>
      <c r="I1" s="2"/>
      <c r="J1" s="2"/>
      <c r="M1" s="2"/>
      <c r="N1" s="2"/>
      <c r="O1" s="264" t="s">
        <v>192</v>
      </c>
      <c r="P1" s="2"/>
      <c r="Q1" s="2"/>
      <c r="W1" s="41" t="s">
        <v>111</v>
      </c>
    </row>
    <row r="2" spans="1:36" ht="21" customHeight="1" x14ac:dyDescent="0.25">
      <c r="A2" s="269"/>
      <c r="B2" s="265"/>
      <c r="C2" s="2"/>
      <c r="D2" s="2"/>
      <c r="E2" s="2"/>
      <c r="F2" s="2"/>
      <c r="G2" s="2"/>
      <c r="H2" s="2"/>
      <c r="I2" s="2"/>
      <c r="J2" s="2"/>
      <c r="L2" s="264"/>
      <c r="M2" s="2"/>
      <c r="N2" s="2"/>
      <c r="O2" s="2"/>
      <c r="P2" s="2"/>
      <c r="Q2" s="2"/>
      <c r="W2" s="41"/>
    </row>
    <row r="3" spans="1:36" ht="21" customHeight="1" x14ac:dyDescent="0.25">
      <c r="A3" s="432" t="s">
        <v>183</v>
      </c>
      <c r="B3" s="432"/>
      <c r="C3" s="432"/>
      <c r="D3" s="432"/>
      <c r="E3" s="432"/>
      <c r="F3" s="432"/>
      <c r="G3" s="432"/>
      <c r="H3" s="432"/>
      <c r="I3" s="432"/>
      <c r="J3" s="432"/>
      <c r="K3" s="432"/>
      <c r="L3" s="432"/>
      <c r="M3" s="432"/>
      <c r="N3" s="432"/>
      <c r="O3" s="432"/>
      <c r="P3" s="432"/>
      <c r="Q3" s="432"/>
      <c r="S3" s="286" t="s">
        <v>186</v>
      </c>
      <c r="W3" s="41"/>
    </row>
    <row r="4" spans="1:36" ht="21" customHeight="1" x14ac:dyDescent="0.25">
      <c r="A4" s="224"/>
      <c r="B4" s="265"/>
      <c r="C4" s="421" t="s">
        <v>187</v>
      </c>
      <c r="D4" s="421"/>
      <c r="E4" s="421"/>
      <c r="F4" s="421"/>
      <c r="G4" s="421"/>
      <c r="H4" s="421"/>
      <c r="I4" s="421"/>
      <c r="K4" s="421" t="s">
        <v>188</v>
      </c>
      <c r="L4" s="421"/>
      <c r="M4" s="421"/>
      <c r="N4" s="421"/>
      <c r="O4" s="421"/>
      <c r="P4" s="421"/>
      <c r="Q4" s="421"/>
      <c r="W4" s="41"/>
      <c r="AB4" s="425" t="s">
        <v>191</v>
      </c>
      <c r="AC4" s="425"/>
      <c r="AD4" s="425"/>
      <c r="AE4" s="425"/>
      <c r="AF4" s="425"/>
      <c r="AG4" s="425"/>
      <c r="AH4" s="425"/>
      <c r="AI4" s="425"/>
      <c r="AJ4" s="425"/>
    </row>
    <row r="5" spans="1:36" ht="21" customHeight="1" x14ac:dyDescent="0.25">
      <c r="A5" s="1" t="s">
        <v>140</v>
      </c>
      <c r="B5" s="3" t="s">
        <v>138</v>
      </c>
      <c r="C5" s="1" t="s">
        <v>7</v>
      </c>
      <c r="D5" s="1" t="s">
        <v>1</v>
      </c>
      <c r="E5" s="1" t="s">
        <v>2</v>
      </c>
      <c r="F5" s="1" t="s">
        <v>3</v>
      </c>
      <c r="G5" s="1" t="s">
        <v>4</v>
      </c>
      <c r="H5" s="1" t="s">
        <v>5</v>
      </c>
      <c r="I5" s="1" t="s">
        <v>6</v>
      </c>
      <c r="K5" s="1" t="s">
        <v>7</v>
      </c>
      <c r="L5" s="1" t="s">
        <v>1</v>
      </c>
      <c r="M5" s="1" t="s">
        <v>2</v>
      </c>
      <c r="N5" s="1" t="s">
        <v>3</v>
      </c>
      <c r="O5" s="1" t="s">
        <v>4</v>
      </c>
      <c r="P5" s="1" t="s">
        <v>5</v>
      </c>
      <c r="Q5" s="1" t="s">
        <v>6</v>
      </c>
      <c r="S5" s="45" t="s">
        <v>124</v>
      </c>
      <c r="T5" s="41"/>
      <c r="V5" s="41"/>
      <c r="AA5" s="122"/>
      <c r="AD5" s="421" t="s">
        <v>146</v>
      </c>
      <c r="AE5" s="421"/>
      <c r="AF5" s="421"/>
      <c r="AG5" s="421"/>
      <c r="AH5" s="421"/>
      <c r="AI5" s="421"/>
      <c r="AJ5" s="421"/>
    </row>
    <row r="6" spans="1:36" ht="21" customHeight="1" x14ac:dyDescent="0.25">
      <c r="A6" s="18" t="s">
        <v>101</v>
      </c>
      <c r="B6" s="250">
        <v>42227.548611111109</v>
      </c>
      <c r="C6" s="271">
        <v>10200</v>
      </c>
      <c r="D6" s="271">
        <v>2.4</v>
      </c>
      <c r="E6" s="271">
        <v>96</v>
      </c>
      <c r="F6" s="271"/>
      <c r="G6" s="271">
        <v>220</v>
      </c>
      <c r="H6" s="271">
        <v>460</v>
      </c>
      <c r="I6" s="271">
        <v>500</v>
      </c>
      <c r="J6" s="15"/>
      <c r="K6" s="268">
        <f>LOG(C6)</f>
        <v>4.008600171761918</v>
      </c>
      <c r="L6" s="268">
        <f t="shared" ref="L6:Q21" si="0">LOG(D6)</f>
        <v>0.38021124171160603</v>
      </c>
      <c r="M6" s="268">
        <f t="shared" si="0"/>
        <v>1.9822712330395684</v>
      </c>
      <c r="N6" s="268"/>
      <c r="O6" s="268">
        <f t="shared" si="0"/>
        <v>2.3424226808222062</v>
      </c>
      <c r="P6" s="268">
        <f t="shared" si="0"/>
        <v>2.6627578316815739</v>
      </c>
      <c r="Q6" s="268">
        <f t="shared" si="0"/>
        <v>2.6989700043360187</v>
      </c>
      <c r="S6" s="42" t="s">
        <v>8</v>
      </c>
      <c r="T6" s="42" t="s">
        <v>27</v>
      </c>
      <c r="U6" s="42" t="s">
        <v>116</v>
      </c>
      <c r="V6" s="42" t="s">
        <v>189</v>
      </c>
      <c r="W6" s="42" t="s">
        <v>116</v>
      </c>
      <c r="X6" s="42" t="s">
        <v>12</v>
      </c>
      <c r="Y6" s="42" t="s">
        <v>13</v>
      </c>
      <c r="Z6" s="138"/>
      <c r="AA6" s="138"/>
      <c r="AB6" s="1" t="s">
        <v>140</v>
      </c>
      <c r="AC6" s="3" t="s">
        <v>138</v>
      </c>
      <c r="AD6" s="1" t="s">
        <v>7</v>
      </c>
      <c r="AE6" s="1" t="s">
        <v>1</v>
      </c>
      <c r="AF6" s="1" t="s">
        <v>2</v>
      </c>
      <c r="AG6" s="1" t="s">
        <v>3</v>
      </c>
      <c r="AH6" s="1" t="s">
        <v>4</v>
      </c>
      <c r="AI6" s="1" t="s">
        <v>5</v>
      </c>
      <c r="AJ6" s="1" t="s">
        <v>6</v>
      </c>
    </row>
    <row r="7" spans="1:36" ht="15.75" customHeight="1" x14ac:dyDescent="0.25">
      <c r="A7" s="18" t="s">
        <v>101</v>
      </c>
      <c r="B7" s="250">
        <v>42243.625</v>
      </c>
      <c r="C7" s="271">
        <v>14000</v>
      </c>
      <c r="D7" s="271">
        <v>0.34</v>
      </c>
      <c r="E7" s="271">
        <v>67</v>
      </c>
      <c r="F7" s="271">
        <v>49000</v>
      </c>
      <c r="G7" s="271">
        <v>160</v>
      </c>
      <c r="H7" s="271">
        <v>2500</v>
      </c>
      <c r="I7" s="271">
        <v>210</v>
      </c>
      <c r="J7" s="15"/>
      <c r="K7" s="268">
        <f t="shared" ref="K7:Q64" si="1">LOG(C7)</f>
        <v>4.1461280356782382</v>
      </c>
      <c r="L7" s="268">
        <f t="shared" si="0"/>
        <v>-0.46852108295774486</v>
      </c>
      <c r="M7" s="268">
        <f t="shared" si="0"/>
        <v>1.8260748027008264</v>
      </c>
      <c r="N7" s="268">
        <f t="shared" si="0"/>
        <v>4.6901960800285138</v>
      </c>
      <c r="O7" s="268">
        <f t="shared" si="0"/>
        <v>2.2041199826559246</v>
      </c>
      <c r="P7" s="268">
        <f t="shared" si="0"/>
        <v>3.3979400086720375</v>
      </c>
      <c r="Q7" s="268">
        <f t="shared" si="0"/>
        <v>2.3222192947339191</v>
      </c>
      <c r="S7" s="443" t="s">
        <v>7</v>
      </c>
      <c r="T7" s="444">
        <f>C68</f>
        <v>14225.917576074929</v>
      </c>
      <c r="U7" s="444">
        <f>C70</f>
        <v>2245.6589233452169</v>
      </c>
      <c r="V7" s="444">
        <f>C31</f>
        <v>8021.7440113321591</v>
      </c>
      <c r="W7" s="444">
        <f>C33</f>
        <v>474.44016181065615</v>
      </c>
      <c r="X7" s="443">
        <v>1.4999999999999999E-2</v>
      </c>
      <c r="Y7" s="443">
        <v>3.0000000000000001E-3</v>
      </c>
      <c r="Z7" s="138"/>
      <c r="AA7" s="138"/>
      <c r="AB7" s="18" t="s">
        <v>101</v>
      </c>
      <c r="AC7" s="250">
        <v>42227.548611111109</v>
      </c>
      <c r="AD7" s="271">
        <v>10200</v>
      </c>
      <c r="AE7" s="271">
        <v>2.4</v>
      </c>
      <c r="AF7" s="271">
        <v>96</v>
      </c>
      <c r="AG7" s="271"/>
      <c r="AH7" s="271">
        <v>220</v>
      </c>
      <c r="AI7" s="271">
        <v>460</v>
      </c>
      <c r="AJ7" s="271">
        <v>500</v>
      </c>
    </row>
    <row r="8" spans="1:36" ht="15.75" customHeight="1" x14ac:dyDescent="0.25">
      <c r="A8" s="18" t="s">
        <v>101</v>
      </c>
      <c r="B8" s="250">
        <v>42247.590277777781</v>
      </c>
      <c r="C8" s="271">
        <v>7700</v>
      </c>
      <c r="D8" s="271">
        <v>2.4</v>
      </c>
      <c r="E8" s="271">
        <v>210</v>
      </c>
      <c r="F8" s="271">
        <v>40000</v>
      </c>
      <c r="G8" s="271">
        <v>700</v>
      </c>
      <c r="H8" s="271">
        <v>1800</v>
      </c>
      <c r="I8" s="271">
        <v>640</v>
      </c>
      <c r="J8" s="15"/>
      <c r="K8" s="268">
        <f t="shared" si="1"/>
        <v>3.8864907251724818</v>
      </c>
      <c r="L8" s="268">
        <f t="shared" si="0"/>
        <v>0.38021124171160603</v>
      </c>
      <c r="M8" s="268">
        <f t="shared" si="0"/>
        <v>2.3222192947339191</v>
      </c>
      <c r="N8" s="268">
        <f t="shared" si="0"/>
        <v>4.6020599913279625</v>
      </c>
      <c r="O8" s="268">
        <f t="shared" si="0"/>
        <v>2.8450980400142569</v>
      </c>
      <c r="P8" s="268">
        <f t="shared" si="0"/>
        <v>3.255272505103306</v>
      </c>
      <c r="Q8" s="268">
        <f t="shared" si="0"/>
        <v>2.8061799739838871</v>
      </c>
      <c r="S8" s="443" t="s">
        <v>1</v>
      </c>
      <c r="T8" s="445">
        <f>D68</f>
        <v>1.9746275831594655</v>
      </c>
      <c r="U8" s="446">
        <f>D70</f>
        <v>0.35365802691300491</v>
      </c>
      <c r="V8" s="445">
        <f>D31</f>
        <v>1.1127597385157693</v>
      </c>
      <c r="W8" s="446">
        <f>D33</f>
        <v>0.15044692699875514</v>
      </c>
      <c r="X8" s="443">
        <v>0.03</v>
      </c>
      <c r="Y8" s="443">
        <v>4.4999999999999998E-2</v>
      </c>
      <c r="Z8" s="138"/>
      <c r="AA8" s="138"/>
      <c r="AB8" s="18" t="s">
        <v>101</v>
      </c>
      <c r="AC8" s="250">
        <v>42243.625</v>
      </c>
      <c r="AD8" s="271">
        <v>14000</v>
      </c>
      <c r="AE8" s="271">
        <v>0.34</v>
      </c>
      <c r="AF8" s="271">
        <v>67</v>
      </c>
      <c r="AG8" s="271">
        <v>49000</v>
      </c>
      <c r="AH8" s="271">
        <v>160</v>
      </c>
      <c r="AI8" s="271">
        <v>2500</v>
      </c>
      <c r="AJ8" s="271">
        <v>210</v>
      </c>
    </row>
    <row r="9" spans="1:36" ht="15.75" customHeight="1" x14ac:dyDescent="0.25">
      <c r="A9" s="18" t="s">
        <v>101</v>
      </c>
      <c r="B9" s="250">
        <v>42263.541666666664</v>
      </c>
      <c r="C9" s="271">
        <v>6100</v>
      </c>
      <c r="D9" s="271">
        <v>2</v>
      </c>
      <c r="E9" s="271">
        <v>210</v>
      </c>
      <c r="F9" s="271">
        <v>33000</v>
      </c>
      <c r="G9" s="271">
        <v>540</v>
      </c>
      <c r="H9" s="271">
        <v>1100</v>
      </c>
      <c r="I9" s="271">
        <v>530</v>
      </c>
      <c r="J9" s="15"/>
      <c r="K9" s="268">
        <f t="shared" si="1"/>
        <v>3.7853298350107671</v>
      </c>
      <c r="L9" s="268">
        <f t="shared" si="0"/>
        <v>0.3010299956639812</v>
      </c>
      <c r="M9" s="268">
        <f t="shared" si="0"/>
        <v>2.3222192947339191</v>
      </c>
      <c r="N9" s="268">
        <f t="shared" si="0"/>
        <v>4.5185139398778871</v>
      </c>
      <c r="O9" s="268">
        <f t="shared" si="0"/>
        <v>2.7323937598229686</v>
      </c>
      <c r="P9" s="268">
        <f t="shared" si="0"/>
        <v>3.0413926851582249</v>
      </c>
      <c r="Q9" s="268">
        <f t="shared" si="0"/>
        <v>2.7242758696007892</v>
      </c>
      <c r="S9" s="55" t="s">
        <v>2</v>
      </c>
      <c r="T9" s="54">
        <f>E68</f>
        <v>132.4888016098806</v>
      </c>
      <c r="U9" s="54">
        <f>E70</f>
        <v>16.692800843477425</v>
      </c>
      <c r="V9" s="54">
        <f>E31</f>
        <v>120.80339016014172</v>
      </c>
      <c r="W9" s="54">
        <v>15.03204304095239</v>
      </c>
      <c r="X9" s="55">
        <v>0.6</v>
      </c>
      <c r="Y9" s="55">
        <v>0.45</v>
      </c>
      <c r="Z9" s="138"/>
      <c r="AA9" s="138"/>
      <c r="AB9" s="18" t="s">
        <v>101</v>
      </c>
      <c r="AC9" s="250">
        <v>42247.590277777781</v>
      </c>
      <c r="AD9" s="271">
        <v>7700</v>
      </c>
      <c r="AE9" s="271">
        <v>2.4</v>
      </c>
      <c r="AF9" s="271">
        <v>210</v>
      </c>
      <c r="AG9" s="271">
        <v>40000</v>
      </c>
      <c r="AH9" s="271">
        <v>700</v>
      </c>
      <c r="AI9" s="271">
        <v>1800</v>
      </c>
      <c r="AJ9" s="271">
        <v>640</v>
      </c>
    </row>
    <row r="10" spans="1:36" ht="15.75" customHeight="1" x14ac:dyDescent="0.25">
      <c r="A10" s="18" t="s">
        <v>101</v>
      </c>
      <c r="B10" s="250">
        <v>42263.541666666664</v>
      </c>
      <c r="C10" s="271">
        <v>6100</v>
      </c>
      <c r="D10" s="271">
        <v>2</v>
      </c>
      <c r="E10" s="271">
        <v>210</v>
      </c>
      <c r="F10" s="271">
        <v>33000</v>
      </c>
      <c r="G10" s="271">
        <v>540</v>
      </c>
      <c r="H10" s="271">
        <v>1100</v>
      </c>
      <c r="I10" s="271">
        <v>530</v>
      </c>
      <c r="J10" s="15"/>
      <c r="K10" s="268">
        <f t="shared" si="1"/>
        <v>3.7853298350107671</v>
      </c>
      <c r="L10" s="268">
        <f t="shared" si="0"/>
        <v>0.3010299956639812</v>
      </c>
      <c r="M10" s="268">
        <f t="shared" si="0"/>
        <v>2.3222192947339191</v>
      </c>
      <c r="N10" s="268">
        <f t="shared" si="0"/>
        <v>4.5185139398778871</v>
      </c>
      <c r="O10" s="268">
        <f t="shared" si="0"/>
        <v>2.7323937598229686</v>
      </c>
      <c r="P10" s="268">
        <f t="shared" si="0"/>
        <v>3.0413926851582249</v>
      </c>
      <c r="Q10" s="268">
        <f t="shared" si="0"/>
        <v>2.7242758696007892</v>
      </c>
      <c r="S10" s="443" t="s">
        <v>3</v>
      </c>
      <c r="T10" s="444">
        <f>F68</f>
        <v>54240.881812754247</v>
      </c>
      <c r="U10" s="444">
        <f>F70</f>
        <v>5687.7587853213327</v>
      </c>
      <c r="V10" s="444">
        <f>F31</f>
        <v>37866.121186471348</v>
      </c>
      <c r="W10" s="444">
        <f>F33</f>
        <v>1471.2667502326472</v>
      </c>
      <c r="X10" s="443">
        <v>0.02</v>
      </c>
      <c r="Y10" s="443">
        <v>2E-3</v>
      </c>
      <c r="Z10" s="138"/>
      <c r="AA10" s="138"/>
      <c r="AB10" s="18" t="s">
        <v>101</v>
      </c>
      <c r="AC10" s="250">
        <v>42263.541666666664</v>
      </c>
      <c r="AD10" s="271">
        <v>6100</v>
      </c>
      <c r="AE10" s="271">
        <v>2</v>
      </c>
      <c r="AF10" s="271">
        <v>210</v>
      </c>
      <c r="AG10" s="271">
        <v>33000</v>
      </c>
      <c r="AH10" s="271">
        <v>540</v>
      </c>
      <c r="AI10" s="271">
        <v>1100</v>
      </c>
      <c r="AJ10" s="271">
        <v>530</v>
      </c>
    </row>
    <row r="11" spans="1:36" ht="15.75" customHeight="1" x14ac:dyDescent="0.25">
      <c r="A11" s="18" t="s">
        <v>101</v>
      </c>
      <c r="B11" s="250">
        <v>42264.559027777781</v>
      </c>
      <c r="C11" s="271">
        <v>7600</v>
      </c>
      <c r="D11" s="271">
        <v>2.4</v>
      </c>
      <c r="E11" s="271">
        <v>200</v>
      </c>
      <c r="F11" s="271">
        <v>42000</v>
      </c>
      <c r="G11" s="271">
        <v>580</v>
      </c>
      <c r="H11" s="271">
        <v>1000</v>
      </c>
      <c r="I11" s="271">
        <v>540</v>
      </c>
      <c r="J11" s="15"/>
      <c r="K11" s="268">
        <f t="shared" si="1"/>
        <v>3.8808135922807914</v>
      </c>
      <c r="L11" s="268">
        <f t="shared" si="0"/>
        <v>0.38021124171160603</v>
      </c>
      <c r="M11" s="268">
        <f t="shared" si="0"/>
        <v>2.3010299956639813</v>
      </c>
      <c r="N11" s="268">
        <f t="shared" si="0"/>
        <v>4.6232492903979008</v>
      </c>
      <c r="O11" s="268">
        <f t="shared" si="0"/>
        <v>2.7634279935629373</v>
      </c>
      <c r="P11" s="268">
        <f t="shared" si="0"/>
        <v>3</v>
      </c>
      <c r="Q11" s="268">
        <f t="shared" si="0"/>
        <v>2.7323937598229686</v>
      </c>
      <c r="S11" s="218" t="s">
        <v>4</v>
      </c>
      <c r="T11" s="219">
        <f>G68</f>
        <v>466.45419388041404</v>
      </c>
      <c r="U11" s="219">
        <f>G70</f>
        <v>48.605966711917191</v>
      </c>
      <c r="V11" s="219">
        <f>G31</f>
        <v>309.52944808339396</v>
      </c>
      <c r="W11" s="219">
        <f>G33</f>
        <v>35.247620153503071</v>
      </c>
      <c r="X11" s="218">
        <v>0.02</v>
      </c>
      <c r="Y11" s="218">
        <v>0.12</v>
      </c>
      <c r="Z11" s="138"/>
      <c r="AA11" s="138"/>
      <c r="AB11" s="18" t="s">
        <v>101</v>
      </c>
      <c r="AC11" s="250">
        <v>42263.541666666664</v>
      </c>
      <c r="AD11" s="271">
        <v>6100</v>
      </c>
      <c r="AE11" s="271">
        <v>2</v>
      </c>
      <c r="AF11" s="271">
        <v>210</v>
      </c>
      <c r="AG11" s="271">
        <v>33000</v>
      </c>
      <c r="AH11" s="271">
        <v>540</v>
      </c>
      <c r="AI11" s="271">
        <v>1100</v>
      </c>
      <c r="AJ11" s="271">
        <v>530</v>
      </c>
    </row>
    <row r="12" spans="1:36" ht="15.75" customHeight="1" x14ac:dyDescent="0.25">
      <c r="A12" s="18" t="s">
        <v>101</v>
      </c>
      <c r="B12" s="250">
        <v>42264.559027777781</v>
      </c>
      <c r="C12" s="271">
        <v>7600</v>
      </c>
      <c r="D12" s="271">
        <v>2.4</v>
      </c>
      <c r="E12" s="271">
        <v>200</v>
      </c>
      <c r="F12" s="271">
        <v>42000</v>
      </c>
      <c r="G12" s="271">
        <v>580</v>
      </c>
      <c r="H12" s="271">
        <v>1000</v>
      </c>
      <c r="I12" s="271">
        <v>540</v>
      </c>
      <c r="J12" s="15"/>
      <c r="K12" s="268">
        <f t="shared" si="1"/>
        <v>3.8808135922807914</v>
      </c>
      <c r="L12" s="268">
        <f t="shared" si="0"/>
        <v>0.38021124171160603</v>
      </c>
      <c r="M12" s="268">
        <f t="shared" si="0"/>
        <v>2.3010299956639813</v>
      </c>
      <c r="N12" s="268">
        <f t="shared" si="0"/>
        <v>4.6232492903979008</v>
      </c>
      <c r="O12" s="268">
        <f t="shared" si="0"/>
        <v>2.7634279935629373</v>
      </c>
      <c r="P12" s="268">
        <f t="shared" si="0"/>
        <v>3</v>
      </c>
      <c r="Q12" s="268">
        <f t="shared" si="0"/>
        <v>2.7323937598229686</v>
      </c>
      <c r="S12" s="218" t="s">
        <v>5</v>
      </c>
      <c r="T12" s="219">
        <f>H68</f>
        <v>1947.6432258239593</v>
      </c>
      <c r="U12" s="219">
        <f>H70</f>
        <v>412.50454542950189</v>
      </c>
      <c r="V12" s="219">
        <f>H31</f>
        <v>1240.4433126493957</v>
      </c>
      <c r="W12" s="219">
        <f>H33</f>
        <v>100.27353380655492</v>
      </c>
      <c r="X12" s="218">
        <v>7.0000000000000007E-2</v>
      </c>
      <c r="Y12" s="218">
        <v>4.4999999999999998E-2</v>
      </c>
      <c r="Z12" s="138"/>
      <c r="AA12" s="138"/>
      <c r="AB12" s="18" t="s">
        <v>101</v>
      </c>
      <c r="AC12" s="250">
        <v>42264.559027777781</v>
      </c>
      <c r="AD12" s="271">
        <v>7600</v>
      </c>
      <c r="AE12" s="271">
        <v>2.4</v>
      </c>
      <c r="AF12" s="271">
        <v>200</v>
      </c>
      <c r="AG12" s="271">
        <v>42000</v>
      </c>
      <c r="AH12" s="271">
        <v>580</v>
      </c>
      <c r="AI12" s="271">
        <v>1000</v>
      </c>
      <c r="AJ12" s="271">
        <v>540</v>
      </c>
    </row>
    <row r="13" spans="1:36" ht="15.75" customHeight="1" x14ac:dyDescent="0.25">
      <c r="A13" s="18" t="s">
        <v>101</v>
      </c>
      <c r="B13" s="250">
        <v>42266.635416666664</v>
      </c>
      <c r="C13" s="271">
        <v>9900</v>
      </c>
      <c r="D13" s="271">
        <v>0.88</v>
      </c>
      <c r="E13" s="271">
        <v>130</v>
      </c>
      <c r="F13" s="271">
        <v>44000</v>
      </c>
      <c r="G13" s="271">
        <v>200</v>
      </c>
      <c r="H13" s="271">
        <v>1200</v>
      </c>
      <c r="I13" s="271">
        <v>440</v>
      </c>
      <c r="J13" s="15"/>
      <c r="K13" s="268">
        <f t="shared" si="1"/>
        <v>3.9956351945975501</v>
      </c>
      <c r="L13" s="268">
        <f t="shared" si="0"/>
        <v>-5.551732784983137E-2</v>
      </c>
      <c r="M13" s="268">
        <f t="shared" si="0"/>
        <v>2.1139433523068369</v>
      </c>
      <c r="N13" s="268">
        <f t="shared" si="0"/>
        <v>4.6434526764861879</v>
      </c>
      <c r="O13" s="268">
        <f t="shared" si="0"/>
        <v>2.3010299956639813</v>
      </c>
      <c r="P13" s="268">
        <f t="shared" si="0"/>
        <v>3.0791812460476247</v>
      </c>
      <c r="Q13" s="268">
        <f t="shared" si="0"/>
        <v>2.6434526764861874</v>
      </c>
      <c r="S13" s="447" t="s">
        <v>6</v>
      </c>
      <c r="T13" s="448">
        <f>I68</f>
        <v>629.15533572467848</v>
      </c>
      <c r="U13" s="448">
        <f>I70</f>
        <v>78.655196903955371</v>
      </c>
      <c r="V13" s="448">
        <f>I31</f>
        <v>392.44096307220275</v>
      </c>
      <c r="W13" s="448">
        <f>I33</f>
        <v>28.285662607929456</v>
      </c>
      <c r="X13" s="447">
        <v>0.02</v>
      </c>
      <c r="Y13" s="447">
        <v>0.01</v>
      </c>
      <c r="Z13" s="138"/>
      <c r="AA13" s="138"/>
      <c r="AB13" s="18" t="s">
        <v>101</v>
      </c>
      <c r="AC13" s="250">
        <v>42264.559027777781</v>
      </c>
      <c r="AD13" s="271">
        <v>7600</v>
      </c>
      <c r="AE13" s="271">
        <v>2.4</v>
      </c>
      <c r="AF13" s="271">
        <v>200</v>
      </c>
      <c r="AG13" s="271">
        <v>42000</v>
      </c>
      <c r="AH13" s="271">
        <v>580</v>
      </c>
      <c r="AI13" s="271">
        <v>1000</v>
      </c>
      <c r="AJ13" s="271">
        <v>540</v>
      </c>
    </row>
    <row r="14" spans="1:36" ht="15.75" customHeight="1" x14ac:dyDescent="0.25">
      <c r="A14" s="18" t="s">
        <v>101</v>
      </c>
      <c r="B14" s="250">
        <v>42266.635416666664</v>
      </c>
      <c r="C14" s="271">
        <v>9900</v>
      </c>
      <c r="D14" s="271">
        <v>0.88</v>
      </c>
      <c r="E14" s="271">
        <v>130</v>
      </c>
      <c r="F14" s="271">
        <v>44000</v>
      </c>
      <c r="G14" s="271">
        <v>200</v>
      </c>
      <c r="H14" s="271">
        <v>1200</v>
      </c>
      <c r="I14" s="271">
        <v>440</v>
      </c>
      <c r="J14" s="15"/>
      <c r="K14" s="268">
        <f t="shared" si="1"/>
        <v>3.9956351945975501</v>
      </c>
      <c r="L14" s="268">
        <f t="shared" si="0"/>
        <v>-5.551732784983137E-2</v>
      </c>
      <c r="M14" s="268">
        <f t="shared" si="0"/>
        <v>2.1139433523068369</v>
      </c>
      <c r="N14" s="268">
        <f t="shared" si="0"/>
        <v>4.6434526764861879</v>
      </c>
      <c r="O14" s="268">
        <f t="shared" si="0"/>
        <v>2.3010299956639813</v>
      </c>
      <c r="P14" s="268">
        <f t="shared" si="0"/>
        <v>3.0791812460476247</v>
      </c>
      <c r="Q14" s="268">
        <f t="shared" si="0"/>
        <v>2.6434526764861874</v>
      </c>
      <c r="S14" s="43" t="s">
        <v>108</v>
      </c>
      <c r="T14" s="44">
        <v>5</v>
      </c>
      <c r="U14" s="44"/>
      <c r="V14" s="44" t="s">
        <v>136</v>
      </c>
      <c r="W14" s="44"/>
      <c r="X14" s="67"/>
      <c r="Y14" s="67"/>
      <c r="AB14" s="18" t="s">
        <v>101</v>
      </c>
      <c r="AC14" s="250">
        <v>42266.635416666664</v>
      </c>
      <c r="AD14" s="271">
        <v>9900</v>
      </c>
      <c r="AE14" s="271">
        <v>0.88</v>
      </c>
      <c r="AF14" s="271">
        <v>130</v>
      </c>
      <c r="AG14" s="271">
        <v>44000</v>
      </c>
      <c r="AH14" s="271">
        <v>200</v>
      </c>
      <c r="AI14" s="271">
        <v>1200</v>
      </c>
      <c r="AJ14" s="271">
        <v>440</v>
      </c>
    </row>
    <row r="15" spans="1:36" ht="21" customHeight="1" x14ac:dyDescent="0.25">
      <c r="A15" s="18" t="s">
        <v>101</v>
      </c>
      <c r="B15" s="250">
        <v>42267.579861111109</v>
      </c>
      <c r="C15" s="271">
        <v>8600</v>
      </c>
      <c r="D15" s="271">
        <v>0.32</v>
      </c>
      <c r="E15" s="271">
        <v>66</v>
      </c>
      <c r="F15" s="271">
        <v>40000</v>
      </c>
      <c r="G15" s="271">
        <v>190</v>
      </c>
      <c r="H15" s="271">
        <v>760</v>
      </c>
      <c r="I15" s="271">
        <v>240</v>
      </c>
      <c r="J15" s="15"/>
      <c r="K15" s="268">
        <f t="shared" si="1"/>
        <v>3.9344984512435679</v>
      </c>
      <c r="L15" s="268">
        <f t="shared" si="0"/>
        <v>-0.49485002168009401</v>
      </c>
      <c r="M15" s="268">
        <f t="shared" si="0"/>
        <v>1.8195439355418688</v>
      </c>
      <c r="N15" s="268">
        <f t="shared" si="0"/>
        <v>4.6020599913279625</v>
      </c>
      <c r="O15" s="268">
        <f t="shared" si="0"/>
        <v>2.2787536009528289</v>
      </c>
      <c r="P15" s="268">
        <f t="shared" si="0"/>
        <v>2.8808135922807914</v>
      </c>
      <c r="Q15" s="268">
        <f t="shared" si="0"/>
        <v>2.3802112417116059</v>
      </c>
      <c r="S15" s="43"/>
      <c r="T15" s="44"/>
      <c r="U15" s="44"/>
      <c r="V15" s="44"/>
      <c r="W15" s="41" t="s">
        <v>111</v>
      </c>
      <c r="X15" s="67"/>
      <c r="Y15" s="67"/>
      <c r="AB15" s="18" t="s">
        <v>101</v>
      </c>
      <c r="AC15" s="250">
        <v>42266.635416666664</v>
      </c>
      <c r="AD15" s="271">
        <v>9900</v>
      </c>
      <c r="AE15" s="271">
        <v>0.88</v>
      </c>
      <c r="AF15" s="271">
        <v>130</v>
      </c>
      <c r="AG15" s="271">
        <v>44000</v>
      </c>
      <c r="AH15" s="271">
        <v>200</v>
      </c>
      <c r="AI15" s="271">
        <v>1200</v>
      </c>
      <c r="AJ15" s="271">
        <v>440</v>
      </c>
    </row>
    <row r="16" spans="1:36" ht="21" customHeight="1" x14ac:dyDescent="0.25">
      <c r="A16" s="18" t="s">
        <v>101</v>
      </c>
      <c r="B16" s="250">
        <v>42267.579861111109</v>
      </c>
      <c r="C16" s="271">
        <v>8600</v>
      </c>
      <c r="D16" s="271">
        <v>0.32</v>
      </c>
      <c r="E16" s="271">
        <v>66</v>
      </c>
      <c r="F16" s="271">
        <v>40000</v>
      </c>
      <c r="G16" s="271">
        <v>190</v>
      </c>
      <c r="H16" s="271">
        <v>760</v>
      </c>
      <c r="I16" s="271">
        <v>240</v>
      </c>
      <c r="J16" s="15"/>
      <c r="K16" s="268">
        <f t="shared" si="1"/>
        <v>3.9344984512435679</v>
      </c>
      <c r="L16" s="268">
        <f t="shared" si="0"/>
        <v>-0.49485002168009401</v>
      </c>
      <c r="M16" s="268">
        <f t="shared" si="0"/>
        <v>1.8195439355418688</v>
      </c>
      <c r="N16" s="268">
        <f t="shared" si="0"/>
        <v>4.6020599913279625</v>
      </c>
      <c r="O16" s="268">
        <f t="shared" si="0"/>
        <v>2.2787536009528289</v>
      </c>
      <c r="P16" s="268">
        <f t="shared" si="0"/>
        <v>2.8808135922807914</v>
      </c>
      <c r="Q16" s="268">
        <f t="shared" si="0"/>
        <v>2.3802112417116059</v>
      </c>
      <c r="S16" s="45" t="s">
        <v>125</v>
      </c>
      <c r="T16" s="41"/>
      <c r="V16" s="41"/>
      <c r="AB16" s="18" t="s">
        <v>101</v>
      </c>
      <c r="AC16" s="250">
        <v>42267.579861111109</v>
      </c>
      <c r="AD16" s="271">
        <v>8600</v>
      </c>
      <c r="AE16" s="271">
        <v>0.32</v>
      </c>
      <c r="AF16" s="271">
        <v>66</v>
      </c>
      <c r="AG16" s="271">
        <v>40000</v>
      </c>
      <c r="AH16" s="271">
        <v>190</v>
      </c>
      <c r="AI16" s="271">
        <v>760</v>
      </c>
      <c r="AJ16" s="271">
        <v>240</v>
      </c>
    </row>
    <row r="17" spans="1:36" ht="21" customHeight="1" x14ac:dyDescent="0.25">
      <c r="A17" s="18" t="s">
        <v>101</v>
      </c>
      <c r="B17" s="250">
        <v>42268.555555555555</v>
      </c>
      <c r="C17" s="271">
        <v>7300</v>
      </c>
      <c r="D17" s="271">
        <v>0.91</v>
      </c>
      <c r="E17" s="271">
        <v>110</v>
      </c>
      <c r="F17" s="271">
        <v>37000</v>
      </c>
      <c r="G17" s="271">
        <v>270</v>
      </c>
      <c r="H17" s="271">
        <v>1600</v>
      </c>
      <c r="I17" s="271">
        <v>380</v>
      </c>
      <c r="J17" s="15"/>
      <c r="K17" s="268">
        <f t="shared" si="1"/>
        <v>3.8633228601204559</v>
      </c>
      <c r="L17" s="268">
        <f t="shared" si="0"/>
        <v>-4.0958607678906384E-2</v>
      </c>
      <c r="M17" s="268">
        <f t="shared" si="0"/>
        <v>2.0413926851582249</v>
      </c>
      <c r="N17" s="268">
        <f t="shared" si="0"/>
        <v>4.568201724066995</v>
      </c>
      <c r="O17" s="268">
        <f t="shared" si="0"/>
        <v>2.4313637641589874</v>
      </c>
      <c r="P17" s="268">
        <f t="shared" si="0"/>
        <v>3.2041199826559246</v>
      </c>
      <c r="Q17" s="268">
        <f t="shared" si="0"/>
        <v>2.5797835966168101</v>
      </c>
      <c r="S17" s="70" t="s">
        <v>8</v>
      </c>
      <c r="T17" s="79" t="s">
        <v>27</v>
      </c>
      <c r="U17" s="80" t="s">
        <v>116</v>
      </c>
      <c r="V17" s="79" t="s">
        <v>181</v>
      </c>
      <c r="W17" s="80" t="s">
        <v>116</v>
      </c>
      <c r="X17" s="70" t="s">
        <v>12</v>
      </c>
      <c r="Y17" s="70" t="s">
        <v>13</v>
      </c>
      <c r="Z17" s="285"/>
      <c r="AB17" s="18" t="s">
        <v>101</v>
      </c>
      <c r="AC17" s="250">
        <v>42267.579861111109</v>
      </c>
      <c r="AD17" s="271">
        <v>8600</v>
      </c>
      <c r="AE17" s="271">
        <v>0.32</v>
      </c>
      <c r="AF17" s="271">
        <v>66</v>
      </c>
      <c r="AG17" s="271">
        <v>40000</v>
      </c>
      <c r="AH17" s="271">
        <v>190</v>
      </c>
      <c r="AI17" s="271">
        <v>760</v>
      </c>
      <c r="AJ17" s="271">
        <v>240</v>
      </c>
    </row>
    <row r="18" spans="1:36" ht="21" customHeight="1" x14ac:dyDescent="0.25">
      <c r="A18" s="18" t="s">
        <v>101</v>
      </c>
      <c r="B18" s="250">
        <v>42268.555555555555</v>
      </c>
      <c r="C18" s="271">
        <v>7300</v>
      </c>
      <c r="D18" s="271">
        <v>0.91</v>
      </c>
      <c r="E18" s="271">
        <v>110</v>
      </c>
      <c r="F18" s="271">
        <v>37000</v>
      </c>
      <c r="G18" s="271">
        <v>270</v>
      </c>
      <c r="H18" s="271">
        <v>1600</v>
      </c>
      <c r="I18" s="271">
        <v>380</v>
      </c>
      <c r="J18" s="15"/>
      <c r="K18" s="268">
        <f t="shared" si="1"/>
        <v>3.8633228601204559</v>
      </c>
      <c r="L18" s="268">
        <f t="shared" si="0"/>
        <v>-4.0958607678906384E-2</v>
      </c>
      <c r="M18" s="268">
        <f t="shared" si="0"/>
        <v>2.0413926851582249</v>
      </c>
      <c r="N18" s="268">
        <f t="shared" si="0"/>
        <v>4.568201724066995</v>
      </c>
      <c r="O18" s="268">
        <f t="shared" si="0"/>
        <v>2.4313637641589874</v>
      </c>
      <c r="P18" s="268">
        <f t="shared" si="0"/>
        <v>3.2041199826559246</v>
      </c>
      <c r="Q18" s="268">
        <f t="shared" si="0"/>
        <v>2.5797835966168101</v>
      </c>
      <c r="S18" s="52" t="s">
        <v>7</v>
      </c>
      <c r="T18" s="53">
        <f>C68</f>
        <v>14225.917576074929</v>
      </c>
      <c r="U18" s="53">
        <f>C70</f>
        <v>2245.6589233452169</v>
      </c>
      <c r="V18" s="53">
        <f>C51</f>
        <v>11075.130332299772</v>
      </c>
      <c r="W18" s="54">
        <f>C53</f>
        <v>1283.7932076467766</v>
      </c>
      <c r="X18" s="52">
        <v>0.24</v>
      </c>
      <c r="Y18" s="52">
        <v>0.44</v>
      </c>
      <c r="Z18" s="2"/>
      <c r="AB18" s="18" t="s">
        <v>101</v>
      </c>
      <c r="AC18" s="250">
        <v>42268.555555555555</v>
      </c>
      <c r="AD18" s="271">
        <v>7300</v>
      </c>
      <c r="AE18" s="271">
        <v>0.91</v>
      </c>
      <c r="AF18" s="271">
        <v>110</v>
      </c>
      <c r="AG18" s="271">
        <v>37000</v>
      </c>
      <c r="AH18" s="271">
        <v>270</v>
      </c>
      <c r="AI18" s="271">
        <v>1600</v>
      </c>
      <c r="AJ18" s="271">
        <v>380</v>
      </c>
    </row>
    <row r="19" spans="1:36" ht="21" customHeight="1" x14ac:dyDescent="0.25">
      <c r="A19" s="18" t="s">
        <v>101</v>
      </c>
      <c r="B19" s="250">
        <v>42271.590277777781</v>
      </c>
      <c r="C19" s="271">
        <v>6300</v>
      </c>
      <c r="D19" s="271">
        <v>0.9</v>
      </c>
      <c r="E19" s="271">
        <v>110</v>
      </c>
      <c r="F19" s="271">
        <v>42000</v>
      </c>
      <c r="G19" s="271">
        <v>300</v>
      </c>
      <c r="H19" s="271">
        <v>1400</v>
      </c>
      <c r="I19" s="271">
        <v>300</v>
      </c>
      <c r="J19" s="15"/>
      <c r="K19" s="268">
        <f t="shared" si="1"/>
        <v>3.7993405494535817</v>
      </c>
      <c r="L19" s="268">
        <f t="shared" si="0"/>
        <v>-4.5757490560675115E-2</v>
      </c>
      <c r="M19" s="268">
        <f t="shared" si="0"/>
        <v>2.0413926851582249</v>
      </c>
      <c r="N19" s="268">
        <f t="shared" si="0"/>
        <v>4.6232492903979008</v>
      </c>
      <c r="O19" s="268">
        <f t="shared" si="0"/>
        <v>2.4771212547196626</v>
      </c>
      <c r="P19" s="268">
        <f t="shared" si="0"/>
        <v>3.1461280356782382</v>
      </c>
      <c r="Q19" s="268">
        <f t="shared" si="0"/>
        <v>2.4771212547196626</v>
      </c>
      <c r="S19" s="55" t="s">
        <v>1</v>
      </c>
      <c r="T19" s="86">
        <f>D68</f>
        <v>1.9746275831594655</v>
      </c>
      <c r="U19" s="62">
        <f>D70</f>
        <v>0.35365802691300491</v>
      </c>
      <c r="V19" s="86">
        <f>D51</f>
        <v>1.1870033267632549</v>
      </c>
      <c r="W19" s="76">
        <f>D53</f>
        <v>0.58121793306322322</v>
      </c>
      <c r="X19" s="55">
        <v>0.31</v>
      </c>
      <c r="Y19" s="55">
        <v>0.62</v>
      </c>
      <c r="AB19" s="18" t="s">
        <v>101</v>
      </c>
      <c r="AC19" s="250">
        <v>42268.555555555555</v>
      </c>
      <c r="AD19" s="271">
        <v>7300</v>
      </c>
      <c r="AE19" s="271">
        <v>0.91</v>
      </c>
      <c r="AF19" s="271">
        <v>110</v>
      </c>
      <c r="AG19" s="271">
        <v>37000</v>
      </c>
      <c r="AH19" s="271">
        <v>270</v>
      </c>
      <c r="AI19" s="271">
        <v>1600</v>
      </c>
      <c r="AJ19" s="271">
        <v>380</v>
      </c>
    </row>
    <row r="20" spans="1:36" ht="21" customHeight="1" x14ac:dyDescent="0.25">
      <c r="A20" s="18" t="s">
        <v>101</v>
      </c>
      <c r="B20" s="250">
        <v>42271.590277777781</v>
      </c>
      <c r="C20" s="271">
        <v>6300</v>
      </c>
      <c r="D20" s="271">
        <v>0.9</v>
      </c>
      <c r="E20" s="271">
        <v>110</v>
      </c>
      <c r="F20" s="271">
        <v>42000</v>
      </c>
      <c r="G20" s="271">
        <v>300</v>
      </c>
      <c r="H20" s="271">
        <v>1400</v>
      </c>
      <c r="I20" s="271">
        <v>300</v>
      </c>
      <c r="J20" s="15"/>
      <c r="K20" s="268">
        <f t="shared" si="1"/>
        <v>3.7993405494535817</v>
      </c>
      <c r="L20" s="268">
        <f t="shared" si="0"/>
        <v>-4.5757490560675115E-2</v>
      </c>
      <c r="M20" s="268">
        <f t="shared" si="0"/>
        <v>2.0413926851582249</v>
      </c>
      <c r="N20" s="268">
        <f t="shared" si="0"/>
        <v>4.6232492903979008</v>
      </c>
      <c r="O20" s="268">
        <f t="shared" si="0"/>
        <v>2.4771212547196626</v>
      </c>
      <c r="P20" s="268">
        <f t="shared" si="0"/>
        <v>3.1461280356782382</v>
      </c>
      <c r="Q20" s="268">
        <f t="shared" si="0"/>
        <v>2.4771212547196626</v>
      </c>
      <c r="S20" s="55" t="s">
        <v>2</v>
      </c>
      <c r="T20" s="53">
        <f>E68</f>
        <v>132.4888016098806</v>
      </c>
      <c r="U20" s="53">
        <f>E70</f>
        <v>16.692800843477425</v>
      </c>
      <c r="V20" s="53">
        <f>E51</f>
        <v>99.670903965371664</v>
      </c>
      <c r="W20" s="54">
        <f>E53</f>
        <v>64.81827274883878</v>
      </c>
      <c r="X20" s="55">
        <v>0.51</v>
      </c>
      <c r="Y20" s="55">
        <v>0.83</v>
      </c>
      <c r="AB20" s="18" t="s">
        <v>101</v>
      </c>
      <c r="AC20" s="250">
        <v>42271.590277777781</v>
      </c>
      <c r="AD20" s="271">
        <v>6300</v>
      </c>
      <c r="AE20" s="271">
        <v>0.9</v>
      </c>
      <c r="AF20" s="271">
        <v>110</v>
      </c>
      <c r="AG20" s="271">
        <v>42000</v>
      </c>
      <c r="AH20" s="271">
        <v>300</v>
      </c>
      <c r="AI20" s="271">
        <v>1400</v>
      </c>
      <c r="AJ20" s="271">
        <v>300</v>
      </c>
    </row>
    <row r="21" spans="1:36" ht="21" customHeight="1" x14ac:dyDescent="0.25">
      <c r="A21" s="18" t="s">
        <v>101</v>
      </c>
      <c r="B21" s="250">
        <v>42275.586805555555</v>
      </c>
      <c r="C21" s="271">
        <v>6900</v>
      </c>
      <c r="D21" s="271">
        <v>1.1000000000000001</v>
      </c>
      <c r="E21" s="271">
        <v>99</v>
      </c>
      <c r="F21" s="271">
        <v>28000</v>
      </c>
      <c r="G21" s="271">
        <v>310</v>
      </c>
      <c r="H21" s="271">
        <v>1900</v>
      </c>
      <c r="I21" s="271">
        <v>380</v>
      </c>
      <c r="J21" s="15"/>
      <c r="K21" s="268">
        <f t="shared" si="1"/>
        <v>3.8388490907372552</v>
      </c>
      <c r="L21" s="268">
        <f t="shared" si="0"/>
        <v>4.1392685158225077E-2</v>
      </c>
      <c r="M21" s="268">
        <f t="shared" si="0"/>
        <v>1.9956351945975499</v>
      </c>
      <c r="N21" s="268">
        <f t="shared" si="0"/>
        <v>4.4471580313422194</v>
      </c>
      <c r="O21" s="268">
        <f t="shared" si="0"/>
        <v>2.4913616938342726</v>
      </c>
      <c r="P21" s="268">
        <f t="shared" si="0"/>
        <v>3.2787536009528289</v>
      </c>
      <c r="Q21" s="268">
        <f t="shared" si="0"/>
        <v>2.5797835966168101</v>
      </c>
      <c r="S21" s="55" t="s">
        <v>3</v>
      </c>
      <c r="T21" s="53">
        <f>F68</f>
        <v>54240.881812754247</v>
      </c>
      <c r="U21" s="53">
        <f>F70</f>
        <v>5687.7587853213327</v>
      </c>
      <c r="V21" s="53">
        <f>F51</f>
        <v>56652.547208691583</v>
      </c>
      <c r="W21" s="54">
        <f>F53</f>
        <v>9478.2410589427691</v>
      </c>
      <c r="X21" s="76">
        <v>0.9</v>
      </c>
      <c r="Y21" s="55">
        <v>0.93</v>
      </c>
      <c r="AB21" s="18" t="s">
        <v>101</v>
      </c>
      <c r="AC21" s="250">
        <v>42271.590277777781</v>
      </c>
      <c r="AD21" s="271">
        <v>6300</v>
      </c>
      <c r="AE21" s="271">
        <v>0.9</v>
      </c>
      <c r="AF21" s="271">
        <v>110</v>
      </c>
      <c r="AG21" s="271">
        <v>42000</v>
      </c>
      <c r="AH21" s="271">
        <v>300</v>
      </c>
      <c r="AI21" s="271">
        <v>1400</v>
      </c>
      <c r="AJ21" s="271">
        <v>300</v>
      </c>
    </row>
    <row r="22" spans="1:36" ht="21" customHeight="1" x14ac:dyDescent="0.25">
      <c r="A22" s="18" t="s">
        <v>101</v>
      </c>
      <c r="B22" s="250">
        <v>42275.586805555555</v>
      </c>
      <c r="C22" s="271">
        <v>6900</v>
      </c>
      <c r="D22" s="271">
        <v>1.1000000000000001</v>
      </c>
      <c r="E22" s="271">
        <v>99</v>
      </c>
      <c r="F22" s="271">
        <v>28000</v>
      </c>
      <c r="G22" s="271">
        <v>310</v>
      </c>
      <c r="H22" s="271">
        <v>1900</v>
      </c>
      <c r="I22" s="271">
        <v>380</v>
      </c>
      <c r="J22" s="15"/>
      <c r="K22" s="268">
        <f t="shared" si="1"/>
        <v>3.8388490907372552</v>
      </c>
      <c r="L22" s="268">
        <f t="shared" si="1"/>
        <v>4.1392685158225077E-2</v>
      </c>
      <c r="M22" s="268">
        <f t="shared" si="1"/>
        <v>1.9956351945975499</v>
      </c>
      <c r="N22" s="268">
        <f t="shared" si="1"/>
        <v>4.4471580313422194</v>
      </c>
      <c r="O22" s="268">
        <f t="shared" si="1"/>
        <v>2.4913616938342726</v>
      </c>
      <c r="P22" s="268">
        <f t="shared" si="1"/>
        <v>3.2787536009528289</v>
      </c>
      <c r="Q22" s="268">
        <f t="shared" si="1"/>
        <v>2.5797835966168101</v>
      </c>
      <c r="R22" s="2"/>
      <c r="S22" s="55" t="s">
        <v>4</v>
      </c>
      <c r="T22" s="53">
        <f>G68</f>
        <v>466.45419388041404</v>
      </c>
      <c r="U22" s="53">
        <f>G70</f>
        <v>48.605966711917191</v>
      </c>
      <c r="V22" s="53">
        <f>G51</f>
        <v>407.54279353971458</v>
      </c>
      <c r="W22" s="54">
        <f>G53</f>
        <v>758.83105591994024</v>
      </c>
      <c r="X22" s="76">
        <v>0.9</v>
      </c>
      <c r="Y22" s="55">
        <v>0.93</v>
      </c>
      <c r="AB22" s="18" t="s">
        <v>101</v>
      </c>
      <c r="AC22" s="250">
        <v>42275.586805555555</v>
      </c>
      <c r="AD22" s="271">
        <v>6900</v>
      </c>
      <c r="AE22" s="271">
        <v>1.1000000000000001</v>
      </c>
      <c r="AF22" s="271">
        <v>99</v>
      </c>
      <c r="AG22" s="271">
        <v>28000</v>
      </c>
      <c r="AH22" s="271">
        <v>310</v>
      </c>
      <c r="AI22" s="271">
        <v>1900</v>
      </c>
      <c r="AJ22" s="271">
        <v>380</v>
      </c>
    </row>
    <row r="23" spans="1:36" ht="21" customHeight="1" x14ac:dyDescent="0.25">
      <c r="A23" s="18" t="s">
        <v>101</v>
      </c>
      <c r="B23" s="250">
        <v>42278.590277777781</v>
      </c>
      <c r="C23" s="271">
        <v>6700</v>
      </c>
      <c r="D23" s="271">
        <v>0.96</v>
      </c>
      <c r="E23" s="271">
        <v>84</v>
      </c>
      <c r="F23" s="271">
        <v>30000</v>
      </c>
      <c r="G23" s="271">
        <v>220</v>
      </c>
      <c r="H23" s="271">
        <v>920</v>
      </c>
      <c r="I23" s="271">
        <v>290</v>
      </c>
      <c r="J23" s="15"/>
      <c r="K23" s="268">
        <f t="shared" si="1"/>
        <v>3.8260748027008264</v>
      </c>
      <c r="L23" s="268">
        <f t="shared" si="1"/>
        <v>-1.7728766960431602E-2</v>
      </c>
      <c r="M23" s="268">
        <f t="shared" si="1"/>
        <v>1.9242792860618816</v>
      </c>
      <c r="N23" s="268">
        <f t="shared" si="1"/>
        <v>4.4771212547196626</v>
      </c>
      <c r="O23" s="268">
        <f t="shared" si="1"/>
        <v>2.3424226808222062</v>
      </c>
      <c r="P23" s="268">
        <f t="shared" si="1"/>
        <v>2.9637878273455551</v>
      </c>
      <c r="Q23" s="268">
        <f t="shared" si="1"/>
        <v>2.4623979978989561</v>
      </c>
      <c r="R23" s="2"/>
      <c r="S23" s="55" t="s">
        <v>5</v>
      </c>
      <c r="T23" s="53">
        <f>H68</f>
        <v>1947.6432258239593</v>
      </c>
      <c r="U23" s="53">
        <f>H70</f>
        <v>412.50454542950189</v>
      </c>
      <c r="V23" s="53">
        <f>H51</f>
        <v>1667.4023797862849</v>
      </c>
      <c r="W23" s="54">
        <f>H53</f>
        <v>483.75023071238502</v>
      </c>
      <c r="X23" s="55">
        <v>0.67</v>
      </c>
      <c r="Y23" s="55">
        <v>0.94</v>
      </c>
      <c r="Z23" s="2"/>
      <c r="AB23" s="18" t="s">
        <v>101</v>
      </c>
      <c r="AC23" s="250">
        <v>42275.586805555555</v>
      </c>
      <c r="AD23" s="271">
        <v>6900</v>
      </c>
      <c r="AE23" s="271">
        <v>1.1000000000000001</v>
      </c>
      <c r="AF23" s="271">
        <v>99</v>
      </c>
      <c r="AG23" s="271">
        <v>28000</v>
      </c>
      <c r="AH23" s="271">
        <v>310</v>
      </c>
      <c r="AI23" s="271">
        <v>1900</v>
      </c>
      <c r="AJ23" s="271">
        <v>380</v>
      </c>
    </row>
    <row r="24" spans="1:36" ht="21" customHeight="1" x14ac:dyDescent="0.25">
      <c r="A24" s="18" t="s">
        <v>101</v>
      </c>
      <c r="B24" s="250">
        <v>42278.590277777781</v>
      </c>
      <c r="C24" s="271">
        <v>8500</v>
      </c>
      <c r="D24" s="271">
        <v>1.4</v>
      </c>
      <c r="E24" s="271">
        <v>100</v>
      </c>
      <c r="F24" s="271">
        <v>36000</v>
      </c>
      <c r="G24" s="271">
        <v>310</v>
      </c>
      <c r="H24" s="271">
        <v>1600</v>
      </c>
      <c r="I24" s="271">
        <v>410</v>
      </c>
      <c r="J24" s="15"/>
      <c r="K24" s="268">
        <f t="shared" si="1"/>
        <v>3.9294189257142929</v>
      </c>
      <c r="L24" s="268">
        <f t="shared" si="1"/>
        <v>0.14612803567823801</v>
      </c>
      <c r="M24" s="268">
        <f t="shared" si="1"/>
        <v>2</v>
      </c>
      <c r="N24" s="268">
        <f t="shared" si="1"/>
        <v>4.5563025007672868</v>
      </c>
      <c r="O24" s="268">
        <f t="shared" si="1"/>
        <v>2.4913616938342726</v>
      </c>
      <c r="P24" s="268">
        <f t="shared" si="1"/>
        <v>3.2041199826559246</v>
      </c>
      <c r="Q24" s="268">
        <f t="shared" si="1"/>
        <v>2.6127838567197355</v>
      </c>
      <c r="R24" s="2"/>
      <c r="S24" s="58" t="s">
        <v>6</v>
      </c>
      <c r="T24" s="56">
        <f>I68</f>
        <v>629.15533572467848</v>
      </c>
      <c r="U24" s="56">
        <f>I70</f>
        <v>78.655196903955371</v>
      </c>
      <c r="V24" s="56">
        <f>I51</f>
        <v>454.72948229240592</v>
      </c>
      <c r="W24" s="74">
        <f>I53</f>
        <v>115.89326986499258</v>
      </c>
      <c r="X24" s="58">
        <v>0.31</v>
      </c>
      <c r="Y24" s="58">
        <v>0.62</v>
      </c>
      <c r="Z24" s="2"/>
      <c r="AA24" s="2"/>
      <c r="AB24" s="18" t="s">
        <v>101</v>
      </c>
      <c r="AC24" s="250">
        <v>42278.590277777781</v>
      </c>
      <c r="AD24" s="271">
        <v>6700</v>
      </c>
      <c r="AE24" s="271">
        <v>0.96</v>
      </c>
      <c r="AF24" s="271">
        <v>84</v>
      </c>
      <c r="AG24" s="271">
        <v>30000</v>
      </c>
      <c r="AH24" s="271">
        <v>220</v>
      </c>
      <c r="AI24" s="271">
        <v>920</v>
      </c>
      <c r="AJ24" s="271">
        <v>290</v>
      </c>
    </row>
    <row r="25" spans="1:36" ht="21" customHeight="1" x14ac:dyDescent="0.25">
      <c r="A25" s="18" t="s">
        <v>101</v>
      </c>
      <c r="B25" s="250">
        <v>42278.590277777781</v>
      </c>
      <c r="C25" s="271">
        <v>6700</v>
      </c>
      <c r="D25" s="271">
        <v>0.96</v>
      </c>
      <c r="E25" s="271">
        <v>84</v>
      </c>
      <c r="F25" s="271">
        <v>30000</v>
      </c>
      <c r="G25" s="271">
        <v>220</v>
      </c>
      <c r="H25" s="271">
        <v>920</v>
      </c>
      <c r="I25" s="271">
        <v>290</v>
      </c>
      <c r="J25" s="15"/>
      <c r="K25" s="268">
        <f t="shared" si="1"/>
        <v>3.8260748027008264</v>
      </c>
      <c r="L25" s="268">
        <f t="shared" si="1"/>
        <v>-1.7728766960431602E-2</v>
      </c>
      <c r="M25" s="268">
        <f t="shared" si="1"/>
        <v>1.9242792860618816</v>
      </c>
      <c r="N25" s="268">
        <f t="shared" si="1"/>
        <v>4.4771212547196626</v>
      </c>
      <c r="O25" s="268">
        <f t="shared" si="1"/>
        <v>2.3424226808222062</v>
      </c>
      <c r="P25" s="268">
        <f t="shared" si="1"/>
        <v>2.9637878273455551</v>
      </c>
      <c r="Q25" s="268">
        <f t="shared" si="1"/>
        <v>2.4623979978989561</v>
      </c>
      <c r="R25" s="2"/>
      <c r="S25" s="43" t="s">
        <v>108</v>
      </c>
      <c r="T25" s="44">
        <v>5</v>
      </c>
      <c r="U25" s="44"/>
      <c r="V25" s="44">
        <v>8</v>
      </c>
      <c r="W25" s="44"/>
      <c r="X25" s="2"/>
      <c r="Y25" s="2"/>
      <c r="Z25" s="5"/>
      <c r="AA25" s="5"/>
      <c r="AB25" s="18" t="s">
        <v>101</v>
      </c>
      <c r="AC25" s="250">
        <v>42278.590277777781</v>
      </c>
      <c r="AD25" s="271">
        <v>8500</v>
      </c>
      <c r="AE25" s="271">
        <v>1.4</v>
      </c>
      <c r="AF25" s="271">
        <v>100</v>
      </c>
      <c r="AG25" s="271">
        <v>36000</v>
      </c>
      <c r="AH25" s="271">
        <v>310</v>
      </c>
      <c r="AI25" s="271">
        <v>1600</v>
      </c>
      <c r="AJ25" s="271">
        <v>410</v>
      </c>
    </row>
    <row r="26" spans="1:36" ht="21" customHeight="1" x14ac:dyDescent="0.25">
      <c r="A26" s="18" t="s">
        <v>101</v>
      </c>
      <c r="B26" s="250">
        <v>42278.590277777781</v>
      </c>
      <c r="C26" s="271">
        <v>8500</v>
      </c>
      <c r="D26" s="271">
        <v>1.4</v>
      </c>
      <c r="E26" s="271">
        <v>100</v>
      </c>
      <c r="F26" s="271">
        <v>36000</v>
      </c>
      <c r="G26" s="271">
        <v>310</v>
      </c>
      <c r="H26" s="271">
        <v>1600</v>
      </c>
      <c r="I26" s="271">
        <v>410</v>
      </c>
      <c r="J26" s="15"/>
      <c r="K26" s="268">
        <f t="shared" si="1"/>
        <v>3.9294189257142929</v>
      </c>
      <c r="L26" s="268">
        <f t="shared" si="1"/>
        <v>0.14612803567823801</v>
      </c>
      <c r="M26" s="268">
        <f t="shared" si="1"/>
        <v>2</v>
      </c>
      <c r="N26" s="268">
        <f t="shared" si="1"/>
        <v>4.5563025007672868</v>
      </c>
      <c r="O26" s="268">
        <f t="shared" si="1"/>
        <v>2.4913616938342726</v>
      </c>
      <c r="P26" s="268">
        <f t="shared" si="1"/>
        <v>3.2041199826559246</v>
      </c>
      <c r="Q26" s="268">
        <f t="shared" si="1"/>
        <v>2.6127838567197355</v>
      </c>
      <c r="R26" s="2"/>
      <c r="S26" s="2"/>
      <c r="T26" s="2"/>
      <c r="U26" s="293" t="s">
        <v>200</v>
      </c>
      <c r="V26" s="2"/>
      <c r="W26" s="2"/>
      <c r="X26" s="2"/>
      <c r="Y26" s="2"/>
      <c r="Z26" s="2"/>
      <c r="AA26" s="2"/>
      <c r="AB26" s="18" t="s">
        <v>101</v>
      </c>
      <c r="AC26" s="250">
        <v>42278.590277777781</v>
      </c>
      <c r="AD26" s="271">
        <v>6700</v>
      </c>
      <c r="AE26" s="271">
        <v>0.96</v>
      </c>
      <c r="AF26" s="271">
        <v>84</v>
      </c>
      <c r="AG26" s="271">
        <v>30000</v>
      </c>
      <c r="AH26" s="271">
        <v>220</v>
      </c>
      <c r="AI26" s="271">
        <v>920</v>
      </c>
      <c r="AJ26" s="271">
        <v>290</v>
      </c>
    </row>
    <row r="27" spans="1:36" ht="21" customHeight="1" x14ac:dyDescent="0.25">
      <c r="A27" s="18" t="s">
        <v>101</v>
      </c>
      <c r="B27" s="250">
        <v>42303.575694444444</v>
      </c>
      <c r="C27" s="271">
        <v>14000</v>
      </c>
      <c r="D27" s="271">
        <v>2</v>
      </c>
      <c r="E27" s="271">
        <v>360</v>
      </c>
      <c r="F27" s="271">
        <v>54000</v>
      </c>
      <c r="G27" s="271">
        <v>610</v>
      </c>
      <c r="H27" s="271">
        <v>1400</v>
      </c>
      <c r="I27" s="271">
        <v>710</v>
      </c>
      <c r="J27" s="15"/>
      <c r="K27" s="268">
        <f t="shared" si="1"/>
        <v>4.1461280356782382</v>
      </c>
      <c r="L27" s="268">
        <f t="shared" si="1"/>
        <v>0.3010299956639812</v>
      </c>
      <c r="M27" s="268">
        <f t="shared" si="1"/>
        <v>2.5563025007672873</v>
      </c>
      <c r="N27" s="268">
        <f t="shared" si="1"/>
        <v>4.7323937598229682</v>
      </c>
      <c r="O27" s="268">
        <f t="shared" si="1"/>
        <v>2.7853298350107671</v>
      </c>
      <c r="P27" s="268">
        <f t="shared" si="1"/>
        <v>3.1461280356782382</v>
      </c>
      <c r="Q27" s="268">
        <f t="shared" si="1"/>
        <v>2.8512583487190755</v>
      </c>
      <c r="R27" s="2"/>
      <c r="S27" s="5"/>
      <c r="T27" s="5"/>
      <c r="U27" s="5"/>
      <c r="V27" s="5"/>
      <c r="W27" s="5"/>
      <c r="X27" s="5"/>
      <c r="Y27" s="5"/>
      <c r="Z27" s="2"/>
      <c r="AA27" s="2"/>
      <c r="AB27" s="18" t="s">
        <v>101</v>
      </c>
      <c r="AC27" s="250">
        <v>42278.590277777781</v>
      </c>
      <c r="AD27" s="271">
        <v>8500</v>
      </c>
      <c r="AE27" s="271">
        <v>1.4</v>
      </c>
      <c r="AF27" s="271">
        <v>100</v>
      </c>
      <c r="AG27" s="271">
        <v>36000</v>
      </c>
      <c r="AH27" s="271">
        <v>310</v>
      </c>
      <c r="AI27" s="271">
        <v>1600</v>
      </c>
      <c r="AJ27" s="271">
        <v>410</v>
      </c>
    </row>
    <row r="28" spans="1:36" ht="21" customHeight="1" thickBot="1" x14ac:dyDescent="0.3">
      <c r="A28" s="15"/>
      <c r="B28" s="250"/>
      <c r="C28" s="271"/>
      <c r="D28" s="271"/>
      <c r="E28" s="271"/>
      <c r="F28" s="271"/>
      <c r="G28" s="271"/>
      <c r="H28" s="271"/>
      <c r="I28" s="271"/>
      <c r="J28" s="15"/>
      <c r="K28" s="268"/>
      <c r="L28" s="268"/>
      <c r="M28" s="268"/>
      <c r="N28" s="268"/>
      <c r="O28" s="268"/>
      <c r="P28" s="268"/>
      <c r="Q28" s="268"/>
      <c r="R28" s="2"/>
      <c r="S28" s="5"/>
      <c r="T28" s="5"/>
      <c r="U28" s="5"/>
      <c r="V28" s="5"/>
      <c r="W28" s="5"/>
      <c r="X28" s="5"/>
      <c r="Y28" s="5"/>
      <c r="Z28" s="2"/>
      <c r="AA28" s="2"/>
      <c r="AB28" s="18" t="s">
        <v>101</v>
      </c>
      <c r="AC28" s="250">
        <v>42303.575694444444</v>
      </c>
      <c r="AD28" s="271">
        <v>14000</v>
      </c>
      <c r="AE28" s="271">
        <v>2</v>
      </c>
      <c r="AF28" s="271">
        <v>360</v>
      </c>
      <c r="AG28" s="271">
        <v>54000</v>
      </c>
      <c r="AH28" s="271">
        <v>610</v>
      </c>
      <c r="AI28" s="271">
        <v>1400</v>
      </c>
      <c r="AJ28" s="271">
        <v>710</v>
      </c>
    </row>
    <row r="29" spans="1:36" ht="21" customHeight="1" x14ac:dyDescent="0.25">
      <c r="A29" s="426" t="s">
        <v>155</v>
      </c>
      <c r="B29" s="272"/>
      <c r="C29" s="429" t="s">
        <v>187</v>
      </c>
      <c r="D29" s="429"/>
      <c r="E29" s="429"/>
      <c r="F29" s="429"/>
      <c r="G29" s="429"/>
      <c r="H29" s="429"/>
      <c r="I29" s="429"/>
      <c r="J29" s="273"/>
      <c r="K29" s="429" t="s">
        <v>197</v>
      </c>
      <c r="L29" s="429"/>
      <c r="M29" s="429"/>
      <c r="N29" s="429"/>
      <c r="O29" s="429"/>
      <c r="P29" s="429"/>
      <c r="Q29" s="430"/>
      <c r="R29" s="2"/>
      <c r="S29" s="5"/>
      <c r="T29" s="5"/>
      <c r="U29" s="5"/>
      <c r="V29" s="5"/>
      <c r="W29" s="5"/>
      <c r="X29" s="5"/>
      <c r="Y29" s="5"/>
      <c r="Z29" s="2"/>
      <c r="AA29" s="2"/>
      <c r="AB29" s="17" t="s">
        <v>22</v>
      </c>
      <c r="AC29" s="210">
        <v>42493</v>
      </c>
      <c r="AD29" s="15">
        <v>14000</v>
      </c>
      <c r="AE29" s="15">
        <v>0.12</v>
      </c>
      <c r="AF29" s="15">
        <v>17</v>
      </c>
      <c r="AG29" s="15">
        <v>71000</v>
      </c>
      <c r="AH29" s="15">
        <v>140</v>
      </c>
      <c r="AI29" s="15">
        <v>430</v>
      </c>
      <c r="AJ29" s="15">
        <v>110</v>
      </c>
    </row>
    <row r="30" spans="1:36" ht="21" customHeight="1" x14ac:dyDescent="0.25">
      <c r="A30" s="427"/>
      <c r="B30" s="274"/>
      <c r="C30" s="2" t="s">
        <v>7</v>
      </c>
      <c r="D30" s="2" t="s">
        <v>1</v>
      </c>
      <c r="E30" s="2" t="s">
        <v>2</v>
      </c>
      <c r="F30" s="2" t="s">
        <v>3</v>
      </c>
      <c r="G30" s="2" t="s">
        <v>4</v>
      </c>
      <c r="H30" s="2" t="s">
        <v>5</v>
      </c>
      <c r="I30" s="2" t="s">
        <v>6</v>
      </c>
      <c r="J30" s="221"/>
      <c r="K30" s="2" t="s">
        <v>7</v>
      </c>
      <c r="L30" s="2" t="s">
        <v>1</v>
      </c>
      <c r="M30" s="2" t="s">
        <v>2</v>
      </c>
      <c r="N30" s="2" t="s">
        <v>3</v>
      </c>
      <c r="O30" s="2" t="s">
        <v>4</v>
      </c>
      <c r="P30" s="2" t="s">
        <v>5</v>
      </c>
      <c r="Q30" s="243" t="s">
        <v>6</v>
      </c>
      <c r="R30" s="2"/>
      <c r="S30" s="5"/>
      <c r="T30" s="5"/>
      <c r="U30" s="5"/>
      <c r="V30" s="5"/>
      <c r="W30" s="5"/>
      <c r="X30" s="5"/>
      <c r="Y30" s="5"/>
      <c r="Z30" s="2"/>
      <c r="AA30" s="2"/>
      <c r="AB30" s="17" t="s">
        <v>22</v>
      </c>
      <c r="AC30" s="210">
        <v>42501</v>
      </c>
      <c r="AD30" s="15">
        <v>16000</v>
      </c>
      <c r="AE30" s="15">
        <v>0.32</v>
      </c>
      <c r="AF30" s="15">
        <v>43</v>
      </c>
      <c r="AG30" s="15">
        <v>45000</v>
      </c>
      <c r="AH30" s="15">
        <v>78</v>
      </c>
      <c r="AI30" s="15">
        <v>610</v>
      </c>
      <c r="AJ30" s="15">
        <v>190</v>
      </c>
    </row>
    <row r="31" spans="1:36" ht="21" customHeight="1" x14ac:dyDescent="0.25">
      <c r="A31" s="427"/>
      <c r="B31" s="274" t="s">
        <v>174</v>
      </c>
      <c r="C31" s="276">
        <f>GEOMEAN(C6:C27)</f>
        <v>8021.7440113321591</v>
      </c>
      <c r="D31" s="276">
        <f t="shared" ref="D31:I31" si="2">GEOMEAN(D6:D27)</f>
        <v>1.1127597385157693</v>
      </c>
      <c r="E31" s="276">
        <f t="shared" si="2"/>
        <v>120.80339016014172</v>
      </c>
      <c r="F31" s="276">
        <f t="shared" si="2"/>
        <v>37866.121186471348</v>
      </c>
      <c r="G31" s="276">
        <f t="shared" si="2"/>
        <v>309.52944808339396</v>
      </c>
      <c r="H31" s="276">
        <f t="shared" si="2"/>
        <v>1240.4433126493957</v>
      </c>
      <c r="I31" s="276">
        <f t="shared" si="2"/>
        <v>392.44096307220275</v>
      </c>
      <c r="J31" s="221" t="s">
        <v>117</v>
      </c>
      <c r="K31" s="216">
        <f t="shared" ref="K31:Q31" si="3">AVERAGE(K6:K27)</f>
        <v>3.9042687987276836</v>
      </c>
      <c r="L31" s="216">
        <f t="shared" si="3"/>
        <v>4.6401403776985102E-2</v>
      </c>
      <c r="M31" s="216">
        <f t="shared" si="3"/>
        <v>2.0820791222584809</v>
      </c>
      <c r="N31" s="216">
        <f t="shared" si="3"/>
        <v>4.5782508204736878</v>
      </c>
      <c r="O31" s="216">
        <f t="shared" si="3"/>
        <v>2.4907019733294264</v>
      </c>
      <c r="P31" s="216">
        <f t="shared" si="3"/>
        <v>3.0935769221220628</v>
      </c>
      <c r="Q31" s="275">
        <f t="shared" si="3"/>
        <v>2.5937743328254523</v>
      </c>
      <c r="R31" s="2"/>
      <c r="S31" s="2"/>
      <c r="T31" s="2"/>
      <c r="U31" s="2"/>
      <c r="V31" s="2"/>
      <c r="W31" s="2"/>
      <c r="X31" s="2"/>
      <c r="Y31" s="2"/>
      <c r="Z31" s="2"/>
      <c r="AA31" s="2"/>
      <c r="AB31" s="17" t="s">
        <v>22</v>
      </c>
      <c r="AC31" s="210">
        <v>42509</v>
      </c>
      <c r="AD31" s="15">
        <v>12000</v>
      </c>
      <c r="AE31" s="15">
        <v>1.4</v>
      </c>
      <c r="AF31" s="15">
        <v>120</v>
      </c>
      <c r="AG31" s="15">
        <v>56000</v>
      </c>
      <c r="AH31" s="15">
        <v>330</v>
      </c>
      <c r="AI31" s="15">
        <v>1000</v>
      </c>
      <c r="AJ31" s="15">
        <v>510</v>
      </c>
    </row>
    <row r="32" spans="1:36" ht="21" customHeight="1" x14ac:dyDescent="0.25">
      <c r="A32" s="427"/>
      <c r="B32" s="274" t="s">
        <v>172</v>
      </c>
      <c r="C32" s="216">
        <f t="shared" ref="C32:I32" si="4">STDEV(C6:C27)</f>
        <v>2225.3216120498796</v>
      </c>
      <c r="D32" s="216">
        <f t="shared" si="4"/>
        <v>0.70565863741196622</v>
      </c>
      <c r="E32" s="216">
        <f t="shared" si="4"/>
        <v>70.5065315816272</v>
      </c>
      <c r="F32" s="216">
        <f t="shared" si="4"/>
        <v>6742.1912504127931</v>
      </c>
      <c r="G32" s="216">
        <f t="shared" si="4"/>
        <v>165.32599306426073</v>
      </c>
      <c r="H32" s="216">
        <f t="shared" si="4"/>
        <v>470.3245632594527</v>
      </c>
      <c r="I32" s="216">
        <f t="shared" si="4"/>
        <v>132.67151767328062</v>
      </c>
      <c r="J32" s="221" t="s">
        <v>10</v>
      </c>
      <c r="K32" s="216">
        <f t="shared" ref="K32:Q32" si="5">STDEV(K6:K27)</f>
        <v>0.10317243430867847</v>
      </c>
      <c r="L32" s="216">
        <f t="shared" si="5"/>
        <v>0.27364086877653893</v>
      </c>
      <c r="M32" s="216">
        <f t="shared" si="5"/>
        <v>0.19444558723906291</v>
      </c>
      <c r="N32" s="216">
        <f t="shared" si="5"/>
        <v>7.6720878122836816E-2</v>
      </c>
      <c r="O32" s="216">
        <f t="shared" si="5"/>
        <v>0.19460438964667243</v>
      </c>
      <c r="P32" s="216">
        <f t="shared" si="5"/>
        <v>0.16586471870864214</v>
      </c>
      <c r="Q32" s="275">
        <f t="shared" si="5"/>
        <v>0.14278017575884969</v>
      </c>
      <c r="R32" s="2"/>
      <c r="S32" s="2"/>
      <c r="T32" s="2"/>
      <c r="U32" s="2"/>
      <c r="V32" s="2"/>
      <c r="W32" s="2"/>
      <c r="X32" s="2"/>
      <c r="Y32" s="2"/>
      <c r="Z32" s="2"/>
      <c r="AA32" s="2"/>
      <c r="AB32" s="17" t="s">
        <v>22</v>
      </c>
      <c r="AC32" s="210">
        <v>42516</v>
      </c>
      <c r="AD32" s="15">
        <v>13000</v>
      </c>
      <c r="AE32" s="15">
        <v>1.3</v>
      </c>
      <c r="AF32" s="15">
        <v>41</v>
      </c>
      <c r="AG32" s="15">
        <v>120000</v>
      </c>
      <c r="AH32" s="15">
        <v>130</v>
      </c>
      <c r="AI32" s="15">
        <v>2400</v>
      </c>
      <c r="AJ32" s="15">
        <v>550</v>
      </c>
    </row>
    <row r="33" spans="1:36" ht="21" customHeight="1" x14ac:dyDescent="0.25">
      <c r="A33" s="427"/>
      <c r="B33" s="274" t="s">
        <v>147</v>
      </c>
      <c r="C33" s="216">
        <f>C32/SQRT(C34)</f>
        <v>474.44016181065615</v>
      </c>
      <c r="D33" s="216">
        <f t="shared" ref="D33:Q33" si="6">D32/SQRT(D34)</f>
        <v>0.15044692699875514</v>
      </c>
      <c r="E33" s="216">
        <f t="shared" si="6"/>
        <v>15.03204304095239</v>
      </c>
      <c r="F33" s="216">
        <f t="shared" si="6"/>
        <v>1471.2667502326472</v>
      </c>
      <c r="G33" s="216">
        <f t="shared" si="6"/>
        <v>35.247620153503071</v>
      </c>
      <c r="H33" s="216">
        <f t="shared" si="6"/>
        <v>100.27353380655492</v>
      </c>
      <c r="I33" s="216">
        <f t="shared" si="6"/>
        <v>28.285662607929456</v>
      </c>
      <c r="J33" s="221" t="s">
        <v>116</v>
      </c>
      <c r="K33" s="216">
        <f t="shared" si="6"/>
        <v>2.1996436902762408E-2</v>
      </c>
      <c r="L33" s="216">
        <f t="shared" si="6"/>
        <v>5.8340429247329691E-2</v>
      </c>
      <c r="M33" s="216">
        <f t="shared" si="6"/>
        <v>4.1455938491555551E-2</v>
      </c>
      <c r="N33" s="216">
        <f t="shared" si="6"/>
        <v>1.6741868161018154E-2</v>
      </c>
      <c r="O33" s="216">
        <f t="shared" si="6"/>
        <v>4.1489795278616896E-2</v>
      </c>
      <c r="P33" s="216">
        <f t="shared" si="6"/>
        <v>3.5362476846804325E-2</v>
      </c>
      <c r="Q33" s="275">
        <f t="shared" si="6"/>
        <v>3.0440835753166716E-2</v>
      </c>
      <c r="R33" s="2"/>
      <c r="S33" s="2"/>
      <c r="T33" s="2"/>
      <c r="U33" s="2"/>
      <c r="V33" s="2"/>
      <c r="W33" s="2"/>
      <c r="X33" s="2"/>
      <c r="Y33" s="2"/>
      <c r="Z33" s="5"/>
      <c r="AA33" s="5"/>
      <c r="AB33" s="17" t="s">
        <v>22</v>
      </c>
      <c r="AC33" s="210">
        <v>42522</v>
      </c>
      <c r="AD33" s="15">
        <v>15000</v>
      </c>
      <c r="AE33" s="15">
        <v>2.2999999999999998</v>
      </c>
      <c r="AF33" s="15">
        <v>150</v>
      </c>
      <c r="AG33" s="15">
        <v>64000</v>
      </c>
      <c r="AH33" s="15">
        <v>490</v>
      </c>
      <c r="AI33" s="15">
        <v>2400</v>
      </c>
      <c r="AJ33" s="15">
        <v>700</v>
      </c>
    </row>
    <row r="34" spans="1:36" ht="21" customHeight="1" thickBot="1" x14ac:dyDescent="0.3">
      <c r="A34" s="428"/>
      <c r="B34" s="235" t="s">
        <v>173</v>
      </c>
      <c r="C34" s="254">
        <v>22</v>
      </c>
      <c r="D34" s="254">
        <v>22</v>
      </c>
      <c r="E34" s="254">
        <v>22</v>
      </c>
      <c r="F34" s="254">
        <v>21</v>
      </c>
      <c r="G34" s="254">
        <v>22</v>
      </c>
      <c r="H34" s="254">
        <v>22</v>
      </c>
      <c r="I34" s="254">
        <v>22</v>
      </c>
      <c r="J34" s="254" t="s">
        <v>173</v>
      </c>
      <c r="K34" s="254">
        <v>22</v>
      </c>
      <c r="L34" s="254">
        <v>22</v>
      </c>
      <c r="M34" s="254">
        <v>22</v>
      </c>
      <c r="N34" s="254">
        <v>21</v>
      </c>
      <c r="O34" s="254">
        <v>22</v>
      </c>
      <c r="P34" s="254">
        <v>22</v>
      </c>
      <c r="Q34" s="255">
        <v>22</v>
      </c>
      <c r="R34" s="2"/>
      <c r="S34" s="2"/>
      <c r="T34" s="2"/>
      <c r="U34" s="2"/>
      <c r="V34" s="2"/>
      <c r="W34" s="2"/>
      <c r="X34" s="2"/>
      <c r="Y34" s="2"/>
      <c r="Z34" s="5"/>
      <c r="AA34" s="5"/>
      <c r="AB34" s="17" t="s">
        <v>22</v>
      </c>
      <c r="AC34" s="210">
        <v>42527.527777777781</v>
      </c>
      <c r="AD34" s="15">
        <v>9700</v>
      </c>
      <c r="AE34" s="15">
        <v>4.0999999999999996</v>
      </c>
      <c r="AF34" s="15">
        <v>180</v>
      </c>
      <c r="AG34" s="15">
        <v>53000</v>
      </c>
      <c r="AH34" s="15">
        <v>740</v>
      </c>
      <c r="AI34" s="15">
        <v>2600</v>
      </c>
      <c r="AJ34" s="15">
        <v>990</v>
      </c>
    </row>
    <row r="35" spans="1:36" ht="9" customHeight="1" x14ac:dyDescent="0.25">
      <c r="A35" s="279"/>
      <c r="B35" s="280"/>
      <c r="C35" s="279"/>
      <c r="D35" s="279"/>
      <c r="E35" s="279"/>
      <c r="F35" s="279"/>
      <c r="G35" s="279"/>
      <c r="H35" s="279"/>
      <c r="I35" s="279"/>
      <c r="J35" s="279"/>
      <c r="K35" s="279"/>
      <c r="L35" s="279"/>
      <c r="M35" s="279"/>
      <c r="N35" s="279"/>
      <c r="O35" s="279"/>
      <c r="P35" s="279"/>
      <c r="Q35" s="279"/>
      <c r="R35" s="2"/>
      <c r="S35" s="5"/>
      <c r="T35" s="5"/>
      <c r="U35" s="5"/>
      <c r="V35" s="5"/>
      <c r="W35" s="5"/>
      <c r="X35" s="5"/>
      <c r="Y35" s="5"/>
      <c r="Z35" s="5"/>
      <c r="AA35" s="5"/>
      <c r="AB35" s="17" t="s">
        <v>22</v>
      </c>
      <c r="AC35" s="210">
        <v>42528</v>
      </c>
      <c r="AD35" s="15">
        <v>5300</v>
      </c>
      <c r="AE35" s="15">
        <v>1.3</v>
      </c>
      <c r="AF35" s="15">
        <v>590</v>
      </c>
      <c r="AG35" s="15">
        <v>31000</v>
      </c>
      <c r="AH35" s="15">
        <v>6400</v>
      </c>
      <c r="AI35" s="15">
        <v>3900</v>
      </c>
      <c r="AJ35" s="15">
        <v>450</v>
      </c>
    </row>
    <row r="36" spans="1:36" ht="9" customHeight="1" x14ac:dyDescent="0.25">
      <c r="A36" s="15"/>
      <c r="B36" s="210"/>
      <c r="C36" s="15"/>
      <c r="D36" s="15"/>
      <c r="E36" s="15"/>
      <c r="F36" s="15"/>
      <c r="G36" s="15"/>
      <c r="H36" s="15"/>
      <c r="I36" s="15"/>
      <c r="J36" s="15"/>
      <c r="K36" s="15"/>
      <c r="L36" s="15"/>
      <c r="M36" s="15"/>
      <c r="N36" s="15"/>
      <c r="O36" s="15"/>
      <c r="P36" s="15"/>
      <c r="Q36" s="15"/>
      <c r="R36" s="2"/>
      <c r="S36" s="5"/>
      <c r="T36" s="5"/>
      <c r="U36" s="5"/>
      <c r="V36" s="5"/>
      <c r="W36" s="5"/>
      <c r="X36" s="5"/>
      <c r="Y36" s="5"/>
      <c r="Z36" s="5"/>
      <c r="AA36" s="5"/>
      <c r="AB36" s="17" t="s">
        <v>22</v>
      </c>
      <c r="AC36" s="210">
        <v>42536</v>
      </c>
      <c r="AD36" s="15">
        <v>8400</v>
      </c>
      <c r="AE36" s="15">
        <v>4.5999999999999996</v>
      </c>
      <c r="AF36" s="15">
        <v>170</v>
      </c>
      <c r="AG36" s="15">
        <v>47000</v>
      </c>
      <c r="AH36" s="15">
        <v>700</v>
      </c>
      <c r="AI36" s="15">
        <v>3900</v>
      </c>
      <c r="AJ36" s="15">
        <v>1000</v>
      </c>
    </row>
    <row r="37" spans="1:36" ht="21" customHeight="1" x14ac:dyDescent="0.25">
      <c r="A37" s="432" t="s">
        <v>184</v>
      </c>
      <c r="B37" s="432"/>
      <c r="C37" s="432"/>
      <c r="D37" s="432"/>
      <c r="E37" s="432"/>
      <c r="F37" s="432"/>
      <c r="G37" s="432"/>
      <c r="H37" s="432"/>
      <c r="I37" s="432"/>
      <c r="J37" s="432"/>
      <c r="K37" s="432"/>
      <c r="L37" s="432"/>
      <c r="M37" s="432"/>
      <c r="N37" s="432"/>
      <c r="O37" s="432"/>
      <c r="P37" s="432"/>
      <c r="Q37" s="432"/>
      <c r="R37" s="2"/>
      <c r="S37" s="5"/>
      <c r="T37" s="5"/>
      <c r="U37" s="5"/>
      <c r="V37" s="5"/>
      <c r="W37" s="5"/>
      <c r="X37" s="5"/>
      <c r="Y37" s="5"/>
      <c r="Z37" s="5"/>
      <c r="AA37" s="5"/>
    </row>
    <row r="38" spans="1:36" ht="21" customHeight="1" x14ac:dyDescent="0.25">
      <c r="C38" s="421" t="s">
        <v>178</v>
      </c>
      <c r="D38" s="421"/>
      <c r="E38" s="421"/>
      <c r="F38" s="421"/>
      <c r="G38" s="421"/>
      <c r="H38" s="421"/>
      <c r="I38" s="421"/>
      <c r="K38" s="421" t="s">
        <v>179</v>
      </c>
      <c r="L38" s="421"/>
      <c r="M38" s="421"/>
      <c r="N38" s="421"/>
      <c r="O38" s="421"/>
      <c r="P38" s="421"/>
      <c r="Q38" s="421"/>
      <c r="R38" s="2"/>
      <c r="S38" s="5"/>
      <c r="T38" s="5"/>
      <c r="U38" s="5"/>
      <c r="V38" s="5"/>
      <c r="W38" s="5"/>
      <c r="X38" s="5"/>
      <c r="Y38" s="5"/>
      <c r="Z38" s="5"/>
      <c r="AA38" s="5"/>
    </row>
    <row r="39" spans="1:36" ht="21" customHeight="1" x14ac:dyDescent="0.25">
      <c r="C39" s="1" t="s">
        <v>7</v>
      </c>
      <c r="D39" s="1" t="s">
        <v>1</v>
      </c>
      <c r="E39" s="1" t="s">
        <v>2</v>
      </c>
      <c r="F39" s="1" t="s">
        <v>3</v>
      </c>
      <c r="G39" s="1" t="s">
        <v>4</v>
      </c>
      <c r="H39" s="1" t="s">
        <v>5</v>
      </c>
      <c r="I39" s="1" t="s">
        <v>6</v>
      </c>
      <c r="K39" s="1" t="s">
        <v>7</v>
      </c>
      <c r="L39" s="1" t="s">
        <v>1</v>
      </c>
      <c r="M39" s="1" t="s">
        <v>2</v>
      </c>
      <c r="N39" s="1" t="s">
        <v>3</v>
      </c>
      <c r="O39" s="1" t="s">
        <v>4</v>
      </c>
      <c r="P39" s="1" t="s">
        <v>5</v>
      </c>
      <c r="Q39" s="1" t="s">
        <v>6</v>
      </c>
      <c r="R39" s="2"/>
      <c r="S39" s="287" t="s">
        <v>190</v>
      </c>
      <c r="T39" s="5"/>
      <c r="U39" s="5"/>
      <c r="V39" s="5"/>
      <c r="W39" s="5"/>
      <c r="X39" s="5"/>
      <c r="Y39" s="5"/>
      <c r="Z39" s="5"/>
      <c r="AA39" s="5"/>
    </row>
    <row r="40" spans="1:36" ht="21" customHeight="1" x14ac:dyDescent="0.25">
      <c r="A40" s="17" t="s">
        <v>22</v>
      </c>
      <c r="B40" s="210">
        <v>42493</v>
      </c>
      <c r="C40" s="15">
        <v>14000</v>
      </c>
      <c r="D40" s="15">
        <v>0.12</v>
      </c>
      <c r="E40" s="15">
        <v>17</v>
      </c>
      <c r="F40" s="15">
        <v>71000</v>
      </c>
      <c r="G40" s="15">
        <v>140</v>
      </c>
      <c r="H40" s="15">
        <v>430</v>
      </c>
      <c r="I40" s="15">
        <v>110</v>
      </c>
      <c r="J40" s="15"/>
      <c r="K40" s="228">
        <f t="shared" ref="K40:O47" si="7">LOG(C40)</f>
        <v>4.1461280356782382</v>
      </c>
      <c r="L40" s="228">
        <f t="shared" si="7"/>
        <v>-0.92081875395237522</v>
      </c>
      <c r="M40" s="228">
        <f t="shared" si="7"/>
        <v>1.2304489213782739</v>
      </c>
      <c r="N40" s="228">
        <f t="shared" si="7"/>
        <v>4.8512583487190755</v>
      </c>
      <c r="O40" s="228">
        <f t="shared" si="7"/>
        <v>2.1461280356782382</v>
      </c>
      <c r="P40" s="228">
        <f t="shared" ref="P40:Q47" si="8">LOG(H40)</f>
        <v>2.6334684555795866</v>
      </c>
      <c r="Q40" s="228">
        <f t="shared" si="8"/>
        <v>2.0413926851582249</v>
      </c>
      <c r="R40" s="2"/>
      <c r="S40" s="5"/>
      <c r="T40" s="5"/>
      <c r="U40" s="5"/>
      <c r="V40" s="5"/>
      <c r="W40" s="5"/>
      <c r="X40" s="5"/>
      <c r="Y40" s="5"/>
      <c r="Z40" s="5"/>
      <c r="AA40" s="5"/>
    </row>
    <row r="41" spans="1:36" ht="21" customHeight="1" x14ac:dyDescent="0.25">
      <c r="A41" s="17" t="s">
        <v>22</v>
      </c>
      <c r="B41" s="210">
        <v>42501</v>
      </c>
      <c r="C41" s="15">
        <v>16000</v>
      </c>
      <c r="D41" s="15">
        <v>0.32</v>
      </c>
      <c r="E41" s="15">
        <v>43</v>
      </c>
      <c r="F41" s="15">
        <v>45000</v>
      </c>
      <c r="G41" s="15">
        <v>78</v>
      </c>
      <c r="H41" s="15">
        <v>610</v>
      </c>
      <c r="I41" s="15">
        <v>190</v>
      </c>
      <c r="J41" s="15"/>
      <c r="K41" s="228">
        <f t="shared" si="7"/>
        <v>4.204119982655925</v>
      </c>
      <c r="L41" s="228">
        <f t="shared" si="7"/>
        <v>-0.49485002168009401</v>
      </c>
      <c r="M41" s="228">
        <f t="shared" si="7"/>
        <v>1.6334684555795864</v>
      </c>
      <c r="N41" s="228">
        <f t="shared" si="7"/>
        <v>4.653212513775344</v>
      </c>
      <c r="O41" s="228">
        <f t="shared" si="7"/>
        <v>1.8920946026904804</v>
      </c>
      <c r="P41" s="228">
        <f t="shared" si="8"/>
        <v>2.7853298350107671</v>
      </c>
      <c r="Q41" s="228">
        <f t="shared" si="8"/>
        <v>2.2787536009528289</v>
      </c>
      <c r="R41" s="2"/>
      <c r="S41" s="5"/>
      <c r="T41" s="5"/>
      <c r="U41" s="5"/>
      <c r="V41" s="5"/>
      <c r="W41" s="5"/>
      <c r="X41" s="5"/>
      <c r="Y41" s="5"/>
      <c r="Z41" s="5"/>
      <c r="AA41" s="5"/>
    </row>
    <row r="42" spans="1:36" ht="21" customHeight="1" x14ac:dyDescent="0.25">
      <c r="A42" s="17" t="s">
        <v>22</v>
      </c>
      <c r="B42" s="210">
        <v>42509</v>
      </c>
      <c r="C42" s="15">
        <v>12000</v>
      </c>
      <c r="D42" s="15">
        <v>1.4</v>
      </c>
      <c r="E42" s="15">
        <v>120</v>
      </c>
      <c r="F42" s="15">
        <v>56000</v>
      </c>
      <c r="G42" s="15">
        <v>330</v>
      </c>
      <c r="H42" s="15">
        <v>1000</v>
      </c>
      <c r="I42" s="15">
        <v>510</v>
      </c>
      <c r="J42" s="15"/>
      <c r="K42" s="228">
        <f t="shared" si="7"/>
        <v>4.0791812460476251</v>
      </c>
      <c r="L42" s="228">
        <f t="shared" si="7"/>
        <v>0.14612803567823801</v>
      </c>
      <c r="M42" s="228">
        <f t="shared" si="7"/>
        <v>2.0791812460476247</v>
      </c>
      <c r="N42" s="228">
        <f t="shared" si="7"/>
        <v>4.7481880270062007</v>
      </c>
      <c r="O42" s="228">
        <f t="shared" si="7"/>
        <v>2.5185139398778875</v>
      </c>
      <c r="P42" s="228">
        <f t="shared" si="8"/>
        <v>3</v>
      </c>
      <c r="Q42" s="228">
        <f t="shared" si="8"/>
        <v>2.7075701760979363</v>
      </c>
      <c r="R42" s="2"/>
      <c r="S42" s="5"/>
      <c r="T42" s="5"/>
      <c r="U42" s="5"/>
      <c r="V42" s="5"/>
      <c r="W42" s="5"/>
      <c r="X42" s="5"/>
      <c r="Y42" s="5"/>
      <c r="Z42" s="5"/>
      <c r="AA42" s="5"/>
    </row>
    <row r="43" spans="1:36" ht="21" customHeight="1" x14ac:dyDescent="0.25">
      <c r="A43" s="17" t="s">
        <v>22</v>
      </c>
      <c r="B43" s="210">
        <v>42516</v>
      </c>
      <c r="C43" s="15">
        <v>13000</v>
      </c>
      <c r="D43" s="15">
        <v>1.3</v>
      </c>
      <c r="E43" s="15">
        <v>41</v>
      </c>
      <c r="F43" s="15">
        <v>120000</v>
      </c>
      <c r="G43" s="15">
        <v>130</v>
      </c>
      <c r="H43" s="15">
        <v>2400</v>
      </c>
      <c r="I43" s="15">
        <v>550</v>
      </c>
      <c r="J43" s="15"/>
      <c r="K43" s="228">
        <f t="shared" si="7"/>
        <v>4.1139433523068369</v>
      </c>
      <c r="L43" s="228">
        <f t="shared" si="7"/>
        <v>0.11394335230683679</v>
      </c>
      <c r="M43" s="228">
        <f t="shared" si="7"/>
        <v>1.6127838567197355</v>
      </c>
      <c r="N43" s="228">
        <f t="shared" si="7"/>
        <v>5.0791812460476251</v>
      </c>
      <c r="O43" s="228">
        <f t="shared" si="7"/>
        <v>2.1139433523068369</v>
      </c>
      <c r="P43" s="228">
        <f t="shared" si="8"/>
        <v>3.3802112417116059</v>
      </c>
      <c r="Q43" s="228">
        <f t="shared" si="8"/>
        <v>2.7403626894942437</v>
      </c>
      <c r="R43" s="2"/>
      <c r="S43" s="5"/>
      <c r="T43" s="5"/>
      <c r="U43" s="5"/>
      <c r="V43" s="5"/>
      <c r="W43" s="5"/>
      <c r="X43" s="5"/>
      <c r="Y43" s="5"/>
      <c r="Z43" s="5"/>
      <c r="AA43" s="5"/>
    </row>
    <row r="44" spans="1:36" ht="21" customHeight="1" x14ac:dyDescent="0.25">
      <c r="A44" s="17" t="s">
        <v>22</v>
      </c>
      <c r="B44" s="210">
        <v>42522</v>
      </c>
      <c r="C44" s="15">
        <v>15000</v>
      </c>
      <c r="D44" s="15">
        <v>2.2999999999999998</v>
      </c>
      <c r="E44" s="15">
        <v>150</v>
      </c>
      <c r="F44" s="15">
        <v>64000</v>
      </c>
      <c r="G44" s="15">
        <v>490</v>
      </c>
      <c r="H44" s="15">
        <v>2400</v>
      </c>
      <c r="I44" s="15">
        <v>700</v>
      </c>
      <c r="J44" s="15"/>
      <c r="K44" s="228">
        <f t="shared" si="7"/>
        <v>4.1760912590556813</v>
      </c>
      <c r="L44" s="228">
        <f t="shared" si="7"/>
        <v>0.36172783601759284</v>
      </c>
      <c r="M44" s="228">
        <f t="shared" si="7"/>
        <v>2.1760912590556813</v>
      </c>
      <c r="N44" s="228">
        <f t="shared" si="7"/>
        <v>4.8061799739838875</v>
      </c>
      <c r="O44" s="228">
        <f t="shared" si="7"/>
        <v>2.6901960800285138</v>
      </c>
      <c r="P44" s="228">
        <f t="shared" si="8"/>
        <v>3.3802112417116059</v>
      </c>
      <c r="Q44" s="228">
        <f t="shared" si="8"/>
        <v>2.8450980400142569</v>
      </c>
      <c r="R44" s="2"/>
      <c r="S44" s="5"/>
      <c r="T44" s="5"/>
      <c r="U44" s="5"/>
      <c r="V44" s="5"/>
      <c r="W44" s="5"/>
      <c r="X44" s="5"/>
      <c r="Y44" s="5"/>
      <c r="Z44" s="5"/>
      <c r="AA44" s="5"/>
    </row>
    <row r="45" spans="1:36" ht="21" customHeight="1" x14ac:dyDescent="0.25">
      <c r="A45" s="17" t="s">
        <v>22</v>
      </c>
      <c r="B45" s="210">
        <v>42527.527777777781</v>
      </c>
      <c r="C45" s="15">
        <v>9700</v>
      </c>
      <c r="D45" s="15">
        <v>4.0999999999999996</v>
      </c>
      <c r="E45" s="15">
        <v>180</v>
      </c>
      <c r="F45" s="15">
        <v>53000</v>
      </c>
      <c r="G45" s="15">
        <v>740</v>
      </c>
      <c r="H45" s="15">
        <v>2600</v>
      </c>
      <c r="I45" s="15">
        <v>990</v>
      </c>
      <c r="J45" s="15"/>
      <c r="K45" s="228">
        <f t="shared" si="7"/>
        <v>3.9867717342662448</v>
      </c>
      <c r="L45" s="228">
        <f t="shared" si="7"/>
        <v>0.61278385671973545</v>
      </c>
      <c r="M45" s="228">
        <f t="shared" si="7"/>
        <v>2.255272505103306</v>
      </c>
      <c r="N45" s="228">
        <f t="shared" si="7"/>
        <v>4.7242758696007892</v>
      </c>
      <c r="O45" s="228">
        <f t="shared" si="7"/>
        <v>2.8692317197309762</v>
      </c>
      <c r="P45" s="228">
        <f t="shared" si="8"/>
        <v>3.4149733479708178</v>
      </c>
      <c r="Q45" s="228">
        <f t="shared" si="8"/>
        <v>2.9956351945975501</v>
      </c>
      <c r="R45" s="2"/>
      <c r="S45" s="5"/>
      <c r="T45" s="5"/>
      <c r="U45" s="5"/>
      <c r="V45" s="5"/>
      <c r="W45" s="5"/>
      <c r="X45" s="5"/>
      <c r="Y45" s="5"/>
      <c r="Z45" s="5"/>
      <c r="AA45" s="5"/>
    </row>
    <row r="46" spans="1:36" ht="21" customHeight="1" x14ac:dyDescent="0.25">
      <c r="A46" s="17" t="s">
        <v>22</v>
      </c>
      <c r="B46" s="210">
        <v>42528</v>
      </c>
      <c r="C46" s="15">
        <v>5300</v>
      </c>
      <c r="D46" s="15">
        <v>1.3</v>
      </c>
      <c r="E46" s="15">
        <v>590</v>
      </c>
      <c r="F46" s="15">
        <v>31000</v>
      </c>
      <c r="G46" s="15">
        <v>6400</v>
      </c>
      <c r="H46" s="15">
        <v>3900</v>
      </c>
      <c r="I46" s="15">
        <v>450</v>
      </c>
      <c r="J46" s="15"/>
      <c r="K46" s="228">
        <f t="shared" si="7"/>
        <v>3.7242758696007892</v>
      </c>
      <c r="L46" s="228">
        <f t="shared" si="7"/>
        <v>0.11394335230683679</v>
      </c>
      <c r="M46" s="228">
        <f t="shared" si="7"/>
        <v>2.7708520116421442</v>
      </c>
      <c r="N46" s="228">
        <f t="shared" si="7"/>
        <v>4.4913616938342731</v>
      </c>
      <c r="O46" s="228">
        <f t="shared" si="7"/>
        <v>3.8061799739838871</v>
      </c>
      <c r="P46" s="228">
        <f t="shared" si="8"/>
        <v>3.5910646070264991</v>
      </c>
      <c r="Q46" s="228">
        <f t="shared" si="8"/>
        <v>2.6532125137753435</v>
      </c>
      <c r="R46" s="2"/>
      <c r="S46" s="5"/>
      <c r="T46" s="5"/>
      <c r="U46" s="5"/>
      <c r="V46" s="5"/>
      <c r="W46" s="5"/>
      <c r="X46" s="5"/>
      <c r="Y46" s="5"/>
      <c r="Z46" s="5"/>
      <c r="AA46" s="5"/>
    </row>
    <row r="47" spans="1:36" ht="21" customHeight="1" x14ac:dyDescent="0.25">
      <c r="A47" s="17" t="s">
        <v>22</v>
      </c>
      <c r="B47" s="210">
        <v>42536</v>
      </c>
      <c r="C47" s="15">
        <v>8400</v>
      </c>
      <c r="D47" s="15">
        <v>4.5999999999999996</v>
      </c>
      <c r="E47" s="15">
        <v>170</v>
      </c>
      <c r="F47" s="15">
        <v>47000</v>
      </c>
      <c r="G47" s="15">
        <v>700</v>
      </c>
      <c r="H47" s="15">
        <v>3900</v>
      </c>
      <c r="I47" s="15">
        <v>1000</v>
      </c>
      <c r="J47" s="15"/>
      <c r="K47" s="228">
        <f t="shared" si="7"/>
        <v>3.9242792860618816</v>
      </c>
      <c r="L47" s="228">
        <f t="shared" si="7"/>
        <v>0.66275783168157409</v>
      </c>
      <c r="M47" s="228">
        <f t="shared" si="7"/>
        <v>2.2304489213782741</v>
      </c>
      <c r="N47" s="228">
        <f t="shared" si="7"/>
        <v>4.6720978579357171</v>
      </c>
      <c r="O47" s="228">
        <f t="shared" si="7"/>
        <v>2.8450980400142569</v>
      </c>
      <c r="P47" s="228">
        <f t="shared" si="8"/>
        <v>3.5910646070264991</v>
      </c>
      <c r="Q47" s="228">
        <f t="shared" si="8"/>
        <v>3</v>
      </c>
      <c r="R47" s="2"/>
      <c r="S47" s="5"/>
      <c r="T47" s="5"/>
      <c r="U47" s="5"/>
      <c r="V47" s="5"/>
      <c r="W47" s="5"/>
      <c r="X47" s="5"/>
      <c r="Y47" s="5"/>
      <c r="Z47" s="5"/>
      <c r="AA47" s="5"/>
    </row>
    <row r="48" spans="1:36" ht="21" customHeight="1" thickBot="1" x14ac:dyDescent="0.3">
      <c r="A48" s="15"/>
      <c r="B48" s="210"/>
      <c r="C48" s="15"/>
      <c r="D48" s="15"/>
      <c r="E48" s="15"/>
      <c r="F48" s="15"/>
      <c r="G48" s="15"/>
      <c r="H48" s="15"/>
      <c r="I48" s="15"/>
      <c r="J48" s="15"/>
      <c r="K48" s="228"/>
      <c r="L48" s="228"/>
      <c r="M48" s="228"/>
      <c r="N48" s="228"/>
      <c r="O48" s="228"/>
      <c r="P48" s="228"/>
      <c r="Q48" s="228"/>
      <c r="R48" s="2"/>
      <c r="S48" s="5"/>
      <c r="T48" s="5"/>
      <c r="U48" s="5"/>
      <c r="V48" s="5"/>
      <c r="W48" s="5"/>
      <c r="X48" s="5"/>
      <c r="Y48" s="5"/>
      <c r="Z48" s="5"/>
      <c r="AA48" s="5"/>
    </row>
    <row r="49" spans="1:27" ht="21" customHeight="1" x14ac:dyDescent="0.25">
      <c r="A49" s="426" t="s">
        <v>152</v>
      </c>
      <c r="B49" s="272"/>
      <c r="C49" s="429" t="s">
        <v>180</v>
      </c>
      <c r="D49" s="429"/>
      <c r="E49" s="429"/>
      <c r="F49" s="429"/>
      <c r="G49" s="429"/>
      <c r="H49" s="429"/>
      <c r="I49" s="429"/>
      <c r="J49" s="273"/>
      <c r="K49" s="429" t="s">
        <v>179</v>
      </c>
      <c r="L49" s="429"/>
      <c r="M49" s="429"/>
      <c r="N49" s="429"/>
      <c r="O49" s="429"/>
      <c r="P49" s="429"/>
      <c r="Q49" s="430"/>
      <c r="R49" s="2"/>
      <c r="S49" s="5"/>
      <c r="T49" s="5"/>
      <c r="U49" s="5"/>
      <c r="V49" s="5"/>
      <c r="W49" s="5"/>
      <c r="X49" s="5"/>
      <c r="Y49" s="5"/>
      <c r="Z49" s="5"/>
      <c r="AA49" s="5"/>
    </row>
    <row r="50" spans="1:27" ht="21" customHeight="1" x14ac:dyDescent="0.25">
      <c r="A50" s="427"/>
      <c r="B50" s="274"/>
      <c r="C50" s="2" t="s">
        <v>7</v>
      </c>
      <c r="D50" s="2" t="s">
        <v>1</v>
      </c>
      <c r="E50" s="2" t="s">
        <v>2</v>
      </c>
      <c r="F50" s="2" t="s">
        <v>3</v>
      </c>
      <c r="G50" s="2" t="s">
        <v>4</v>
      </c>
      <c r="H50" s="2" t="s">
        <v>5</v>
      </c>
      <c r="I50" s="2" t="s">
        <v>6</v>
      </c>
      <c r="J50" s="221"/>
      <c r="K50" s="2" t="s">
        <v>7</v>
      </c>
      <c r="L50" s="2" t="s">
        <v>1</v>
      </c>
      <c r="M50" s="2" t="s">
        <v>2</v>
      </c>
      <c r="N50" s="2" t="s">
        <v>3</v>
      </c>
      <c r="O50" s="2" t="s">
        <v>4</v>
      </c>
      <c r="P50" s="2" t="s">
        <v>5</v>
      </c>
      <c r="Q50" s="243" t="s">
        <v>6</v>
      </c>
      <c r="R50" s="2"/>
      <c r="S50" s="5"/>
      <c r="T50" s="5"/>
      <c r="U50" s="5"/>
      <c r="V50" s="5"/>
      <c r="W50" s="5"/>
      <c r="X50" s="5"/>
      <c r="Y50" s="5"/>
      <c r="Z50" s="5"/>
      <c r="AA50" s="5"/>
    </row>
    <row r="51" spans="1:27" ht="21" customHeight="1" x14ac:dyDescent="0.25">
      <c r="A51" s="427"/>
      <c r="B51" s="274" t="s">
        <v>174</v>
      </c>
      <c r="C51" s="276">
        <f t="shared" ref="C51:I51" si="9">GEOMEAN(C40:C47)</f>
        <v>11075.130332299772</v>
      </c>
      <c r="D51" s="276">
        <f t="shared" si="9"/>
        <v>1.1870033267632549</v>
      </c>
      <c r="E51" s="276">
        <f t="shared" si="9"/>
        <v>99.670903965371664</v>
      </c>
      <c r="F51" s="276">
        <f t="shared" si="9"/>
        <v>56652.547208691583</v>
      </c>
      <c r="G51" s="276">
        <f t="shared" si="9"/>
        <v>407.54279353971458</v>
      </c>
      <c r="H51" s="276">
        <f t="shared" si="9"/>
        <v>1667.4023797862849</v>
      </c>
      <c r="I51" s="276">
        <f t="shared" si="9"/>
        <v>454.72948229240592</v>
      </c>
      <c r="J51" s="221"/>
      <c r="K51" s="216">
        <f t="shared" ref="K51:Q51" si="10">AVERAGE(K40:K47)</f>
        <v>4.0443488457091528</v>
      </c>
      <c r="L51" s="216">
        <f t="shared" si="10"/>
        <v>7.4451936134793076E-2</v>
      </c>
      <c r="M51" s="216">
        <f t="shared" si="10"/>
        <v>1.9985683971130783</v>
      </c>
      <c r="N51" s="216">
        <f t="shared" si="10"/>
        <v>4.7532194413628641</v>
      </c>
      <c r="O51" s="216">
        <f t="shared" si="10"/>
        <v>2.6101732180388848</v>
      </c>
      <c r="P51" s="216">
        <f t="shared" si="10"/>
        <v>3.2220404170046728</v>
      </c>
      <c r="Q51" s="275">
        <f t="shared" si="10"/>
        <v>2.6577531125112981</v>
      </c>
      <c r="R51" s="2"/>
      <c r="S51" s="5"/>
      <c r="T51" s="5"/>
      <c r="U51" s="5"/>
      <c r="V51" s="5"/>
      <c r="W51" s="5"/>
      <c r="X51" s="5"/>
      <c r="Y51" s="5"/>
      <c r="Z51" s="5"/>
      <c r="AA51" s="5"/>
    </row>
    <row r="52" spans="1:27" ht="21" customHeight="1" x14ac:dyDescent="0.25">
      <c r="A52" s="427"/>
      <c r="B52" s="274" t="s">
        <v>172</v>
      </c>
      <c r="C52" s="216">
        <f t="shared" ref="C52:I52" si="11">STDEV(C40:C47)</f>
        <v>3631.1155310730614</v>
      </c>
      <c r="D52" s="216">
        <f t="shared" si="11"/>
        <v>1.6439325672649363</v>
      </c>
      <c r="E52" s="216">
        <f t="shared" si="11"/>
        <v>183.33376082201241</v>
      </c>
      <c r="F52" s="216">
        <f t="shared" si="11"/>
        <v>26808.514105996783</v>
      </c>
      <c r="G52" s="216">
        <f t="shared" si="11"/>
        <v>2146.2983416637521</v>
      </c>
      <c r="H52" s="216">
        <f t="shared" si="11"/>
        <v>1368.2522741491373</v>
      </c>
      <c r="I52" s="216">
        <f t="shared" si="11"/>
        <v>327.79566806167526</v>
      </c>
      <c r="J52" s="221"/>
      <c r="K52" s="216">
        <f t="shared" ref="K52:Q52" si="12">STDEV(K40:K47)</f>
        <v>0.16012366096202624</v>
      </c>
      <c r="L52" s="216">
        <f t="shared" si="12"/>
        <v>0.54002084602303035</v>
      </c>
      <c r="M52" s="216">
        <f t="shared" si="12"/>
        <v>0.48199519317485273</v>
      </c>
      <c r="N52" s="216">
        <f t="shared" si="12"/>
        <v>0.17099798067529243</v>
      </c>
      <c r="O52" s="216">
        <f t="shared" si="12"/>
        <v>0.60294007401783756</v>
      </c>
      <c r="P52" s="216">
        <f t="shared" si="12"/>
        <v>0.36762789301440951</v>
      </c>
      <c r="Q52" s="275">
        <f t="shared" si="12"/>
        <v>0.33790591684895455</v>
      </c>
      <c r="R52" s="2"/>
      <c r="S52" s="5"/>
      <c r="T52" s="5"/>
      <c r="U52" s="5"/>
      <c r="V52" s="5"/>
      <c r="W52" s="5"/>
      <c r="X52" s="5"/>
      <c r="Y52" s="5"/>
      <c r="Z52" s="2"/>
      <c r="AA52" s="2"/>
    </row>
    <row r="53" spans="1:27" ht="21" customHeight="1" x14ac:dyDescent="0.25">
      <c r="A53" s="427"/>
      <c r="B53" s="274" t="s">
        <v>147</v>
      </c>
      <c r="C53" s="216">
        <f>C52/SQRT(C54)</f>
        <v>1283.7932076467766</v>
      </c>
      <c r="D53" s="216">
        <f t="shared" ref="D53" si="13">D52/SQRT(D54)</f>
        <v>0.58121793306322322</v>
      </c>
      <c r="E53" s="216">
        <f t="shared" ref="E53" si="14">E52/SQRT(E54)</f>
        <v>64.81827274883878</v>
      </c>
      <c r="F53" s="216">
        <f t="shared" ref="F53" si="15">F52/SQRT(F54)</f>
        <v>9478.2410589427691</v>
      </c>
      <c r="G53" s="216">
        <f t="shared" ref="G53" si="16">G52/SQRT(G54)</f>
        <v>758.83105591994024</v>
      </c>
      <c r="H53" s="216">
        <f t="shared" ref="H53" si="17">H52/SQRT(H54)</f>
        <v>483.75023071238502</v>
      </c>
      <c r="I53" s="216">
        <f t="shared" ref="I53" si="18">I52/SQRT(I54)</f>
        <v>115.89326986499258</v>
      </c>
      <c r="J53" s="221"/>
      <c r="K53" s="216">
        <f t="shared" ref="K53" si="19">K52/SQRT(K54)</f>
        <v>5.6612263247332199E-2</v>
      </c>
      <c r="L53" s="216">
        <f t="shared" ref="L53" si="20">L52/SQRT(L54)</f>
        <v>0.19092620110249059</v>
      </c>
      <c r="M53" s="216">
        <f t="shared" ref="M53" si="21">M52/SQRT(M54)</f>
        <v>0.17041103479662914</v>
      </c>
      <c r="N53" s="216">
        <f t="shared" ref="N53" si="22">N52/SQRT(N54)</f>
        <v>6.0456915852352737E-2</v>
      </c>
      <c r="O53" s="216">
        <f t="shared" ref="O53" si="23">O52/SQRT(O54)</f>
        <v>0.21317150749356589</v>
      </c>
      <c r="P53" s="216">
        <f t="shared" ref="P53" si="24">P52/SQRT(P54)</f>
        <v>0.12997608805190577</v>
      </c>
      <c r="Q53" s="275">
        <f t="shared" ref="Q53" si="25">Q52/SQRT(Q54)</f>
        <v>0.11946778260347671</v>
      </c>
      <c r="R53" s="2"/>
      <c r="S53" s="5"/>
      <c r="T53" s="5"/>
      <c r="U53" s="5"/>
      <c r="V53" s="5"/>
      <c r="W53" s="5"/>
      <c r="X53" s="5"/>
      <c r="Y53" s="5"/>
      <c r="Z53" s="2"/>
      <c r="AA53" s="2"/>
    </row>
    <row r="54" spans="1:27" ht="21" customHeight="1" thickBot="1" x14ac:dyDescent="0.3">
      <c r="A54" s="428"/>
      <c r="B54" s="235" t="s">
        <v>173</v>
      </c>
      <c r="C54" s="254">
        <v>8</v>
      </c>
      <c r="D54" s="254">
        <v>8</v>
      </c>
      <c r="E54" s="254">
        <v>8</v>
      </c>
      <c r="F54" s="254">
        <v>8</v>
      </c>
      <c r="G54" s="254">
        <v>8</v>
      </c>
      <c r="H54" s="254">
        <v>8</v>
      </c>
      <c r="I54" s="254">
        <v>8</v>
      </c>
      <c r="J54" s="277"/>
      <c r="K54" s="254">
        <v>8</v>
      </c>
      <c r="L54" s="254">
        <v>8</v>
      </c>
      <c r="M54" s="254">
        <v>8</v>
      </c>
      <c r="N54" s="254">
        <v>8</v>
      </c>
      <c r="O54" s="254">
        <v>8</v>
      </c>
      <c r="P54" s="254">
        <v>8</v>
      </c>
      <c r="Q54" s="255">
        <v>8</v>
      </c>
      <c r="S54" s="2"/>
      <c r="T54" s="2"/>
      <c r="U54" s="2"/>
      <c r="V54" s="2"/>
      <c r="W54" s="2"/>
      <c r="X54" s="2"/>
      <c r="Y54" s="2"/>
      <c r="Z54" s="2"/>
      <c r="AA54" s="2"/>
    </row>
    <row r="55" spans="1:27" ht="12" customHeight="1" x14ac:dyDescent="0.25">
      <c r="A55" s="281"/>
      <c r="B55" s="282"/>
      <c r="C55" s="283"/>
      <c r="D55" s="283"/>
      <c r="E55" s="283"/>
      <c r="F55" s="283"/>
      <c r="G55" s="283"/>
      <c r="H55" s="283"/>
      <c r="I55" s="283"/>
      <c r="J55" s="283"/>
      <c r="K55" s="283"/>
      <c r="L55" s="283"/>
      <c r="M55" s="283"/>
      <c r="N55" s="283"/>
      <c r="O55" s="283"/>
      <c r="P55" s="283"/>
      <c r="Q55" s="283"/>
      <c r="S55" s="2"/>
      <c r="T55" s="2"/>
      <c r="U55" s="2"/>
      <c r="V55" s="2"/>
      <c r="W55" s="2"/>
      <c r="X55" s="2"/>
      <c r="Y55" s="2"/>
      <c r="Z55" s="2"/>
      <c r="AA55" s="2"/>
    </row>
    <row r="56" spans="1:27" s="15" customFormat="1" ht="21" customHeight="1" x14ac:dyDescent="0.25">
      <c r="A56" s="278"/>
      <c r="B56" s="247"/>
      <c r="C56" s="221"/>
      <c r="D56" s="221"/>
      <c r="E56" s="221"/>
      <c r="F56" s="221"/>
      <c r="G56" s="221"/>
      <c r="H56" s="221"/>
      <c r="I56" s="221"/>
      <c r="J56" s="221"/>
      <c r="K56" s="221"/>
      <c r="L56" s="221"/>
      <c r="M56" s="221"/>
      <c r="N56" s="221"/>
      <c r="O56" s="221"/>
      <c r="P56" s="221"/>
      <c r="Q56" s="221"/>
      <c r="S56" s="221"/>
      <c r="T56" s="221"/>
      <c r="U56" s="221"/>
      <c r="V56" s="221"/>
      <c r="W56" s="221"/>
      <c r="X56" s="221"/>
      <c r="Y56" s="221"/>
      <c r="Z56" s="221"/>
      <c r="AA56" s="221"/>
    </row>
    <row r="57" spans="1:27" ht="21" customHeight="1" x14ac:dyDescent="0.25">
      <c r="A57" s="432" t="s">
        <v>185</v>
      </c>
      <c r="B57" s="432"/>
      <c r="C57" s="432"/>
      <c r="D57" s="432"/>
      <c r="E57" s="432"/>
      <c r="F57" s="432"/>
      <c r="G57" s="432"/>
      <c r="H57" s="432"/>
      <c r="I57" s="432"/>
      <c r="J57" s="432"/>
      <c r="K57" s="432"/>
      <c r="L57" s="432"/>
      <c r="M57" s="432"/>
      <c r="N57" s="432"/>
      <c r="O57" s="432"/>
      <c r="P57" s="432"/>
      <c r="Q57" s="432"/>
      <c r="S57" s="2"/>
      <c r="T57" s="2"/>
      <c r="U57" s="2"/>
      <c r="V57" s="2"/>
      <c r="W57" s="2"/>
      <c r="X57" s="2"/>
      <c r="Y57" s="2"/>
      <c r="Z57" s="2"/>
      <c r="AA57" s="2"/>
    </row>
    <row r="58" spans="1:27" ht="21" customHeight="1" x14ac:dyDescent="0.25">
      <c r="A58" s="224"/>
      <c r="B58" s="265"/>
      <c r="C58" s="421" t="s">
        <v>175</v>
      </c>
      <c r="D58" s="421"/>
      <c r="E58" s="421"/>
      <c r="F58" s="421"/>
      <c r="G58" s="421"/>
      <c r="H58" s="421"/>
      <c r="I58" s="421"/>
      <c r="K58" s="421" t="s">
        <v>176</v>
      </c>
      <c r="L58" s="421"/>
      <c r="M58" s="421"/>
      <c r="N58" s="421"/>
      <c r="O58" s="421"/>
      <c r="P58" s="421"/>
      <c r="Q58" s="421"/>
      <c r="S58" s="2"/>
      <c r="T58" s="2"/>
      <c r="U58" s="2"/>
      <c r="V58" s="2"/>
      <c r="W58" s="2"/>
      <c r="X58" s="2"/>
      <c r="Y58" s="2"/>
      <c r="Z58" s="2"/>
      <c r="AA58" s="2"/>
    </row>
    <row r="59" spans="1:27" ht="21" customHeight="1" x14ac:dyDescent="0.25">
      <c r="A59" s="1" t="s">
        <v>140</v>
      </c>
      <c r="B59" s="3" t="s">
        <v>138</v>
      </c>
      <c r="C59" s="1" t="s">
        <v>7</v>
      </c>
      <c r="D59" s="1" t="s">
        <v>1</v>
      </c>
      <c r="E59" s="1" t="s">
        <v>2</v>
      </c>
      <c r="F59" s="1" t="s">
        <v>3</v>
      </c>
      <c r="G59" s="1" t="s">
        <v>4</v>
      </c>
      <c r="H59" s="1" t="s">
        <v>5</v>
      </c>
      <c r="I59" s="1" t="s">
        <v>6</v>
      </c>
      <c r="K59" s="1" t="s">
        <v>7</v>
      </c>
      <c r="L59" s="1" t="s">
        <v>1</v>
      </c>
      <c r="M59" s="1" t="s">
        <v>2</v>
      </c>
      <c r="N59" s="1" t="s">
        <v>3</v>
      </c>
      <c r="O59" s="1" t="s">
        <v>4</v>
      </c>
      <c r="P59" s="1" t="s">
        <v>5</v>
      </c>
      <c r="Q59" s="1" t="s">
        <v>6</v>
      </c>
      <c r="S59" s="2"/>
      <c r="T59" s="2"/>
      <c r="U59" s="2"/>
      <c r="V59" s="2"/>
      <c r="W59" s="2"/>
      <c r="X59" s="2"/>
      <c r="Y59" s="2"/>
      <c r="Z59" s="2"/>
      <c r="AA59" s="2"/>
    </row>
    <row r="60" spans="1:27" ht="21" customHeight="1" x14ac:dyDescent="0.25">
      <c r="A60" s="19" t="s">
        <v>171</v>
      </c>
      <c r="B60" s="270">
        <v>41044</v>
      </c>
      <c r="C60" s="266">
        <v>12200</v>
      </c>
      <c r="D60" s="266">
        <v>2.8</v>
      </c>
      <c r="E60" s="266">
        <v>152</v>
      </c>
      <c r="F60" s="266">
        <v>57500</v>
      </c>
      <c r="G60" s="266">
        <v>581</v>
      </c>
      <c r="H60" s="266">
        <v>2710</v>
      </c>
      <c r="I60" s="266">
        <v>748</v>
      </c>
      <c r="J60" s="266"/>
      <c r="K60" s="267">
        <f t="shared" ref="K60:O64" si="26">LOG(C60)</f>
        <v>4.0863598306747484</v>
      </c>
      <c r="L60" s="267">
        <f t="shared" si="26"/>
        <v>0.44715803134221921</v>
      </c>
      <c r="M60" s="267">
        <f t="shared" si="26"/>
        <v>2.1818435879447726</v>
      </c>
      <c r="N60" s="267">
        <f t="shared" si="26"/>
        <v>4.7596678446896306</v>
      </c>
      <c r="O60" s="267">
        <f t="shared" si="26"/>
        <v>2.7641761323903307</v>
      </c>
      <c r="P60" s="267">
        <f t="shared" si="1"/>
        <v>3.4329692908744058</v>
      </c>
      <c r="Q60" s="267">
        <f t="shared" si="1"/>
        <v>2.8739015978644615</v>
      </c>
      <c r="S60" s="2"/>
      <c r="T60" s="2"/>
      <c r="U60" s="2"/>
      <c r="V60" s="2"/>
      <c r="W60" s="2"/>
      <c r="X60" s="2"/>
      <c r="Y60" s="2"/>
      <c r="Z60" s="2"/>
      <c r="AA60" s="2"/>
    </row>
    <row r="61" spans="1:27" ht="21" customHeight="1" x14ac:dyDescent="0.25">
      <c r="A61" s="19" t="s">
        <v>171</v>
      </c>
      <c r="B61" s="270">
        <v>41186</v>
      </c>
      <c r="C61" s="266">
        <v>21500</v>
      </c>
      <c r="D61" s="266">
        <v>1.81</v>
      </c>
      <c r="E61" s="266">
        <v>179</v>
      </c>
      <c r="F61" s="266">
        <v>56900</v>
      </c>
      <c r="G61" s="266">
        <v>542</v>
      </c>
      <c r="H61" s="266">
        <v>1470</v>
      </c>
      <c r="I61" s="266">
        <v>646</v>
      </c>
      <c r="J61" s="266"/>
      <c r="K61" s="267">
        <f t="shared" si="26"/>
        <v>4.3324384599156049</v>
      </c>
      <c r="L61" s="267">
        <f t="shared" si="26"/>
        <v>0.2576785748691845</v>
      </c>
      <c r="M61" s="267">
        <f t="shared" si="26"/>
        <v>2.2528530309798933</v>
      </c>
      <c r="N61" s="267">
        <f t="shared" si="26"/>
        <v>4.7551122663950709</v>
      </c>
      <c r="O61" s="267">
        <f t="shared" si="26"/>
        <v>2.7339992865383871</v>
      </c>
      <c r="P61" s="267">
        <f t="shared" si="1"/>
        <v>3.167317334748176</v>
      </c>
      <c r="Q61" s="267">
        <f t="shared" si="1"/>
        <v>2.8102325179950842</v>
      </c>
      <c r="S61" s="2"/>
      <c r="T61" s="2"/>
      <c r="U61" s="2"/>
      <c r="V61" s="2"/>
      <c r="W61" s="2"/>
      <c r="X61" s="2"/>
      <c r="Y61" s="2"/>
      <c r="Z61" s="2"/>
      <c r="AA61" s="2"/>
    </row>
    <row r="62" spans="1:27" ht="21" customHeight="1" x14ac:dyDescent="0.25">
      <c r="A62" s="19" t="s">
        <v>171</v>
      </c>
      <c r="B62" s="270">
        <v>41408</v>
      </c>
      <c r="C62" s="266">
        <v>11800</v>
      </c>
      <c r="D62" s="266">
        <v>1.1499999999999999</v>
      </c>
      <c r="E62" s="266">
        <v>77.8</v>
      </c>
      <c r="F62" s="266">
        <v>45800</v>
      </c>
      <c r="G62" s="266">
        <v>299</v>
      </c>
      <c r="H62" s="266">
        <v>1210</v>
      </c>
      <c r="I62" s="266">
        <v>386</v>
      </c>
      <c r="J62" s="266"/>
      <c r="K62" s="267">
        <f t="shared" si="26"/>
        <v>4.071882007306125</v>
      </c>
      <c r="L62" s="267">
        <f t="shared" si="26"/>
        <v>6.069784035361165E-2</v>
      </c>
      <c r="M62" s="267">
        <f t="shared" si="26"/>
        <v>1.890979596989689</v>
      </c>
      <c r="N62" s="267">
        <f t="shared" si="26"/>
        <v>4.6608654780038696</v>
      </c>
      <c r="O62" s="267">
        <f t="shared" si="26"/>
        <v>2.4756711883244296</v>
      </c>
      <c r="P62" s="267">
        <f t="shared" si="1"/>
        <v>3.0827853703164503</v>
      </c>
      <c r="Q62" s="267">
        <f t="shared" si="1"/>
        <v>2.5865873046717551</v>
      </c>
      <c r="S62" s="2"/>
      <c r="T62" s="2"/>
      <c r="U62" s="2"/>
      <c r="V62" s="2"/>
      <c r="W62" s="2"/>
      <c r="X62" s="2"/>
      <c r="Y62" s="2"/>
      <c r="Z62" s="2"/>
      <c r="AA62" s="2"/>
    </row>
    <row r="63" spans="1:27" ht="21" customHeight="1" x14ac:dyDescent="0.25">
      <c r="A63" s="19" t="s">
        <v>171</v>
      </c>
      <c r="B63" s="270">
        <v>41743</v>
      </c>
      <c r="C63" s="266">
        <v>18900</v>
      </c>
      <c r="D63" s="266">
        <v>1.7</v>
      </c>
      <c r="E63" s="266">
        <v>145</v>
      </c>
      <c r="F63" s="266">
        <v>74600</v>
      </c>
      <c r="G63" s="266">
        <v>470</v>
      </c>
      <c r="H63" s="266">
        <v>1710</v>
      </c>
      <c r="I63" s="266">
        <v>616</v>
      </c>
      <c r="J63" s="266"/>
      <c r="K63" s="267">
        <f t="shared" si="26"/>
        <v>4.2764618041732438</v>
      </c>
      <c r="L63" s="267">
        <f t="shared" si="26"/>
        <v>0.23044892137827391</v>
      </c>
      <c r="M63" s="267">
        <f t="shared" si="26"/>
        <v>2.1613680022349748</v>
      </c>
      <c r="N63" s="267">
        <f t="shared" si="26"/>
        <v>4.8727388274726691</v>
      </c>
      <c r="O63" s="267">
        <f t="shared" si="26"/>
        <v>2.6720978579357175</v>
      </c>
      <c r="P63" s="267">
        <f t="shared" si="1"/>
        <v>3.2329961103921536</v>
      </c>
      <c r="Q63" s="267">
        <f t="shared" si="1"/>
        <v>2.7895807121644256</v>
      </c>
      <c r="S63" s="2"/>
      <c r="T63" s="2"/>
      <c r="U63" s="2"/>
      <c r="V63" s="2"/>
      <c r="W63" s="2"/>
      <c r="X63" s="2"/>
      <c r="Y63" s="2"/>
      <c r="Z63" s="2"/>
      <c r="AA63" s="2"/>
    </row>
    <row r="64" spans="1:27" ht="21" customHeight="1" x14ac:dyDescent="0.25">
      <c r="A64" s="19" t="s">
        <v>171</v>
      </c>
      <c r="B64" s="270">
        <v>41906</v>
      </c>
      <c r="C64" s="266">
        <v>9960</v>
      </c>
      <c r="D64" s="266">
        <v>3.03</v>
      </c>
      <c r="E64" s="266">
        <v>133</v>
      </c>
      <c r="F64" s="266">
        <v>42000</v>
      </c>
      <c r="G64" s="266">
        <v>499</v>
      </c>
      <c r="H64" s="266">
        <v>3400</v>
      </c>
      <c r="I64" s="266">
        <v>858</v>
      </c>
      <c r="J64" s="266"/>
      <c r="K64" s="267">
        <f t="shared" si="26"/>
        <v>3.9982593384236988</v>
      </c>
      <c r="L64" s="267">
        <f t="shared" si="26"/>
        <v>0.48144262850230496</v>
      </c>
      <c r="M64" s="267">
        <f t="shared" si="26"/>
        <v>2.1238516409670858</v>
      </c>
      <c r="N64" s="267">
        <f t="shared" si="26"/>
        <v>4.6232492903979008</v>
      </c>
      <c r="O64" s="267">
        <f t="shared" si="26"/>
        <v>2.6981005456233897</v>
      </c>
      <c r="P64" s="267">
        <f t="shared" si="1"/>
        <v>3.5314789170422549</v>
      </c>
      <c r="Q64" s="267">
        <f t="shared" si="1"/>
        <v>2.9334872878487053</v>
      </c>
      <c r="S64" s="2"/>
      <c r="T64" s="2"/>
      <c r="U64" s="2"/>
      <c r="V64" s="2"/>
      <c r="W64" s="2"/>
      <c r="X64" s="2"/>
      <c r="Y64" s="2"/>
      <c r="Z64" s="2"/>
      <c r="AA64" s="2"/>
    </row>
    <row r="65" spans="1:27" ht="21" customHeight="1" thickBot="1" x14ac:dyDescent="0.3">
      <c r="A65"/>
      <c r="B65"/>
      <c r="C65"/>
      <c r="D65"/>
      <c r="E65"/>
      <c r="F65"/>
      <c r="G65"/>
      <c r="H65"/>
      <c r="I65"/>
      <c r="S65" s="2"/>
      <c r="T65" s="2"/>
      <c r="U65" s="2"/>
      <c r="V65" s="2"/>
      <c r="W65" s="2"/>
      <c r="X65" s="2"/>
      <c r="Y65" s="2"/>
      <c r="Z65" s="2"/>
      <c r="AA65" s="2"/>
    </row>
    <row r="66" spans="1:27" ht="21" customHeight="1" x14ac:dyDescent="0.25">
      <c r="A66" s="426" t="s">
        <v>177</v>
      </c>
      <c r="B66" s="272"/>
      <c r="C66" s="429" t="s">
        <v>182</v>
      </c>
      <c r="D66" s="429"/>
      <c r="E66" s="429"/>
      <c r="F66" s="429"/>
      <c r="G66" s="429"/>
      <c r="H66" s="429"/>
      <c r="I66" s="429"/>
      <c r="J66" s="273"/>
      <c r="K66" s="429" t="s">
        <v>182</v>
      </c>
      <c r="L66" s="429"/>
      <c r="M66" s="429"/>
      <c r="N66" s="429"/>
      <c r="O66" s="429"/>
      <c r="P66" s="429"/>
      <c r="Q66" s="430"/>
      <c r="S66" s="2"/>
      <c r="T66" s="2"/>
      <c r="U66" s="2"/>
      <c r="V66" s="2"/>
      <c r="W66" s="2"/>
      <c r="X66" s="2"/>
      <c r="Y66" s="2"/>
      <c r="Z66" s="2"/>
      <c r="AA66" s="2"/>
    </row>
    <row r="67" spans="1:27" ht="21" customHeight="1" x14ac:dyDescent="0.25">
      <c r="A67" s="427"/>
      <c r="B67" s="274"/>
      <c r="C67" s="2" t="s">
        <v>7</v>
      </c>
      <c r="D67" s="2" t="s">
        <v>1</v>
      </c>
      <c r="E67" s="2" t="s">
        <v>2</v>
      </c>
      <c r="F67" s="2" t="s">
        <v>3</v>
      </c>
      <c r="G67" s="2" t="s">
        <v>4</v>
      </c>
      <c r="H67" s="2" t="s">
        <v>5</v>
      </c>
      <c r="I67" s="2" t="s">
        <v>6</v>
      </c>
      <c r="J67" s="221"/>
      <c r="K67" s="2" t="s">
        <v>7</v>
      </c>
      <c r="L67" s="2" t="s">
        <v>1</v>
      </c>
      <c r="M67" s="2" t="s">
        <v>2</v>
      </c>
      <c r="N67" s="2" t="s">
        <v>3</v>
      </c>
      <c r="O67" s="2" t="s">
        <v>4</v>
      </c>
      <c r="P67" s="2" t="s">
        <v>5</v>
      </c>
      <c r="Q67" s="243" t="s">
        <v>6</v>
      </c>
      <c r="S67" s="2"/>
      <c r="T67" s="2"/>
      <c r="U67" s="2"/>
      <c r="V67" s="2"/>
      <c r="W67" s="2"/>
      <c r="X67" s="2"/>
      <c r="Y67" s="2"/>
      <c r="Z67" s="2"/>
      <c r="AA67" s="2"/>
    </row>
    <row r="68" spans="1:27" ht="21" customHeight="1" x14ac:dyDescent="0.25">
      <c r="A68" s="427"/>
      <c r="B68" s="274" t="s">
        <v>174</v>
      </c>
      <c r="C68" s="276">
        <f t="shared" ref="C68:I68" si="27">GEOMEAN(C60:C64)</f>
        <v>14225.917576074929</v>
      </c>
      <c r="D68" s="276">
        <f t="shared" si="27"/>
        <v>1.9746275831594655</v>
      </c>
      <c r="E68" s="276">
        <f t="shared" si="27"/>
        <v>132.4888016098806</v>
      </c>
      <c r="F68" s="276">
        <f t="shared" si="27"/>
        <v>54240.881812754247</v>
      </c>
      <c r="G68" s="276">
        <f t="shared" si="27"/>
        <v>466.45419388041404</v>
      </c>
      <c r="H68" s="276">
        <f t="shared" si="27"/>
        <v>1947.6432258239593</v>
      </c>
      <c r="I68" s="276">
        <f t="shared" si="27"/>
        <v>629.15533572467848</v>
      </c>
      <c r="J68" s="276"/>
      <c r="K68" s="216">
        <f t="shared" ref="K68:Q68" si="28">AVERAGE(K60:K64)</f>
        <v>4.1530802880986837</v>
      </c>
      <c r="L68" s="216">
        <f t="shared" si="28"/>
        <v>0.29548519928911887</v>
      </c>
      <c r="M68" s="216">
        <f t="shared" si="28"/>
        <v>2.1221791718232828</v>
      </c>
      <c r="N68" s="216">
        <f t="shared" si="28"/>
        <v>4.7343267413918282</v>
      </c>
      <c r="O68" s="216">
        <f t="shared" si="28"/>
        <v>2.6688090021624511</v>
      </c>
      <c r="P68" s="216">
        <f t="shared" si="28"/>
        <v>3.2895094046746882</v>
      </c>
      <c r="Q68" s="275">
        <f t="shared" si="28"/>
        <v>2.7987578841088867</v>
      </c>
      <c r="S68" s="2"/>
      <c r="T68" s="2"/>
      <c r="U68" s="2"/>
      <c r="V68" s="2"/>
      <c r="W68" s="2"/>
      <c r="X68" s="2"/>
      <c r="Y68" s="2"/>
    </row>
    <row r="69" spans="1:27" ht="21" customHeight="1" x14ac:dyDescent="0.25">
      <c r="A69" s="427"/>
      <c r="B69" s="274" t="s">
        <v>172</v>
      </c>
      <c r="C69" s="216">
        <f t="shared" ref="C69:I69" si="29">STDEV(C60:C64)</f>
        <v>5021.4460068788949</v>
      </c>
      <c r="D69" s="216">
        <f t="shared" si="29"/>
        <v>0.79080338896592905</v>
      </c>
      <c r="E69" s="216">
        <f t="shared" si="29"/>
        <v>37.326237420881348</v>
      </c>
      <c r="F69" s="216">
        <f t="shared" si="29"/>
        <v>12718.215283600133</v>
      </c>
      <c r="G69" s="216">
        <f t="shared" si="29"/>
        <v>108.68624567993878</v>
      </c>
      <c r="H69" s="216">
        <f t="shared" si="29"/>
        <v>922.38820460801639</v>
      </c>
      <c r="I69" s="216">
        <f t="shared" si="29"/>
        <v>175.87836706087521</v>
      </c>
      <c r="J69" s="221"/>
      <c r="K69" s="216">
        <f t="shared" ref="K69:Q69" si="30">STDEV(K60:K64)</f>
        <v>0.14353280026456997</v>
      </c>
      <c r="L69" s="216">
        <f t="shared" si="30"/>
        <v>0.17202396320936103</v>
      </c>
      <c r="M69" s="216">
        <f t="shared" si="30"/>
        <v>0.13750209544158576</v>
      </c>
      <c r="N69" s="216">
        <f t="shared" si="30"/>
        <v>9.7425449032996242E-2</v>
      </c>
      <c r="O69" s="216">
        <f t="shared" si="30"/>
        <v>0.11348533928405512</v>
      </c>
      <c r="P69" s="216">
        <f t="shared" si="30"/>
        <v>0.18707582996526428</v>
      </c>
      <c r="Q69" s="275">
        <f t="shared" si="30"/>
        <v>0.13136859635723014</v>
      </c>
      <c r="S69" s="2"/>
      <c r="T69" s="2"/>
      <c r="U69" s="2"/>
      <c r="V69" s="2"/>
      <c r="W69" s="2"/>
      <c r="X69" s="2"/>
      <c r="Y69" s="2"/>
    </row>
    <row r="70" spans="1:27" ht="21" customHeight="1" x14ac:dyDescent="0.25">
      <c r="A70" s="427"/>
      <c r="B70" s="274" t="s">
        <v>147</v>
      </c>
      <c r="C70" s="216">
        <f>C69/SQRT(C71)</f>
        <v>2245.6589233452169</v>
      </c>
      <c r="D70" s="216">
        <f t="shared" ref="D70" si="31">D69/SQRT(D71)</f>
        <v>0.35365802691300491</v>
      </c>
      <c r="E70" s="216">
        <f t="shared" ref="E70" si="32">E69/SQRT(E71)</f>
        <v>16.692800843477425</v>
      </c>
      <c r="F70" s="216">
        <f t="shared" ref="F70" si="33">F69/SQRT(F71)</f>
        <v>5687.7587853213327</v>
      </c>
      <c r="G70" s="216">
        <f t="shared" ref="G70" si="34">G69/SQRT(G71)</f>
        <v>48.605966711917191</v>
      </c>
      <c r="H70" s="216">
        <f t="shared" ref="H70" si="35">H69/SQRT(H71)</f>
        <v>412.50454542950189</v>
      </c>
      <c r="I70" s="216">
        <f t="shared" ref="I70" si="36">I69/SQRT(I71)</f>
        <v>78.655196903955371</v>
      </c>
      <c r="J70" s="221"/>
      <c r="K70" s="216">
        <f t="shared" ref="K70" si="37">K69/SQRT(K71)</f>
        <v>6.4189819678495644E-2</v>
      </c>
      <c r="L70" s="216">
        <f t="shared" ref="L70" si="38">L69/SQRT(L71)</f>
        <v>7.6931455099010823E-2</v>
      </c>
      <c r="M70" s="216">
        <f t="shared" ref="M70" si="39">M69/SQRT(M71)</f>
        <v>6.1492806491209938E-2</v>
      </c>
      <c r="N70" s="216">
        <f t="shared" ref="N70" si="40">N69/SQRT(N71)</f>
        <v>4.3569985355244145E-2</v>
      </c>
      <c r="O70" s="216">
        <f t="shared" ref="O70" si="41">O69/SQRT(O71)</f>
        <v>5.0752186617754907E-2</v>
      </c>
      <c r="P70" s="216">
        <f t="shared" ref="P70" si="42">P69/SQRT(P71)</f>
        <v>8.3662854549904603E-2</v>
      </c>
      <c r="Q70" s="275">
        <f t="shared" ref="Q70" si="43">Q69/SQRT(Q71)</f>
        <v>5.8749822312699568E-2</v>
      </c>
    </row>
    <row r="71" spans="1:27" ht="21" customHeight="1" thickBot="1" x14ac:dyDescent="0.3">
      <c r="A71" s="428"/>
      <c r="B71" s="235" t="s">
        <v>173</v>
      </c>
      <c r="C71" s="254">
        <v>5</v>
      </c>
      <c r="D71" s="254">
        <v>5</v>
      </c>
      <c r="E71" s="254">
        <v>5</v>
      </c>
      <c r="F71" s="254">
        <v>5</v>
      </c>
      <c r="G71" s="254">
        <v>5</v>
      </c>
      <c r="H71" s="254">
        <v>5</v>
      </c>
      <c r="I71" s="254">
        <v>5</v>
      </c>
      <c r="J71" s="277"/>
      <c r="K71" s="254">
        <v>5</v>
      </c>
      <c r="L71" s="254">
        <v>5</v>
      </c>
      <c r="M71" s="254">
        <v>5</v>
      </c>
      <c r="N71" s="254">
        <v>5</v>
      </c>
      <c r="O71" s="254">
        <v>5</v>
      </c>
      <c r="P71" s="254">
        <v>5</v>
      </c>
      <c r="Q71" s="255">
        <v>5</v>
      </c>
    </row>
    <row r="73" spans="1:27" ht="21" customHeight="1" x14ac:dyDescent="0.25">
      <c r="A73" s="431" t="s">
        <v>321</v>
      </c>
      <c r="B73" s="431"/>
      <c r="C73" s="431"/>
      <c r="D73" s="431"/>
      <c r="E73" s="431"/>
      <c r="F73" s="431"/>
      <c r="G73" s="431"/>
      <c r="H73" s="431"/>
      <c r="I73" s="431"/>
      <c r="J73" s="431"/>
      <c r="K73" s="431"/>
      <c r="L73" s="431"/>
      <c r="M73" s="431"/>
      <c r="N73" s="431"/>
      <c r="O73" s="431"/>
      <c r="P73" s="431"/>
      <c r="Q73" s="431"/>
      <c r="R73" s="410"/>
      <c r="S73" s="410"/>
      <c r="T73" s="410"/>
      <c r="U73" s="410"/>
      <c r="V73" s="410"/>
      <c r="W73" s="410"/>
      <c r="X73" s="410"/>
      <c r="Y73" s="15"/>
    </row>
    <row r="74" spans="1:27" ht="21" customHeight="1" x14ac:dyDescent="0.25">
      <c r="A74" s="349" t="s">
        <v>304</v>
      </c>
      <c r="B74" s="28"/>
      <c r="C74" s="28"/>
      <c r="D74" s="28"/>
      <c r="E74" s="28"/>
      <c r="F74" s="28"/>
      <c r="G74" s="28"/>
      <c r="H74" s="28"/>
      <c r="I74" s="28"/>
      <c r="J74" s="28"/>
      <c r="K74" s="28"/>
      <c r="L74" s="28"/>
      <c r="M74" s="28"/>
      <c r="N74" s="28"/>
      <c r="O74" s="28"/>
    </row>
    <row r="75" spans="1:27" ht="21" customHeight="1" x14ac:dyDescent="0.25">
      <c r="A75" s="28" t="s">
        <v>263</v>
      </c>
      <c r="B75" s="28"/>
      <c r="C75" s="28"/>
      <c r="D75" s="28"/>
      <c r="E75" s="28"/>
      <c r="F75" s="28"/>
      <c r="G75" s="28"/>
      <c r="H75" s="28"/>
      <c r="I75" s="28"/>
      <c r="J75" s="28"/>
      <c r="K75" s="28"/>
      <c r="L75" s="28" t="s">
        <v>288</v>
      </c>
      <c r="M75" s="28"/>
      <c r="N75" s="28"/>
      <c r="O75" s="28"/>
    </row>
    <row r="76" spans="1:27" ht="21" customHeight="1" x14ac:dyDescent="0.25">
      <c r="A76" s="28"/>
      <c r="B76" s="28"/>
      <c r="C76" s="28"/>
      <c r="D76" s="28"/>
      <c r="E76" s="28"/>
      <c r="F76" s="28"/>
      <c r="G76" s="28"/>
      <c r="H76" s="28"/>
      <c r="I76" s="28"/>
      <c r="J76" s="28"/>
      <c r="K76" s="28"/>
      <c r="L76" s="28"/>
      <c r="M76" s="28"/>
      <c r="N76" s="28"/>
      <c r="O76" s="28"/>
    </row>
    <row r="77" spans="1:27" ht="21" customHeight="1" thickBot="1" x14ac:dyDescent="0.3">
      <c r="A77" s="28" t="s">
        <v>264</v>
      </c>
      <c r="B77" s="28"/>
      <c r="C77" s="28"/>
      <c r="D77" s="28" t="s">
        <v>265</v>
      </c>
      <c r="E77" s="28">
        <v>0</v>
      </c>
      <c r="F77" s="28"/>
      <c r="G77" s="28"/>
      <c r="H77" s="28"/>
      <c r="I77" s="28"/>
      <c r="J77" s="28"/>
      <c r="K77" s="28"/>
      <c r="L77" s="28"/>
      <c r="M77" s="28" t="s">
        <v>289</v>
      </c>
      <c r="N77" s="28" t="s">
        <v>290</v>
      </c>
      <c r="O77" s="28"/>
    </row>
    <row r="78" spans="1:27" ht="21" customHeight="1" thickTop="1" x14ac:dyDescent="0.25">
      <c r="A78" s="350" t="s">
        <v>266</v>
      </c>
      <c r="B78" s="350" t="s">
        <v>267</v>
      </c>
      <c r="C78" s="350" t="s">
        <v>117</v>
      </c>
      <c r="D78" s="350" t="s">
        <v>268</v>
      </c>
      <c r="E78" s="350" t="s">
        <v>269</v>
      </c>
      <c r="F78" s="28"/>
      <c r="G78" s="28"/>
      <c r="H78" s="28"/>
      <c r="I78" s="28"/>
      <c r="J78" s="28"/>
      <c r="K78" s="28"/>
      <c r="L78" s="28" t="s">
        <v>291</v>
      </c>
      <c r="M78" s="351">
        <f>COUNT(K6:K27)</f>
        <v>22</v>
      </c>
      <c r="N78" s="352">
        <f>COUNT(K60:K64)</f>
        <v>5</v>
      </c>
      <c r="O78" s="28"/>
    </row>
    <row r="79" spans="1:27" ht="21" customHeight="1" x14ac:dyDescent="0.25">
      <c r="A79" s="28" t="s">
        <v>270</v>
      </c>
      <c r="B79" s="28">
        <f>COUNT(K6:K27)</f>
        <v>22</v>
      </c>
      <c r="C79" s="28">
        <f>AVERAGE(K6:K27)</f>
        <v>3.9042687987276836</v>
      </c>
      <c r="D79" s="28">
        <f>VAR(K6:K27)</f>
        <v>1.0644551201178572E-2</v>
      </c>
      <c r="E79" s="28"/>
      <c r="F79" s="28"/>
      <c r="G79" s="28"/>
      <c r="H79" s="28"/>
      <c r="I79" s="28"/>
      <c r="J79" s="28"/>
      <c r="K79" s="28"/>
      <c r="L79" s="28" t="s">
        <v>292</v>
      </c>
      <c r="M79" s="353">
        <f>MEDIAN(K6:K27)</f>
        <v>3.8808135922807914</v>
      </c>
      <c r="N79" s="339">
        <f>MEDIAN(K60:K64)</f>
        <v>4.0863598306747484</v>
      </c>
      <c r="O79" s="28"/>
    </row>
    <row r="80" spans="1:27" ht="21" customHeight="1" x14ac:dyDescent="0.25">
      <c r="A80" s="28" t="s">
        <v>271</v>
      </c>
      <c r="B80" s="28">
        <f>COUNT(K60:K64)</f>
        <v>5</v>
      </c>
      <c r="C80" s="28">
        <f>AVERAGE(K60:K64)</f>
        <v>4.1530802880986837</v>
      </c>
      <c r="D80" s="28">
        <f>VAR(K60:K64)</f>
        <v>2.0601664751788935E-2</v>
      </c>
      <c r="E80" s="28"/>
      <c r="F80" s="28"/>
      <c r="G80" s="28"/>
      <c r="H80" s="28"/>
      <c r="I80" s="28"/>
      <c r="J80" s="28"/>
      <c r="K80" s="28"/>
      <c r="L80" s="28" t="s">
        <v>293</v>
      </c>
      <c r="M80" s="353">
        <v>260</v>
      </c>
      <c r="N80" s="339">
        <v>118</v>
      </c>
      <c r="O80" s="28"/>
    </row>
    <row r="81" spans="1:15" ht="21" customHeight="1" x14ac:dyDescent="0.25">
      <c r="A81" s="354" t="s">
        <v>272</v>
      </c>
      <c r="B81" s="354"/>
      <c r="C81" s="354"/>
      <c r="D81" s="354">
        <f>((B79-1)*D79+(B80-1)*D80)/(B79+B80-2)</f>
        <v>1.2237689369276231E-2</v>
      </c>
      <c r="E81" s="354">
        <f>ABS(C79-C80-E77)/SQRT(D81)</f>
        <v>2.2491619008852282</v>
      </c>
      <c r="F81" s="28"/>
      <c r="G81" s="28"/>
      <c r="H81" s="28"/>
      <c r="I81" s="28"/>
      <c r="J81" s="28"/>
      <c r="K81" s="28"/>
      <c r="L81" s="28" t="s">
        <v>294</v>
      </c>
      <c r="M81" s="355">
        <f>M78*N78+M78*(M78+1)/2-M80</f>
        <v>103</v>
      </c>
      <c r="N81" s="356">
        <f>M78*N78+N78*(N78+1)/2-N80</f>
        <v>7</v>
      </c>
      <c r="O81" s="28"/>
    </row>
    <row r="82" spans="1:15" ht="21" customHeight="1" x14ac:dyDescent="0.25">
      <c r="A82" s="28"/>
      <c r="B82" s="28"/>
      <c r="C82" s="28"/>
      <c r="D82" s="28"/>
      <c r="E82" s="28"/>
      <c r="F82" s="28"/>
      <c r="G82" s="28"/>
      <c r="H82" s="28"/>
      <c r="I82" s="28"/>
      <c r="J82" s="28"/>
      <c r="K82" s="28"/>
      <c r="L82" s="28"/>
      <c r="M82" s="28"/>
      <c r="N82" s="28"/>
      <c r="O82" s="28"/>
    </row>
    <row r="83" spans="1:15" ht="21" customHeight="1" thickBot="1" x14ac:dyDescent="0.3">
      <c r="A83" s="28" t="s">
        <v>273</v>
      </c>
      <c r="B83" s="28"/>
      <c r="C83" s="28"/>
      <c r="D83" s="28"/>
      <c r="E83" s="28" t="s">
        <v>274</v>
      </c>
      <c r="F83" s="28">
        <v>0.05</v>
      </c>
      <c r="G83" s="28"/>
      <c r="H83" s="28"/>
      <c r="I83" s="28"/>
      <c r="J83" s="28"/>
      <c r="K83" s="28"/>
      <c r="L83" s="28"/>
      <c r="M83" s="357" t="s">
        <v>295</v>
      </c>
      <c r="N83" s="357" t="s">
        <v>296</v>
      </c>
      <c r="O83" s="28"/>
    </row>
    <row r="84" spans="1:15" ht="21" customHeight="1" thickTop="1" x14ac:dyDescent="0.25">
      <c r="A84" s="350" t="s">
        <v>275</v>
      </c>
      <c r="B84" s="350" t="s">
        <v>276</v>
      </c>
      <c r="C84" s="350" t="s">
        <v>277</v>
      </c>
      <c r="D84" s="350" t="s">
        <v>278</v>
      </c>
      <c r="E84" s="350" t="s">
        <v>279</v>
      </c>
      <c r="F84" s="350" t="s">
        <v>280</v>
      </c>
      <c r="G84" s="350" t="s">
        <v>281</v>
      </c>
      <c r="H84" s="350" t="s">
        <v>282</v>
      </c>
      <c r="I84" s="350" t="s">
        <v>283</v>
      </c>
      <c r="J84" s="350" t="s">
        <v>284</v>
      </c>
      <c r="K84" s="28"/>
      <c r="L84" s="28" t="s">
        <v>297</v>
      </c>
      <c r="M84" s="358">
        <v>0.05</v>
      </c>
      <c r="N84" s="28"/>
      <c r="O84" s="28"/>
    </row>
    <row r="85" spans="1:15" ht="21" customHeight="1" x14ac:dyDescent="0.25">
      <c r="A85" s="28" t="s">
        <v>285</v>
      </c>
      <c r="B85" s="28">
        <f>SQRT(D81*(1/B79+1/B80))</f>
        <v>5.4806901769299282E-2</v>
      </c>
      <c r="C85" s="28">
        <f>(ABS(C79-C80-E77))/B85</f>
        <v>4.5397838837584992</v>
      </c>
      <c r="D85" s="28">
        <f>B79+B80-2</f>
        <v>25</v>
      </c>
      <c r="E85" s="28">
        <f>TDIST(C85,D85,1)</f>
        <v>6.1422324593827751E-5</v>
      </c>
      <c r="F85" s="28">
        <f>TINV(F83*2,D85)</f>
        <v>1.7081407612518986</v>
      </c>
      <c r="G85" s="28"/>
      <c r="H85" s="28"/>
      <c r="I85" s="28" t="str">
        <f>IF(E85&lt;F83,"yes","no")</f>
        <v>yes</v>
      </c>
      <c r="J85" s="28">
        <f>SQRT(C85^2/(C85^2+D85))</f>
        <v>0.67221293873937571</v>
      </c>
      <c r="K85" s="28"/>
      <c r="L85" s="28" t="s">
        <v>294</v>
      </c>
      <c r="M85" s="359">
        <f>MIN(M81,N81)</f>
        <v>7</v>
      </c>
      <c r="N85" s="28"/>
      <c r="O85" s="28"/>
    </row>
    <row r="86" spans="1:15" ht="21" customHeight="1" x14ac:dyDescent="0.25">
      <c r="A86" s="28" t="s">
        <v>286</v>
      </c>
      <c r="B86" s="28">
        <f>B85</f>
        <v>5.4806901769299282E-2</v>
      </c>
      <c r="C86" s="28">
        <f t="shared" ref="C86:D86" si="44">C85</f>
        <v>4.5397838837584992</v>
      </c>
      <c r="D86" s="28">
        <f t="shared" si="44"/>
        <v>25</v>
      </c>
      <c r="E86" s="28">
        <f>TDIST(C86,D86,2)</f>
        <v>1.228446491876555E-4</v>
      </c>
      <c r="F86" s="28">
        <f>TINV(F83,D86)</f>
        <v>2.0595385527532977</v>
      </c>
      <c r="G86" s="28">
        <f>(C79-C80)-F86*B86</f>
        <v>-0.36168841652183487</v>
      </c>
      <c r="H86" s="28">
        <f>(C79-C80)+F86*B86</f>
        <v>-0.13593456222016526</v>
      </c>
      <c r="I86" s="28" t="str">
        <f>IF(E86&lt;F83,"yes","no")</f>
        <v>yes</v>
      </c>
      <c r="J86" s="28">
        <f>J85</f>
        <v>0.67221293873937571</v>
      </c>
      <c r="K86" s="28"/>
      <c r="L86" s="28" t="s">
        <v>298</v>
      </c>
      <c r="M86" s="359">
        <f>M78*N78/2</f>
        <v>55</v>
      </c>
      <c r="N86" s="28"/>
      <c r="O86" s="28"/>
    </row>
    <row r="87" spans="1:15" ht="21" customHeight="1" x14ac:dyDescent="0.25">
      <c r="A87" s="354"/>
      <c r="B87" s="354"/>
      <c r="C87" s="354"/>
      <c r="D87" s="354"/>
      <c r="E87" s="354"/>
      <c r="F87" s="354"/>
      <c r="G87" s="354"/>
      <c r="H87" s="354"/>
      <c r="I87" s="354"/>
      <c r="J87" s="354"/>
      <c r="K87" s="28"/>
      <c r="L87" s="28" t="s">
        <v>299</v>
      </c>
      <c r="M87" s="359">
        <v>15.996349298611571</v>
      </c>
      <c r="N87" s="28" t="s">
        <v>300</v>
      </c>
      <c r="O87" s="28"/>
    </row>
    <row r="88" spans="1:15" ht="21" customHeight="1" thickBot="1" x14ac:dyDescent="0.3">
      <c r="A88" s="28" t="s">
        <v>287</v>
      </c>
      <c r="B88" s="28"/>
      <c r="C88" s="28"/>
      <c r="D88" s="28"/>
      <c r="E88" s="28" t="s">
        <v>274</v>
      </c>
      <c r="F88" s="28">
        <f>F83</f>
        <v>0.05</v>
      </c>
      <c r="G88" s="28"/>
      <c r="H88" s="28"/>
      <c r="I88" s="28"/>
      <c r="J88" s="28"/>
      <c r="K88" s="28"/>
      <c r="L88" s="28" t="s">
        <v>19</v>
      </c>
      <c r="M88" s="359">
        <f>ABS(STANDARDIZE(M85,M86,M87))</f>
        <v>3.0006846627290287</v>
      </c>
      <c r="N88" s="28"/>
      <c r="O88" s="28"/>
    </row>
    <row r="89" spans="1:15" ht="21" customHeight="1" thickTop="1" x14ac:dyDescent="0.25">
      <c r="A89" s="350" t="s">
        <v>275</v>
      </c>
      <c r="B89" s="350" t="s">
        <v>276</v>
      </c>
      <c r="C89" s="350" t="s">
        <v>277</v>
      </c>
      <c r="D89" s="350" t="s">
        <v>278</v>
      </c>
      <c r="E89" s="350" t="s">
        <v>279</v>
      </c>
      <c r="F89" s="350" t="s">
        <v>280</v>
      </c>
      <c r="G89" s="350" t="s">
        <v>281</v>
      </c>
      <c r="H89" s="350" t="s">
        <v>282</v>
      </c>
      <c r="I89" s="350" t="s">
        <v>283</v>
      </c>
      <c r="J89" s="350" t="s">
        <v>284</v>
      </c>
      <c r="K89" s="28"/>
      <c r="L89" s="28" t="s">
        <v>284</v>
      </c>
      <c r="M89" s="359">
        <f>M88/SQRT(M78+N78)</f>
        <v>0.57748203259326203</v>
      </c>
      <c r="N89" s="28"/>
      <c r="O89" s="28"/>
    </row>
    <row r="90" spans="1:15" ht="21" customHeight="1" x14ac:dyDescent="0.25">
      <c r="A90" s="28" t="s">
        <v>285</v>
      </c>
      <c r="B90" s="28">
        <f>SQRT(D79/B79+D80/B80)</f>
        <v>6.7854080104110134E-2</v>
      </c>
      <c r="C90" s="28">
        <f>(ABS(C79-C80-E77))/B90</f>
        <v>3.6668611377420879</v>
      </c>
      <c r="D90" s="28">
        <f>(D79/B79+D80/B80)^2/((D79/B79)^2/(B79-1)+(D80/B80)^2/(B80-1))</f>
        <v>4.9814988818787729</v>
      </c>
      <c r="E90" s="28">
        <f>TDIST(C90,ROUND(D90,0),1)</f>
        <v>7.245367196185867E-3</v>
      </c>
      <c r="F90" s="28">
        <f>TINV(F88*2,ROUND(D90,0))</f>
        <v>2.0150483733330233</v>
      </c>
      <c r="G90" s="28"/>
      <c r="H90" s="28"/>
      <c r="I90" s="28" t="str">
        <f>IF(E90&lt;F88,"yes","no")</f>
        <v>yes</v>
      </c>
      <c r="J90" s="28">
        <f>SQRT(C90^2/(C90^2+D90))</f>
        <v>0.85420634257576145</v>
      </c>
      <c r="K90" s="28"/>
      <c r="L90" s="28" t="s">
        <v>301</v>
      </c>
      <c r="M90" s="358">
        <f>M86+M87*NORMSINV(M84)</f>
        <v>28.688346838196111</v>
      </c>
      <c r="N90" s="352">
        <f>M86+M87*NORMSINV(M84/2)</f>
        <v>23.647731490598769</v>
      </c>
      <c r="O90" s="28"/>
    </row>
    <row r="91" spans="1:15" ht="21" customHeight="1" x14ac:dyDescent="0.25">
      <c r="A91" s="28" t="s">
        <v>286</v>
      </c>
      <c r="B91" s="28">
        <f>B90</f>
        <v>6.7854080104110134E-2</v>
      </c>
      <c r="C91" s="28">
        <f t="shared" ref="C91:D91" si="45">C90</f>
        <v>3.6668611377420879</v>
      </c>
      <c r="D91" s="28">
        <f t="shared" si="45"/>
        <v>4.9814988818787729</v>
      </c>
      <c r="E91" s="28">
        <f>TDIST(C91,ROUND(D91,0),2)</f>
        <v>1.4490734392371734E-2</v>
      </c>
      <c r="F91" s="28">
        <f>TINV(F88,ROUND(D91,0))</f>
        <v>2.570581835636315</v>
      </c>
      <c r="G91" s="28">
        <f>(C79-C80)-F91*B91</f>
        <v>-0.42323595516043705</v>
      </c>
      <c r="H91" s="28">
        <f>(C79-C80)+F91*B91</f>
        <v>-7.4387023581563072E-2</v>
      </c>
      <c r="I91" s="28" t="str">
        <f>IF(E91&lt;F88,"yes","no")</f>
        <v>yes</v>
      </c>
      <c r="J91" s="28">
        <f>J90</f>
        <v>0.85420634257576145</v>
      </c>
      <c r="K91" s="28"/>
      <c r="L91" s="28" t="s">
        <v>279</v>
      </c>
      <c r="M91" s="359">
        <f>1-NORMSDIST(M88)</f>
        <v>1.3468668245361082E-3</v>
      </c>
      <c r="N91" s="339">
        <f>2*M91</f>
        <v>2.6937336490722164E-3</v>
      </c>
      <c r="O91" s="28"/>
    </row>
    <row r="92" spans="1:15" ht="21" customHeight="1" x14ac:dyDescent="0.25">
      <c r="A92" s="354"/>
      <c r="B92" s="354"/>
      <c r="C92" s="354"/>
      <c r="D92" s="354"/>
      <c r="E92" s="354"/>
      <c r="F92" s="354"/>
      <c r="G92" s="354"/>
      <c r="H92" s="354"/>
      <c r="I92" s="354"/>
      <c r="J92" s="354"/>
      <c r="K92" s="28"/>
      <c r="L92" s="28" t="s">
        <v>302</v>
      </c>
      <c r="M92" s="360" t="str">
        <f>IF(M91&lt;M84,"yes","no")</f>
        <v>yes</v>
      </c>
      <c r="N92" s="361" t="str">
        <f>IF(N91&lt;M84,"yes","no")</f>
        <v>yes</v>
      </c>
      <c r="O92" s="28"/>
    </row>
    <row r="93" spans="1:15" ht="21" customHeight="1" x14ac:dyDescent="0.25">
      <c r="A93" s="28"/>
      <c r="B93" s="28"/>
      <c r="C93" s="28"/>
      <c r="D93" s="28"/>
      <c r="E93" s="28"/>
      <c r="F93" s="28"/>
      <c r="G93" s="28"/>
      <c r="H93" s="28"/>
      <c r="I93" s="28"/>
      <c r="J93" s="28"/>
      <c r="K93" s="28"/>
      <c r="L93" s="28"/>
      <c r="M93" s="28"/>
      <c r="N93" s="28"/>
      <c r="O93" s="28"/>
    </row>
    <row r="94" spans="1:15" ht="21" customHeight="1" x14ac:dyDescent="0.25">
      <c r="A94" s="28"/>
      <c r="B94" s="28"/>
      <c r="C94" s="28"/>
      <c r="D94" s="28"/>
      <c r="E94" s="28"/>
      <c r="F94" s="28"/>
      <c r="G94" s="28"/>
      <c r="H94" s="28"/>
      <c r="I94" s="28"/>
      <c r="J94" s="28"/>
      <c r="K94" s="28"/>
      <c r="L94" s="28"/>
      <c r="M94" s="28"/>
      <c r="N94" s="28"/>
      <c r="O94" s="28"/>
    </row>
    <row r="95" spans="1:15" ht="21" customHeight="1" x14ac:dyDescent="0.25">
      <c r="A95" s="28"/>
      <c r="B95" s="28"/>
      <c r="C95" s="28"/>
      <c r="D95" s="28"/>
      <c r="E95" s="28"/>
      <c r="F95" s="28"/>
      <c r="G95" s="28"/>
      <c r="H95" s="28"/>
      <c r="I95" s="28"/>
      <c r="J95" s="28"/>
      <c r="K95" s="28"/>
      <c r="L95" s="28"/>
      <c r="M95" s="28"/>
      <c r="N95" s="28"/>
      <c r="O95" s="28"/>
    </row>
    <row r="96" spans="1:15" ht="21" customHeight="1" x14ac:dyDescent="0.25">
      <c r="A96" s="349" t="s">
        <v>305</v>
      </c>
      <c r="B96" s="28"/>
      <c r="C96" s="28"/>
      <c r="D96" s="28"/>
      <c r="E96" s="28"/>
      <c r="F96" s="28"/>
      <c r="G96" s="28"/>
      <c r="H96" s="28"/>
      <c r="I96" s="28"/>
      <c r="J96" s="28"/>
      <c r="K96" s="28"/>
      <c r="L96" s="28"/>
      <c r="M96" s="28"/>
      <c r="N96" s="28"/>
      <c r="O96" s="28"/>
    </row>
    <row r="97" spans="1:15" ht="21" customHeight="1" x14ac:dyDescent="0.25">
      <c r="A97" s="28" t="s">
        <v>263</v>
      </c>
      <c r="B97" s="28"/>
      <c r="C97" s="28"/>
      <c r="D97" s="28"/>
      <c r="E97" s="28"/>
      <c r="F97" s="28"/>
      <c r="G97" s="28"/>
      <c r="H97" s="28"/>
      <c r="I97" s="28"/>
      <c r="J97" s="28"/>
      <c r="K97" s="28"/>
      <c r="L97" s="28" t="s">
        <v>288</v>
      </c>
      <c r="M97" s="28"/>
      <c r="N97" s="28"/>
      <c r="O97" s="28"/>
    </row>
    <row r="98" spans="1:15" ht="21" customHeight="1" x14ac:dyDescent="0.25">
      <c r="A98" s="28"/>
      <c r="B98" s="28"/>
      <c r="C98" s="28"/>
      <c r="D98" s="28"/>
      <c r="E98" s="28"/>
      <c r="F98" s="28"/>
      <c r="G98" s="28"/>
      <c r="H98" s="28"/>
      <c r="I98" s="28"/>
      <c r="J98" s="28"/>
      <c r="K98" s="28"/>
      <c r="L98" s="28"/>
      <c r="M98" s="28"/>
      <c r="N98" s="28"/>
      <c r="O98" s="28"/>
    </row>
    <row r="99" spans="1:15" ht="21" customHeight="1" thickBot="1" x14ac:dyDescent="0.3">
      <c r="A99" s="28" t="s">
        <v>264</v>
      </c>
      <c r="B99" s="28"/>
      <c r="C99" s="28"/>
      <c r="D99" s="28" t="s">
        <v>265</v>
      </c>
      <c r="E99" s="28">
        <v>0</v>
      </c>
      <c r="F99" s="28"/>
      <c r="G99" s="28"/>
      <c r="H99" s="28"/>
      <c r="I99" s="28"/>
      <c r="J99" s="28"/>
      <c r="K99" s="28"/>
      <c r="L99" s="28"/>
      <c r="M99" s="28" t="s">
        <v>289</v>
      </c>
      <c r="N99" s="28" t="s">
        <v>290</v>
      </c>
      <c r="O99" s="28"/>
    </row>
    <row r="100" spans="1:15" ht="21" customHeight="1" thickTop="1" x14ac:dyDescent="0.25">
      <c r="A100" s="350" t="s">
        <v>266</v>
      </c>
      <c r="B100" s="350" t="s">
        <v>267</v>
      </c>
      <c r="C100" s="350" t="s">
        <v>117</v>
      </c>
      <c r="D100" s="350" t="s">
        <v>268</v>
      </c>
      <c r="E100" s="350" t="s">
        <v>269</v>
      </c>
      <c r="F100" s="28"/>
      <c r="G100" s="28"/>
      <c r="H100" s="28"/>
      <c r="I100" s="28"/>
      <c r="J100" s="28"/>
      <c r="K100" s="28"/>
      <c r="L100" s="28" t="s">
        <v>291</v>
      </c>
      <c r="M100" s="351">
        <f>COUNT(L6:L27)</f>
        <v>22</v>
      </c>
      <c r="N100" s="352">
        <f>COUNT(L60:L64)</f>
        <v>5</v>
      </c>
      <c r="O100" s="28"/>
    </row>
    <row r="101" spans="1:15" ht="21" customHeight="1" x14ac:dyDescent="0.25">
      <c r="A101" s="28" t="s">
        <v>270</v>
      </c>
      <c r="B101" s="28">
        <f>COUNT(L6:L27)</f>
        <v>22</v>
      </c>
      <c r="C101" s="28">
        <f>AVERAGE(L6:L27)</f>
        <v>4.6401403776985102E-2</v>
      </c>
      <c r="D101" s="28">
        <f>VAR(L6:L27)</f>
        <v>7.4879325064778984E-2</v>
      </c>
      <c r="E101" s="28"/>
      <c r="F101" s="28"/>
      <c r="G101" s="28"/>
      <c r="H101" s="28"/>
      <c r="I101" s="28"/>
      <c r="J101" s="28"/>
      <c r="K101" s="28"/>
      <c r="L101" s="28" t="s">
        <v>292</v>
      </c>
      <c r="M101" s="353">
        <f>MEDIAN(L6:L27)</f>
        <v>1.1831959098896738E-2</v>
      </c>
      <c r="N101" s="339">
        <f>MEDIAN(L60:L64)</f>
        <v>0.2576785748691845</v>
      </c>
      <c r="O101" s="28"/>
    </row>
    <row r="102" spans="1:15" ht="21" customHeight="1" x14ac:dyDescent="0.25">
      <c r="A102" s="28" t="s">
        <v>271</v>
      </c>
      <c r="B102" s="28">
        <f>COUNT(L60:L64)</f>
        <v>5</v>
      </c>
      <c r="C102" s="28">
        <f>AVERAGE(L60:L64)</f>
        <v>0.29548519928911887</v>
      </c>
      <c r="D102" s="28">
        <f>VAR(L60:L64)</f>
        <v>2.9592243918255601E-2</v>
      </c>
      <c r="E102" s="28"/>
      <c r="F102" s="28"/>
      <c r="G102" s="28"/>
      <c r="H102" s="28"/>
      <c r="I102" s="28"/>
      <c r="J102" s="28"/>
      <c r="K102" s="28"/>
      <c r="L102" s="28" t="s">
        <v>293</v>
      </c>
      <c r="M102" s="353">
        <v>276</v>
      </c>
      <c r="N102" s="339">
        <v>102</v>
      </c>
      <c r="O102" s="28"/>
    </row>
    <row r="103" spans="1:15" ht="21" customHeight="1" x14ac:dyDescent="0.25">
      <c r="A103" s="354" t="s">
        <v>272</v>
      </c>
      <c r="B103" s="354"/>
      <c r="C103" s="354"/>
      <c r="D103" s="354">
        <f>((B101-1)*D101+(B102-1)*D102)/(B101+B102-2)</f>
        <v>6.7633392081335245E-2</v>
      </c>
      <c r="E103" s="354">
        <f>ABS(C101-C102-E99)/SQRT(D103)</f>
        <v>0.95777807257072378</v>
      </c>
      <c r="F103" s="28"/>
      <c r="G103" s="28"/>
      <c r="H103" s="28"/>
      <c r="I103" s="28"/>
      <c r="J103" s="28"/>
      <c r="K103" s="28"/>
      <c r="L103" s="28" t="s">
        <v>294</v>
      </c>
      <c r="M103" s="355">
        <f>M100*N100+M100*(M100+1)/2-M102</f>
        <v>87</v>
      </c>
      <c r="N103" s="356">
        <f>M100*N100+N100*(N100+1)/2-N102</f>
        <v>23</v>
      </c>
      <c r="O103" s="28"/>
    </row>
    <row r="104" spans="1:15" ht="21" customHeight="1" x14ac:dyDescent="0.25">
      <c r="A104" s="28"/>
      <c r="B104" s="28"/>
      <c r="C104" s="28"/>
      <c r="D104" s="28"/>
      <c r="E104" s="28"/>
      <c r="F104" s="28"/>
      <c r="G104" s="28"/>
      <c r="H104" s="28"/>
      <c r="I104" s="28"/>
      <c r="J104" s="28"/>
      <c r="K104" s="28"/>
      <c r="L104" s="28"/>
      <c r="M104" s="28"/>
      <c r="N104" s="28"/>
      <c r="O104" s="28"/>
    </row>
    <row r="105" spans="1:15" ht="21" customHeight="1" thickBot="1" x14ac:dyDescent="0.3">
      <c r="A105" s="28" t="s">
        <v>273</v>
      </c>
      <c r="B105" s="28"/>
      <c r="C105" s="28"/>
      <c r="D105" s="28"/>
      <c r="E105" s="28" t="s">
        <v>274</v>
      </c>
      <c r="F105" s="28">
        <v>0.05</v>
      </c>
      <c r="G105" s="28"/>
      <c r="H105" s="28"/>
      <c r="I105" s="28"/>
      <c r="J105" s="28"/>
      <c r="K105" s="28"/>
      <c r="L105" s="28"/>
      <c r="M105" s="357" t="s">
        <v>295</v>
      </c>
      <c r="N105" s="357" t="s">
        <v>296</v>
      </c>
      <c r="O105" s="28"/>
    </row>
    <row r="106" spans="1:15" ht="21" customHeight="1" thickTop="1" x14ac:dyDescent="0.25">
      <c r="A106" s="350" t="s">
        <v>275</v>
      </c>
      <c r="B106" s="350" t="s">
        <v>276</v>
      </c>
      <c r="C106" s="350" t="s">
        <v>277</v>
      </c>
      <c r="D106" s="350" t="s">
        <v>278</v>
      </c>
      <c r="E106" s="350" t="s">
        <v>279</v>
      </c>
      <c r="F106" s="350" t="s">
        <v>280</v>
      </c>
      <c r="G106" s="350" t="s">
        <v>281</v>
      </c>
      <c r="H106" s="350" t="s">
        <v>282</v>
      </c>
      <c r="I106" s="350" t="s">
        <v>283</v>
      </c>
      <c r="J106" s="350" t="s">
        <v>284</v>
      </c>
      <c r="K106" s="28"/>
      <c r="L106" s="28" t="s">
        <v>297</v>
      </c>
      <c r="M106" s="358">
        <v>0.05</v>
      </c>
      <c r="N106" s="28"/>
      <c r="O106" s="28"/>
    </row>
    <row r="107" spans="1:15" ht="21" customHeight="1" x14ac:dyDescent="0.25">
      <c r="A107" s="28" t="s">
        <v>285</v>
      </c>
      <c r="B107" s="28">
        <f>SQRT(D103*(1/B101+1/B102))</f>
        <v>0.12884457113465511</v>
      </c>
      <c r="C107" s="28">
        <f>(ABS(C101-C102-E99))/B107</f>
        <v>1.9332114137103764</v>
      </c>
      <c r="D107" s="28">
        <f>B101+B102-2</f>
        <v>25</v>
      </c>
      <c r="E107" s="28">
        <f>TDIST(C107,D107,1)</f>
        <v>3.2305830574159755E-2</v>
      </c>
      <c r="F107" s="28">
        <f>TINV(F105*2,D107)</f>
        <v>1.7081407612518986</v>
      </c>
      <c r="G107" s="28"/>
      <c r="H107" s="28"/>
      <c r="I107" s="28" t="str">
        <f>IF(E107&lt;F105,"yes","no")</f>
        <v>yes</v>
      </c>
      <c r="J107" s="28">
        <f>SQRT(C107^2/(C107^2+D107))</f>
        <v>0.36062540774073804</v>
      </c>
      <c r="K107" s="28"/>
      <c r="L107" s="28" t="s">
        <v>294</v>
      </c>
      <c r="M107" s="359">
        <f>MIN(M103,N103)</f>
        <v>23</v>
      </c>
      <c r="N107" s="28"/>
      <c r="O107" s="28"/>
    </row>
    <row r="108" spans="1:15" ht="21" customHeight="1" x14ac:dyDescent="0.25">
      <c r="A108" s="28" t="s">
        <v>286</v>
      </c>
      <c r="B108" s="28">
        <f>B107</f>
        <v>0.12884457113465511</v>
      </c>
      <c r="C108" s="28">
        <f t="shared" ref="C108:D108" si="46">C107</f>
        <v>1.9332114137103764</v>
      </c>
      <c r="D108" s="28">
        <f t="shared" si="46"/>
        <v>25</v>
      </c>
      <c r="E108" s="28">
        <f>TDIST(C108,D108,2)</f>
        <v>6.461166114831951E-2</v>
      </c>
      <c r="F108" s="28">
        <f>TINV(F105,D108)</f>
        <v>2.0595385527532977</v>
      </c>
      <c r="G108" s="28">
        <f>(C101-C102)-F108*B108</f>
        <v>-0.51444415707692071</v>
      </c>
      <c r="H108" s="28">
        <f>(C101-C102)+F108*B108</f>
        <v>1.6276566052653096E-2</v>
      </c>
      <c r="I108" s="28" t="str">
        <f>IF(E108&lt;F105,"yes","no")</f>
        <v>no</v>
      </c>
      <c r="J108" s="28">
        <f>J107</f>
        <v>0.36062540774073804</v>
      </c>
      <c r="K108" s="28"/>
      <c r="L108" s="28" t="s">
        <v>298</v>
      </c>
      <c r="M108" s="359">
        <f>M100*N100/2</f>
        <v>55</v>
      </c>
      <c r="N108" s="28"/>
      <c r="O108" s="28"/>
    </row>
    <row r="109" spans="1:15" ht="21" customHeight="1" x14ac:dyDescent="0.25">
      <c r="A109" s="354"/>
      <c r="B109" s="354"/>
      <c r="C109" s="354"/>
      <c r="D109" s="354"/>
      <c r="E109" s="354"/>
      <c r="F109" s="354"/>
      <c r="G109" s="354"/>
      <c r="H109" s="354"/>
      <c r="I109" s="354"/>
      <c r="J109" s="354"/>
      <c r="K109" s="28"/>
      <c r="L109" s="28" t="s">
        <v>299</v>
      </c>
      <c r="M109" s="359">
        <v>15.96938845170245</v>
      </c>
      <c r="N109" s="28" t="s">
        <v>300</v>
      </c>
      <c r="O109" s="28"/>
    </row>
    <row r="110" spans="1:15" ht="21" customHeight="1" thickBot="1" x14ac:dyDescent="0.3">
      <c r="A110" s="28" t="s">
        <v>287</v>
      </c>
      <c r="B110" s="28"/>
      <c r="C110" s="28"/>
      <c r="D110" s="28"/>
      <c r="E110" s="28" t="s">
        <v>274</v>
      </c>
      <c r="F110" s="28">
        <f>F105</f>
        <v>0.05</v>
      </c>
      <c r="G110" s="28"/>
      <c r="H110" s="28"/>
      <c r="I110" s="28"/>
      <c r="J110" s="28"/>
      <c r="K110" s="28"/>
      <c r="L110" s="28" t="s">
        <v>19</v>
      </c>
      <c r="M110" s="359">
        <f>ABS(STANDARDIZE(M107,M108,M109))</f>
        <v>2.0038337784054949</v>
      </c>
      <c r="N110" s="28"/>
      <c r="O110" s="28"/>
    </row>
    <row r="111" spans="1:15" ht="21" customHeight="1" thickTop="1" x14ac:dyDescent="0.25">
      <c r="A111" s="350" t="s">
        <v>275</v>
      </c>
      <c r="B111" s="350" t="s">
        <v>276</v>
      </c>
      <c r="C111" s="350" t="s">
        <v>277</v>
      </c>
      <c r="D111" s="350" t="s">
        <v>278</v>
      </c>
      <c r="E111" s="350" t="s">
        <v>279</v>
      </c>
      <c r="F111" s="350" t="s">
        <v>280</v>
      </c>
      <c r="G111" s="350" t="s">
        <v>281</v>
      </c>
      <c r="H111" s="350" t="s">
        <v>282</v>
      </c>
      <c r="I111" s="350" t="s">
        <v>283</v>
      </c>
      <c r="J111" s="350" t="s">
        <v>284</v>
      </c>
      <c r="K111" s="28"/>
      <c r="L111" s="28" t="s">
        <v>284</v>
      </c>
      <c r="M111" s="359">
        <f>M110/SQRT(M100+N100)</f>
        <v>0.38563799045789243</v>
      </c>
      <c r="N111" s="28"/>
      <c r="O111" s="28"/>
    </row>
    <row r="112" spans="1:15" ht="21" customHeight="1" x14ac:dyDescent="0.25">
      <c r="A112" s="28" t="s">
        <v>285</v>
      </c>
      <c r="B112" s="28">
        <f>SQRT(D101/B101+D102/B102)</f>
        <v>9.6550786990131782E-2</v>
      </c>
      <c r="C112" s="28">
        <f>(ABS(C101-C102-E99))/B112</f>
        <v>2.5798214937138941</v>
      </c>
      <c r="D112" s="28">
        <f>(D101/B101+D102/B102)^2/((D101/B101)^2/(B101-1)+(D102/B102)^2/(B102-1))</f>
        <v>9.3354748637696723</v>
      </c>
      <c r="E112" s="28">
        <f>TDIST(C112,ROUND(D112,0),1)</f>
        <v>1.4852659004980881E-2</v>
      </c>
      <c r="F112" s="28">
        <f>TINV(F110*2,ROUND(D112,0))</f>
        <v>1.8331129326562374</v>
      </c>
      <c r="G112" s="28"/>
      <c r="H112" s="28"/>
      <c r="I112" s="28" t="str">
        <f>IF(E112&lt;F110,"yes","no")</f>
        <v>yes</v>
      </c>
      <c r="J112" s="28">
        <f>SQRT(C112^2/(C112^2+D112))</f>
        <v>0.64513777556665275</v>
      </c>
      <c r="K112" s="28"/>
      <c r="L112" s="28" t="s">
        <v>301</v>
      </c>
      <c r="M112" s="358">
        <f>M108+M109*NORMSINV(M106)</f>
        <v>28.732693485020263</v>
      </c>
      <c r="N112" s="352">
        <f>M108+M109*NORMSINV(M106/2)</f>
        <v>23.700573779533347</v>
      </c>
      <c r="O112" s="28"/>
    </row>
    <row r="113" spans="1:15" ht="21" customHeight="1" x14ac:dyDescent="0.25">
      <c r="A113" s="28" t="s">
        <v>286</v>
      </c>
      <c r="B113" s="28">
        <f>B112</f>
        <v>9.6550786990131782E-2</v>
      </c>
      <c r="C113" s="28">
        <f t="shared" ref="C113:D113" si="47">C112</f>
        <v>2.5798214937138941</v>
      </c>
      <c r="D113" s="28">
        <f t="shared" si="47"/>
        <v>9.3354748637696723</v>
      </c>
      <c r="E113" s="28">
        <f>TDIST(C113,ROUND(D113,0),2)</f>
        <v>2.9705318009961762E-2</v>
      </c>
      <c r="F113" s="28">
        <f>TINV(F110,ROUND(D113,0))</f>
        <v>2.2621571627982053</v>
      </c>
      <c r="G113" s="28">
        <f>(C101-C102)-F113*B113</f>
        <v>-0.4674968498756642</v>
      </c>
      <c r="H113" s="28">
        <f>(C101-C102)+F113*B113</f>
        <v>-3.0670741148603381E-2</v>
      </c>
      <c r="I113" s="28" t="str">
        <f>IF(E113&lt;F110,"yes","no")</f>
        <v>yes</v>
      </c>
      <c r="J113" s="28">
        <f>J112</f>
        <v>0.64513777556665275</v>
      </c>
      <c r="K113" s="28"/>
      <c r="L113" s="28" t="s">
        <v>279</v>
      </c>
      <c r="M113" s="359">
        <f>1-NORMSDIST(M110)</f>
        <v>2.254393457799031E-2</v>
      </c>
      <c r="N113" s="339">
        <f>2*M113</f>
        <v>4.508786915598062E-2</v>
      </c>
      <c r="O113" s="28"/>
    </row>
    <row r="114" spans="1:15" ht="21" customHeight="1" x14ac:dyDescent="0.25">
      <c r="A114" s="354"/>
      <c r="B114" s="354"/>
      <c r="C114" s="354"/>
      <c r="D114" s="354"/>
      <c r="E114" s="354"/>
      <c r="F114" s="354"/>
      <c r="G114" s="354"/>
      <c r="H114" s="354"/>
      <c r="I114" s="354"/>
      <c r="J114" s="354"/>
      <c r="K114" s="28"/>
      <c r="L114" s="28" t="s">
        <v>302</v>
      </c>
      <c r="M114" s="360" t="str">
        <f>IF(M113&lt;M106,"yes","no")</f>
        <v>yes</v>
      </c>
      <c r="N114" s="361" t="str">
        <f>IF(N113&lt;M106,"yes","no")</f>
        <v>yes</v>
      </c>
      <c r="O114" s="28"/>
    </row>
    <row r="115" spans="1:15" ht="21" customHeight="1" x14ac:dyDescent="0.25">
      <c r="A115" s="28"/>
      <c r="B115" s="28"/>
      <c r="C115" s="28"/>
      <c r="D115" s="28"/>
      <c r="E115" s="28"/>
      <c r="F115" s="28"/>
      <c r="G115" s="28"/>
      <c r="H115" s="28"/>
      <c r="I115" s="28"/>
      <c r="J115" s="28"/>
      <c r="K115" s="28"/>
      <c r="L115" s="28"/>
      <c r="M115" s="28"/>
      <c r="N115" s="28"/>
      <c r="O115" s="28"/>
    </row>
    <row r="116" spans="1:15" ht="21" customHeight="1" x14ac:dyDescent="0.25">
      <c r="A116" s="28"/>
      <c r="B116" s="28"/>
      <c r="C116" s="28"/>
      <c r="D116" s="28"/>
      <c r="E116" s="28"/>
      <c r="F116" s="28"/>
      <c r="G116" s="28"/>
      <c r="H116" s="28"/>
      <c r="I116" s="28"/>
      <c r="J116" s="28"/>
      <c r="K116" s="28"/>
      <c r="L116" s="28"/>
      <c r="M116" s="28"/>
      <c r="N116" s="28"/>
      <c r="O116" s="28"/>
    </row>
    <row r="117" spans="1:15" ht="21" customHeight="1" x14ac:dyDescent="0.25">
      <c r="A117" s="28"/>
      <c r="B117" s="28"/>
      <c r="C117" s="28"/>
      <c r="D117" s="28"/>
      <c r="E117" s="28"/>
      <c r="F117" s="28"/>
      <c r="G117" s="28"/>
      <c r="H117" s="28"/>
      <c r="I117" s="28"/>
      <c r="J117" s="28"/>
      <c r="K117" s="28"/>
      <c r="L117" s="28"/>
      <c r="M117" s="28"/>
      <c r="N117" s="28"/>
      <c r="O117" s="28"/>
    </row>
    <row r="118" spans="1:15" ht="21" customHeight="1" x14ac:dyDescent="0.25">
      <c r="A118" s="349" t="s">
        <v>306</v>
      </c>
      <c r="B118" s="28"/>
      <c r="C118" s="28"/>
      <c r="D118" s="28"/>
      <c r="E118" s="28"/>
      <c r="F118" s="28"/>
      <c r="G118" s="28"/>
      <c r="H118" s="28"/>
      <c r="I118" s="28"/>
      <c r="J118" s="28"/>
      <c r="K118" s="28"/>
      <c r="L118" s="28"/>
      <c r="M118" s="28"/>
      <c r="N118" s="28"/>
      <c r="O118" s="28"/>
    </row>
    <row r="119" spans="1:15" ht="21" customHeight="1" x14ac:dyDescent="0.25">
      <c r="A119" s="28" t="s">
        <v>263</v>
      </c>
      <c r="B119" s="28"/>
      <c r="C119" s="28"/>
      <c r="D119" s="28"/>
      <c r="E119" s="28"/>
      <c r="F119" s="28"/>
      <c r="G119" s="28"/>
      <c r="H119" s="28"/>
      <c r="I119" s="28"/>
      <c r="J119" s="28"/>
      <c r="K119" s="28"/>
      <c r="L119" s="28" t="s">
        <v>288</v>
      </c>
      <c r="M119" s="28"/>
      <c r="N119" s="28"/>
      <c r="O119" s="28"/>
    </row>
    <row r="120" spans="1:15" ht="21" customHeight="1" x14ac:dyDescent="0.25">
      <c r="A120" s="28"/>
      <c r="B120" s="28"/>
      <c r="C120" s="28"/>
      <c r="D120" s="28"/>
      <c r="E120" s="28"/>
      <c r="F120" s="28"/>
      <c r="G120" s="28"/>
      <c r="H120" s="28"/>
      <c r="I120" s="28"/>
      <c r="J120" s="28"/>
      <c r="K120" s="28"/>
      <c r="L120" s="28"/>
      <c r="M120" s="28"/>
      <c r="N120" s="28"/>
      <c r="O120" s="28"/>
    </row>
    <row r="121" spans="1:15" ht="21" customHeight="1" thickBot="1" x14ac:dyDescent="0.3">
      <c r="A121" s="28" t="s">
        <v>264</v>
      </c>
      <c r="B121" s="28"/>
      <c r="C121" s="28"/>
      <c r="D121" s="28" t="s">
        <v>265</v>
      </c>
      <c r="E121" s="28">
        <v>0</v>
      </c>
      <c r="F121" s="28"/>
      <c r="G121" s="28"/>
      <c r="H121" s="28"/>
      <c r="I121" s="28"/>
      <c r="J121" s="28"/>
      <c r="K121" s="28"/>
      <c r="L121" s="28"/>
      <c r="M121" s="28" t="s">
        <v>289</v>
      </c>
      <c r="N121" s="28" t="s">
        <v>290</v>
      </c>
      <c r="O121" s="28"/>
    </row>
    <row r="122" spans="1:15" ht="21" customHeight="1" thickTop="1" x14ac:dyDescent="0.25">
      <c r="A122" s="350" t="s">
        <v>266</v>
      </c>
      <c r="B122" s="350" t="s">
        <v>267</v>
      </c>
      <c r="C122" s="350" t="s">
        <v>117</v>
      </c>
      <c r="D122" s="350" t="s">
        <v>268</v>
      </c>
      <c r="E122" s="350" t="s">
        <v>269</v>
      </c>
      <c r="F122" s="28"/>
      <c r="G122" s="28"/>
      <c r="H122" s="28"/>
      <c r="I122" s="28"/>
      <c r="J122" s="28"/>
      <c r="K122" s="28"/>
      <c r="L122" s="28" t="s">
        <v>291</v>
      </c>
      <c r="M122" s="351">
        <f>COUNT(M6:M27)</f>
        <v>22</v>
      </c>
      <c r="N122" s="352">
        <f>COUNT(M60:M64)</f>
        <v>5</v>
      </c>
      <c r="O122" s="28"/>
    </row>
    <row r="123" spans="1:15" ht="21" customHeight="1" x14ac:dyDescent="0.25">
      <c r="A123" s="28" t="s">
        <v>270</v>
      </c>
      <c r="B123" s="28">
        <f>COUNT(M6:M27)</f>
        <v>22</v>
      </c>
      <c r="C123" s="28">
        <f>AVERAGE(M6:M27)</f>
        <v>2.0820791222584809</v>
      </c>
      <c r="D123" s="28">
        <f>VAR(M6:M27)</f>
        <v>3.7809086396744025E-2</v>
      </c>
      <c r="E123" s="28"/>
      <c r="F123" s="28"/>
      <c r="G123" s="28"/>
      <c r="H123" s="28"/>
      <c r="I123" s="28"/>
      <c r="J123" s="28"/>
      <c r="K123" s="28"/>
      <c r="L123" s="28" t="s">
        <v>292</v>
      </c>
      <c r="M123" s="353">
        <f>MEDIAN(M6:M27)</f>
        <v>2.0413926851582249</v>
      </c>
      <c r="N123" s="339">
        <f>MEDIAN(M60:M64)</f>
        <v>2.1613680022349748</v>
      </c>
      <c r="O123" s="28"/>
    </row>
    <row r="124" spans="1:15" ht="21" customHeight="1" x14ac:dyDescent="0.25">
      <c r="A124" s="28" t="s">
        <v>271</v>
      </c>
      <c r="B124" s="28">
        <f>COUNT(M60:M64)</f>
        <v>5</v>
      </c>
      <c r="C124" s="28">
        <f>AVERAGE(M60:M64)</f>
        <v>2.1221791718232828</v>
      </c>
      <c r="D124" s="28">
        <f>VAR(M60:M64)</f>
        <v>1.8906826250826961E-2</v>
      </c>
      <c r="E124" s="28"/>
      <c r="F124" s="28"/>
      <c r="G124" s="28"/>
      <c r="H124" s="28"/>
      <c r="I124" s="28"/>
      <c r="J124" s="28"/>
      <c r="K124" s="28"/>
      <c r="L124" s="28" t="s">
        <v>293</v>
      </c>
      <c r="M124" s="353">
        <v>296</v>
      </c>
      <c r="N124" s="339">
        <v>82</v>
      </c>
      <c r="O124" s="28"/>
    </row>
    <row r="125" spans="1:15" ht="21" customHeight="1" x14ac:dyDescent="0.25">
      <c r="A125" s="354" t="s">
        <v>272</v>
      </c>
      <c r="B125" s="354"/>
      <c r="C125" s="354"/>
      <c r="D125" s="354">
        <f>((B123-1)*D123+(B124-1)*D124)/(B123+B124-2)</f>
        <v>3.4784724773397294E-2</v>
      </c>
      <c r="E125" s="354">
        <f>ABS(C123-C124-E121)/SQRT(D125)</f>
        <v>0.21500602183516435</v>
      </c>
      <c r="F125" s="28"/>
      <c r="G125" s="28"/>
      <c r="H125" s="28"/>
      <c r="I125" s="28"/>
      <c r="J125" s="28"/>
      <c r="K125" s="28"/>
      <c r="L125" s="28" t="s">
        <v>294</v>
      </c>
      <c r="M125" s="355">
        <f>M122*N122+M122*(M122+1)/2-M124</f>
        <v>67</v>
      </c>
      <c r="N125" s="356">
        <f>M122*N122+N122*(N122+1)/2-N124</f>
        <v>43</v>
      </c>
      <c r="O125" s="28"/>
    </row>
    <row r="126" spans="1:15" ht="21" customHeight="1" x14ac:dyDescent="0.25">
      <c r="A126" s="28"/>
      <c r="B126" s="28"/>
      <c r="C126" s="28"/>
      <c r="D126" s="28"/>
      <c r="E126" s="28"/>
      <c r="F126" s="28"/>
      <c r="G126" s="28"/>
      <c r="H126" s="28"/>
      <c r="I126" s="28"/>
      <c r="J126" s="28"/>
      <c r="K126" s="28"/>
      <c r="L126" s="28"/>
      <c r="M126" s="28"/>
      <c r="N126" s="28"/>
      <c r="O126" s="28"/>
    </row>
    <row r="127" spans="1:15" ht="21" customHeight="1" thickBot="1" x14ac:dyDescent="0.3">
      <c r="A127" s="28" t="s">
        <v>273</v>
      </c>
      <c r="B127" s="28"/>
      <c r="C127" s="28"/>
      <c r="D127" s="28"/>
      <c r="E127" s="28" t="s">
        <v>274</v>
      </c>
      <c r="F127" s="28">
        <v>0.05</v>
      </c>
      <c r="G127" s="28"/>
      <c r="H127" s="28"/>
      <c r="I127" s="28"/>
      <c r="J127" s="28"/>
      <c r="K127" s="28"/>
      <c r="L127" s="28"/>
      <c r="M127" s="357" t="s">
        <v>295</v>
      </c>
      <c r="N127" s="357" t="s">
        <v>296</v>
      </c>
      <c r="O127" s="28"/>
    </row>
    <row r="128" spans="1:15" ht="21" customHeight="1" thickTop="1" x14ac:dyDescent="0.25">
      <c r="A128" s="350" t="s">
        <v>275</v>
      </c>
      <c r="B128" s="350" t="s">
        <v>276</v>
      </c>
      <c r="C128" s="350" t="s">
        <v>277</v>
      </c>
      <c r="D128" s="350" t="s">
        <v>278</v>
      </c>
      <c r="E128" s="350" t="s">
        <v>279</v>
      </c>
      <c r="F128" s="350" t="s">
        <v>280</v>
      </c>
      <c r="G128" s="350" t="s">
        <v>281</v>
      </c>
      <c r="H128" s="350" t="s">
        <v>282</v>
      </c>
      <c r="I128" s="350" t="s">
        <v>283</v>
      </c>
      <c r="J128" s="350" t="s">
        <v>284</v>
      </c>
      <c r="K128" s="28"/>
      <c r="L128" s="28" t="s">
        <v>297</v>
      </c>
      <c r="M128" s="358">
        <v>0.05</v>
      </c>
      <c r="N128" s="28"/>
      <c r="O128" s="28"/>
    </row>
    <row r="129" spans="1:15" ht="21" customHeight="1" x14ac:dyDescent="0.25">
      <c r="A129" s="28" t="s">
        <v>285</v>
      </c>
      <c r="B129" s="28">
        <f>SQRT(D125*(1/B123+1/B124))</f>
        <v>9.2401671023936038E-2</v>
      </c>
      <c r="C129" s="28">
        <f>(ABS(C123-C124-E121))/B129</f>
        <v>0.43397537209488551</v>
      </c>
      <c r="D129" s="28">
        <f>B123+B124-2</f>
        <v>25</v>
      </c>
      <c r="E129" s="28">
        <f>TDIST(C129,D129,1)</f>
        <v>0.33401429772006441</v>
      </c>
      <c r="F129" s="28">
        <f>TINV(F127*2,D129)</f>
        <v>1.7081407612518986</v>
      </c>
      <c r="G129" s="28"/>
      <c r="H129" s="28"/>
      <c r="I129" s="28" t="str">
        <f>IF(E129&lt;F127,"yes","no")</f>
        <v>no</v>
      </c>
      <c r="J129" s="28">
        <f>SQRT(C129^2/(C129^2+D129))</f>
        <v>8.6469979714461229E-2</v>
      </c>
      <c r="K129" s="28"/>
      <c r="L129" s="28" t="s">
        <v>294</v>
      </c>
      <c r="M129" s="359">
        <f>MIN(M125,N125)</f>
        <v>43</v>
      </c>
      <c r="N129" s="28"/>
      <c r="O129" s="28"/>
    </row>
    <row r="130" spans="1:15" ht="21" customHeight="1" x14ac:dyDescent="0.25">
      <c r="A130" s="28" t="s">
        <v>286</v>
      </c>
      <c r="B130" s="28">
        <f>B129</f>
        <v>9.2401671023936038E-2</v>
      </c>
      <c r="C130" s="28">
        <f t="shared" ref="C130:D130" si="48">C129</f>
        <v>0.43397537209488551</v>
      </c>
      <c r="D130" s="28">
        <f t="shared" si="48"/>
        <v>25</v>
      </c>
      <c r="E130" s="28">
        <f>TDIST(C130,D130,2)</f>
        <v>0.66802859544012883</v>
      </c>
      <c r="F130" s="28">
        <f>TINV(F127,D130)</f>
        <v>2.0595385527532977</v>
      </c>
      <c r="G130" s="28">
        <f>(C123-C124)-F130*B130</f>
        <v>-0.23040485337742539</v>
      </c>
      <c r="H130" s="28">
        <f>(C123-C124)+F130*B130</f>
        <v>0.1502047542478217</v>
      </c>
      <c r="I130" s="28" t="str">
        <f>IF(E130&lt;F127,"yes","no")</f>
        <v>no</v>
      </c>
      <c r="J130" s="28">
        <f>J129</f>
        <v>8.6469979714461229E-2</v>
      </c>
      <c r="K130" s="28"/>
      <c r="L130" s="28" t="s">
        <v>298</v>
      </c>
      <c r="M130" s="359">
        <f>M122*N122/2</f>
        <v>55</v>
      </c>
      <c r="N130" s="28"/>
      <c r="O130" s="28"/>
    </row>
    <row r="131" spans="1:15" ht="21" customHeight="1" x14ac:dyDescent="0.25">
      <c r="A131" s="354"/>
      <c r="B131" s="354"/>
      <c r="C131" s="354"/>
      <c r="D131" s="354"/>
      <c r="E131" s="354"/>
      <c r="F131" s="354"/>
      <c r="G131" s="354"/>
      <c r="H131" s="354"/>
      <c r="I131" s="354"/>
      <c r="J131" s="354"/>
      <c r="K131" s="28"/>
      <c r="L131" s="28" t="s">
        <v>299</v>
      </c>
      <c r="M131" s="359">
        <v>15.971841318386403</v>
      </c>
      <c r="N131" s="28" t="s">
        <v>300</v>
      </c>
      <c r="O131" s="28"/>
    </row>
    <row r="132" spans="1:15" ht="21" customHeight="1" thickBot="1" x14ac:dyDescent="0.3">
      <c r="A132" s="28" t="s">
        <v>287</v>
      </c>
      <c r="B132" s="28"/>
      <c r="C132" s="28"/>
      <c r="D132" s="28"/>
      <c r="E132" s="28" t="s">
        <v>274</v>
      </c>
      <c r="F132" s="28">
        <f>F127</f>
        <v>0.05</v>
      </c>
      <c r="G132" s="28"/>
      <c r="H132" s="28"/>
      <c r="I132" s="28"/>
      <c r="J132" s="28"/>
      <c r="K132" s="28"/>
      <c r="L132" s="28" t="s">
        <v>19</v>
      </c>
      <c r="M132" s="359">
        <f>ABS(STANDARDIZE(M129,M130,M131))</f>
        <v>0.75132226527857415</v>
      </c>
      <c r="N132" s="28"/>
      <c r="O132" s="28"/>
    </row>
    <row r="133" spans="1:15" ht="21" customHeight="1" thickTop="1" x14ac:dyDescent="0.25">
      <c r="A133" s="350" t="s">
        <v>275</v>
      </c>
      <c r="B133" s="350" t="s">
        <v>276</v>
      </c>
      <c r="C133" s="350" t="s">
        <v>277</v>
      </c>
      <c r="D133" s="350" t="s">
        <v>278</v>
      </c>
      <c r="E133" s="350" t="s">
        <v>279</v>
      </c>
      <c r="F133" s="350" t="s">
        <v>280</v>
      </c>
      <c r="G133" s="350" t="s">
        <v>281</v>
      </c>
      <c r="H133" s="350" t="s">
        <v>282</v>
      </c>
      <c r="I133" s="350" t="s">
        <v>283</v>
      </c>
      <c r="J133" s="350" t="s">
        <v>284</v>
      </c>
      <c r="K133" s="28"/>
      <c r="L133" s="28" t="s">
        <v>284</v>
      </c>
      <c r="M133" s="359">
        <f>M132/SQRT(M122+N122)</f>
        <v>0.14459203736891474</v>
      </c>
      <c r="N133" s="28"/>
      <c r="O133" s="28"/>
    </row>
    <row r="134" spans="1:15" ht="21" customHeight="1" x14ac:dyDescent="0.25">
      <c r="A134" s="28" t="s">
        <v>285</v>
      </c>
      <c r="B134" s="28">
        <f>SQRT(D123/B123+D124/B124)</f>
        <v>7.4161715772904216E-2</v>
      </c>
      <c r="C134" s="28">
        <f>(ABS(C123-C124-E121))/B134</f>
        <v>0.54071092000615273</v>
      </c>
      <c r="D134" s="28">
        <f>(D123/B123+D124/B124)^2/((D123/B123)^2/(B123-1)+(D124/B124)^2/(B124-1))</f>
        <v>8.141830265325039</v>
      </c>
      <c r="E134" s="28">
        <f>TDIST(C134,ROUND(D134,0),1)</f>
        <v>0.30171578956873407</v>
      </c>
      <c r="F134" s="28">
        <f>TINV(F132*2,ROUND(D134,0))</f>
        <v>1.8595480375308981</v>
      </c>
      <c r="G134" s="28"/>
      <c r="H134" s="28"/>
      <c r="I134" s="28" t="str">
        <f>IF(E134&lt;F132,"yes","no")</f>
        <v>no</v>
      </c>
      <c r="J134" s="28">
        <f>SQRT(C134^2/(C134^2+D134))</f>
        <v>0.18618437441880059</v>
      </c>
      <c r="K134" s="28"/>
      <c r="L134" s="28" t="s">
        <v>301</v>
      </c>
      <c r="M134" s="358">
        <f>M130+M131*NORMSINV(M128)</f>
        <v>28.728658878358736</v>
      </c>
      <c r="N134" s="352">
        <f>M130+M131*NORMSINV(M128/2)</f>
        <v>23.695766249173918</v>
      </c>
      <c r="O134" s="28"/>
    </row>
    <row r="135" spans="1:15" ht="21" customHeight="1" x14ac:dyDescent="0.25">
      <c r="A135" s="28" t="s">
        <v>286</v>
      </c>
      <c r="B135" s="28">
        <f>B134</f>
        <v>7.4161715772904216E-2</v>
      </c>
      <c r="C135" s="28">
        <f t="shared" ref="C135:D135" si="49">C134</f>
        <v>0.54071092000615273</v>
      </c>
      <c r="D135" s="28">
        <f t="shared" si="49"/>
        <v>8.141830265325039</v>
      </c>
      <c r="E135" s="28">
        <f>TDIST(C135,ROUND(D135,0),2)</f>
        <v>0.60343157913746814</v>
      </c>
      <c r="F135" s="28">
        <f>TINV(F132,ROUND(D135,0))</f>
        <v>2.3060041352041671</v>
      </c>
      <c r="G135" s="28">
        <f>(C123-C124)-F135*B135</f>
        <v>-0.21111727281095508</v>
      </c>
      <c r="H135" s="28">
        <f>(C123-C124)+F135*B135</f>
        <v>0.13091717368135139</v>
      </c>
      <c r="I135" s="28" t="str">
        <f>IF(E135&lt;F132,"yes","no")</f>
        <v>no</v>
      </c>
      <c r="J135" s="28">
        <f>J134</f>
        <v>0.18618437441880059</v>
      </c>
      <c r="K135" s="28"/>
      <c r="L135" s="28" t="s">
        <v>279</v>
      </c>
      <c r="M135" s="359">
        <f>1-NORMSDIST(M132)</f>
        <v>0.22622936629606005</v>
      </c>
      <c r="N135" s="339">
        <f>2*M135</f>
        <v>0.45245873259212011</v>
      </c>
      <c r="O135" s="28"/>
    </row>
    <row r="136" spans="1:15" ht="21" customHeight="1" x14ac:dyDescent="0.25">
      <c r="A136" s="354"/>
      <c r="B136" s="354"/>
      <c r="C136" s="354"/>
      <c r="D136" s="354"/>
      <c r="E136" s="354"/>
      <c r="F136" s="354"/>
      <c r="G136" s="354"/>
      <c r="H136" s="354"/>
      <c r="I136" s="354"/>
      <c r="J136" s="354"/>
      <c r="K136" s="28"/>
      <c r="L136" s="28" t="s">
        <v>302</v>
      </c>
      <c r="M136" s="360" t="str">
        <f>IF(M135&lt;M128,"yes","no")</f>
        <v>no</v>
      </c>
      <c r="N136" s="361" t="str">
        <f>IF(N135&lt;M128,"yes","no")</f>
        <v>no</v>
      </c>
      <c r="O136" s="28"/>
    </row>
    <row r="137" spans="1:15" ht="21" customHeight="1" x14ac:dyDescent="0.25">
      <c r="A137" s="28"/>
      <c r="B137" s="28"/>
      <c r="C137" s="28"/>
      <c r="D137" s="28"/>
      <c r="E137" s="28"/>
      <c r="F137" s="28"/>
      <c r="G137" s="28"/>
      <c r="H137" s="28"/>
      <c r="I137" s="28"/>
      <c r="J137" s="28"/>
      <c r="K137" s="28"/>
      <c r="L137" s="28"/>
      <c r="M137" s="28"/>
      <c r="N137" s="28"/>
      <c r="O137" s="28"/>
    </row>
    <row r="138" spans="1:15" ht="21" customHeight="1" x14ac:dyDescent="0.25">
      <c r="A138" s="28"/>
      <c r="B138" s="28"/>
      <c r="C138" s="28"/>
      <c r="D138" s="28"/>
      <c r="E138" s="28"/>
      <c r="F138" s="28"/>
      <c r="G138" s="28"/>
      <c r="H138" s="28"/>
      <c r="I138" s="28"/>
      <c r="J138" s="28"/>
      <c r="K138" s="28"/>
      <c r="L138" s="28"/>
      <c r="M138" s="28"/>
      <c r="N138" s="28"/>
      <c r="O138" s="28"/>
    </row>
    <row r="139" spans="1:15" ht="21" customHeight="1" x14ac:dyDescent="0.25">
      <c r="A139" s="28"/>
      <c r="B139" s="28"/>
      <c r="C139" s="28"/>
      <c r="D139" s="28"/>
      <c r="E139" s="28"/>
      <c r="F139" s="28"/>
      <c r="G139" s="28"/>
      <c r="H139" s="28"/>
      <c r="I139" s="28"/>
      <c r="J139" s="28"/>
      <c r="K139" s="28"/>
      <c r="L139" s="28"/>
      <c r="M139" s="28"/>
      <c r="N139" s="28"/>
      <c r="O139" s="28"/>
    </row>
    <row r="140" spans="1:15" ht="21" customHeight="1" x14ac:dyDescent="0.25">
      <c r="A140" s="28"/>
      <c r="B140" s="28"/>
      <c r="C140" s="28"/>
      <c r="D140" s="28"/>
      <c r="E140" s="28"/>
      <c r="F140" s="28"/>
      <c r="G140" s="28"/>
      <c r="H140" s="28"/>
      <c r="I140" s="28"/>
      <c r="J140" s="28"/>
      <c r="K140" s="28"/>
      <c r="L140" s="28"/>
      <c r="M140" s="28"/>
      <c r="N140" s="28"/>
      <c r="O140" s="28"/>
    </row>
    <row r="141" spans="1:15" ht="21" customHeight="1" x14ac:dyDescent="0.25">
      <c r="A141" s="349" t="s">
        <v>307</v>
      </c>
      <c r="B141" s="28"/>
      <c r="C141" s="28"/>
      <c r="D141" s="28"/>
      <c r="E141" s="28"/>
      <c r="F141" s="28"/>
      <c r="G141" s="28"/>
      <c r="H141" s="28"/>
      <c r="I141" s="28"/>
      <c r="J141" s="28"/>
      <c r="K141" s="28"/>
      <c r="L141" s="28"/>
      <c r="M141" s="28"/>
      <c r="N141" s="28"/>
      <c r="O141" s="28"/>
    </row>
    <row r="142" spans="1:15" ht="21" customHeight="1" x14ac:dyDescent="0.25">
      <c r="A142" s="28" t="s">
        <v>263</v>
      </c>
      <c r="B142" s="28"/>
      <c r="C142" s="28"/>
      <c r="D142" s="28"/>
      <c r="E142" s="28"/>
      <c r="F142" s="28"/>
      <c r="G142" s="28"/>
      <c r="H142" s="28"/>
      <c r="I142" s="28"/>
      <c r="J142" s="28"/>
      <c r="K142" s="28"/>
      <c r="L142" s="28" t="s">
        <v>288</v>
      </c>
      <c r="M142" s="28"/>
      <c r="N142" s="28"/>
      <c r="O142" s="28"/>
    </row>
    <row r="143" spans="1:15" ht="21" customHeight="1" x14ac:dyDescent="0.25">
      <c r="A143" s="28"/>
      <c r="B143" s="28"/>
      <c r="C143" s="28"/>
      <c r="D143" s="28"/>
      <c r="E143" s="28"/>
      <c r="F143" s="28"/>
      <c r="G143" s="28"/>
      <c r="H143" s="28"/>
      <c r="I143" s="28"/>
      <c r="J143" s="28"/>
      <c r="K143" s="28"/>
      <c r="L143" s="28"/>
      <c r="M143" s="28"/>
      <c r="N143" s="28"/>
      <c r="O143" s="28"/>
    </row>
    <row r="144" spans="1:15" ht="21" customHeight="1" thickBot="1" x14ac:dyDescent="0.3">
      <c r="A144" s="28" t="s">
        <v>264</v>
      </c>
      <c r="B144" s="28"/>
      <c r="C144" s="28"/>
      <c r="D144" s="28" t="s">
        <v>265</v>
      </c>
      <c r="E144" s="28">
        <v>0</v>
      </c>
      <c r="F144" s="28"/>
      <c r="G144" s="28"/>
      <c r="H144" s="28"/>
      <c r="I144" s="28"/>
      <c r="J144" s="28"/>
      <c r="K144" s="28"/>
      <c r="L144" s="28"/>
      <c r="M144" s="28" t="s">
        <v>289</v>
      </c>
      <c r="N144" s="28" t="s">
        <v>290</v>
      </c>
      <c r="O144" s="28"/>
    </row>
    <row r="145" spans="1:15" ht="21" customHeight="1" thickTop="1" x14ac:dyDescent="0.25">
      <c r="A145" s="350" t="s">
        <v>266</v>
      </c>
      <c r="B145" s="350" t="s">
        <v>267</v>
      </c>
      <c r="C145" s="350" t="s">
        <v>117</v>
      </c>
      <c r="D145" s="350" t="s">
        <v>268</v>
      </c>
      <c r="E145" s="350" t="s">
        <v>269</v>
      </c>
      <c r="F145" s="28"/>
      <c r="G145" s="28"/>
      <c r="H145" s="28"/>
      <c r="I145" s="28"/>
      <c r="J145" s="28"/>
      <c r="K145" s="28"/>
      <c r="L145" s="28" t="s">
        <v>291</v>
      </c>
      <c r="M145" s="351">
        <f>COUNT(N6:N27)</f>
        <v>21</v>
      </c>
      <c r="N145" s="352">
        <f>COUNT(N60:N64)</f>
        <v>5</v>
      </c>
      <c r="O145" s="28"/>
    </row>
    <row r="146" spans="1:15" ht="21" customHeight="1" x14ac:dyDescent="0.25">
      <c r="A146" s="28" t="s">
        <v>270</v>
      </c>
      <c r="B146" s="28">
        <f>COUNT(N6:N27)</f>
        <v>21</v>
      </c>
      <c r="C146" s="28">
        <f>AVERAGE(N6:N27)</f>
        <v>4.5782508204736878</v>
      </c>
      <c r="D146" s="28">
        <f>VAR(N6:N27)</f>
        <v>5.8860931399391803E-3</v>
      </c>
      <c r="E146" s="28"/>
      <c r="F146" s="28"/>
      <c r="G146" s="28"/>
      <c r="H146" s="28"/>
      <c r="I146" s="28"/>
      <c r="J146" s="28"/>
      <c r="K146" s="28"/>
      <c r="L146" s="28" t="s">
        <v>292</v>
      </c>
      <c r="M146" s="353">
        <f>MEDIAN(N6:N27)</f>
        <v>4.6020599913279625</v>
      </c>
      <c r="N146" s="339">
        <f>MEDIAN(N60:N64)</f>
        <v>4.7551122663950709</v>
      </c>
      <c r="O146" s="28"/>
    </row>
    <row r="147" spans="1:15" ht="21" customHeight="1" x14ac:dyDescent="0.25">
      <c r="A147" s="28" t="s">
        <v>271</v>
      </c>
      <c r="B147" s="28">
        <f>COUNT(N60:N64)</f>
        <v>5</v>
      </c>
      <c r="C147" s="28">
        <f>AVERAGE(N60:N64)</f>
        <v>4.7343267413918282</v>
      </c>
      <c r="D147" s="28">
        <f>VAR(N60:N64)</f>
        <v>9.4917181192809476E-3</v>
      </c>
      <c r="E147" s="28"/>
      <c r="F147" s="28"/>
      <c r="G147" s="28"/>
      <c r="H147" s="28"/>
      <c r="I147" s="28"/>
      <c r="J147" s="28"/>
      <c r="K147" s="28"/>
      <c r="L147" s="28" t="s">
        <v>293</v>
      </c>
      <c r="M147" s="353">
        <v>239</v>
      </c>
      <c r="N147" s="339">
        <v>112</v>
      </c>
      <c r="O147" s="28"/>
    </row>
    <row r="148" spans="1:15" ht="21" customHeight="1" x14ac:dyDescent="0.25">
      <c r="A148" s="354" t="s">
        <v>272</v>
      </c>
      <c r="B148" s="354"/>
      <c r="C148" s="354"/>
      <c r="D148" s="354">
        <f>((B146-1)*D146+(B147-1)*D147)/(B146+B147-2)</f>
        <v>6.4870306364961418E-3</v>
      </c>
      <c r="E148" s="354">
        <f>ABS(C146-C147-E144)/SQRT(D148)</f>
        <v>1.9378177589894445</v>
      </c>
      <c r="F148" s="28"/>
      <c r="G148" s="28"/>
      <c r="H148" s="28"/>
      <c r="I148" s="28"/>
      <c r="J148" s="28"/>
      <c r="K148" s="28"/>
      <c r="L148" s="28" t="s">
        <v>294</v>
      </c>
      <c r="M148" s="355">
        <f>M145*N145+M145*(M145+1)/2-M147</f>
        <v>97</v>
      </c>
      <c r="N148" s="356">
        <f>M145*N145+N145*(N145+1)/2-N147</f>
        <v>8</v>
      </c>
      <c r="O148" s="28"/>
    </row>
    <row r="149" spans="1:15" ht="21" customHeight="1" x14ac:dyDescent="0.25">
      <c r="A149" s="28"/>
      <c r="B149" s="28"/>
      <c r="C149" s="28"/>
      <c r="D149" s="28"/>
      <c r="E149" s="28"/>
      <c r="F149" s="28"/>
      <c r="G149" s="28"/>
      <c r="H149" s="28"/>
      <c r="I149" s="28"/>
      <c r="J149" s="28"/>
      <c r="K149" s="28"/>
      <c r="L149" s="28"/>
      <c r="M149" s="28"/>
      <c r="N149" s="28"/>
      <c r="O149" s="28"/>
    </row>
    <row r="150" spans="1:15" ht="21" customHeight="1" thickBot="1" x14ac:dyDescent="0.3">
      <c r="A150" s="28" t="s">
        <v>273</v>
      </c>
      <c r="B150" s="28"/>
      <c r="C150" s="28"/>
      <c r="D150" s="28"/>
      <c r="E150" s="28" t="s">
        <v>274</v>
      </c>
      <c r="F150" s="28">
        <v>0.05</v>
      </c>
      <c r="G150" s="28"/>
      <c r="H150" s="28"/>
      <c r="I150" s="28"/>
      <c r="J150" s="28"/>
      <c r="K150" s="28"/>
      <c r="L150" s="28"/>
      <c r="M150" s="357" t="s">
        <v>295</v>
      </c>
      <c r="N150" s="357" t="s">
        <v>296</v>
      </c>
      <c r="O150" s="28"/>
    </row>
    <row r="151" spans="1:15" ht="21" customHeight="1" thickTop="1" x14ac:dyDescent="0.25">
      <c r="A151" s="350" t="s">
        <v>275</v>
      </c>
      <c r="B151" s="350" t="s">
        <v>276</v>
      </c>
      <c r="C151" s="350" t="s">
        <v>277</v>
      </c>
      <c r="D151" s="350" t="s">
        <v>278</v>
      </c>
      <c r="E151" s="350" t="s">
        <v>279</v>
      </c>
      <c r="F151" s="350" t="s">
        <v>280</v>
      </c>
      <c r="G151" s="350" t="s">
        <v>281</v>
      </c>
      <c r="H151" s="350" t="s">
        <v>282</v>
      </c>
      <c r="I151" s="350" t="s">
        <v>283</v>
      </c>
      <c r="J151" s="350" t="s">
        <v>284</v>
      </c>
      <c r="K151" s="28"/>
      <c r="L151" s="28" t="s">
        <v>297</v>
      </c>
      <c r="M151" s="358">
        <v>0.05</v>
      </c>
      <c r="N151" s="28"/>
      <c r="O151" s="28"/>
    </row>
    <row r="152" spans="1:15" ht="21" customHeight="1" x14ac:dyDescent="0.25">
      <c r="A152" s="28" t="s">
        <v>285</v>
      </c>
      <c r="B152" s="28">
        <f>SQRT(D148*(1/B146+1/B147))</f>
        <v>4.0078826680490023E-2</v>
      </c>
      <c r="C152" s="28">
        <f>(ABS(C146-C147-E144))/B152</f>
        <v>3.8942238045635351</v>
      </c>
      <c r="D152" s="28">
        <f>B146+B147-2</f>
        <v>24</v>
      </c>
      <c r="E152" s="28">
        <f>TDIST(C152,D152,1)</f>
        <v>3.4403661777471922E-4</v>
      </c>
      <c r="F152" s="28">
        <f>TINV(F150*2,D152)</f>
        <v>1.7108820799094284</v>
      </c>
      <c r="G152" s="28"/>
      <c r="H152" s="28"/>
      <c r="I152" s="28" t="str">
        <f>IF(E152&lt;F150,"yes","no")</f>
        <v>yes</v>
      </c>
      <c r="J152" s="28">
        <f>SQRT(C152^2/(C152^2+D152))</f>
        <v>0.62226010505877749</v>
      </c>
      <c r="K152" s="28"/>
      <c r="L152" s="28" t="s">
        <v>294</v>
      </c>
      <c r="M152" s="359">
        <f>MIN(M148,N148)</f>
        <v>8</v>
      </c>
      <c r="N152" s="28"/>
      <c r="O152" s="28"/>
    </row>
    <row r="153" spans="1:15" ht="21" customHeight="1" x14ac:dyDescent="0.25">
      <c r="A153" s="28" t="s">
        <v>286</v>
      </c>
      <c r="B153" s="28">
        <f>B152</f>
        <v>4.0078826680490023E-2</v>
      </c>
      <c r="C153" s="28">
        <f t="shared" ref="C153:D153" si="50">C152</f>
        <v>3.8942238045635351</v>
      </c>
      <c r="D153" s="28">
        <f t="shared" si="50"/>
        <v>24</v>
      </c>
      <c r="E153" s="28">
        <f>TDIST(C153,D153,2)</f>
        <v>6.8807323554943844E-4</v>
      </c>
      <c r="F153" s="28">
        <f>TINV(F150,D153)</f>
        <v>2.0638985616280254</v>
      </c>
      <c r="G153" s="28">
        <f>(C146-C147)-F153*B153</f>
        <v>-0.23879455365574265</v>
      </c>
      <c r="H153" s="28">
        <f>(C146-C147)+F153*B153</f>
        <v>-7.3357288180538091E-2</v>
      </c>
      <c r="I153" s="28" t="str">
        <f>IF(E153&lt;F150,"yes","no")</f>
        <v>yes</v>
      </c>
      <c r="J153" s="28">
        <f>J152</f>
        <v>0.62226010505877749</v>
      </c>
      <c r="K153" s="28"/>
      <c r="L153" s="28" t="s">
        <v>298</v>
      </c>
      <c r="M153" s="359">
        <f>M145*N145/2</f>
        <v>52.5</v>
      </c>
      <c r="N153" s="28"/>
      <c r="O153" s="28"/>
    </row>
    <row r="154" spans="1:15" ht="21" customHeight="1" x14ac:dyDescent="0.25">
      <c r="A154" s="354"/>
      <c r="B154" s="354"/>
      <c r="C154" s="354"/>
      <c r="D154" s="354"/>
      <c r="E154" s="354"/>
      <c r="F154" s="354"/>
      <c r="G154" s="354"/>
      <c r="H154" s="354"/>
      <c r="I154" s="354"/>
      <c r="J154" s="354"/>
      <c r="K154" s="28"/>
      <c r="L154" s="28" t="s">
        <v>299</v>
      </c>
      <c r="M154" s="359">
        <v>15.291400298106224</v>
      </c>
      <c r="N154" s="28" t="s">
        <v>300</v>
      </c>
      <c r="O154" s="28"/>
    </row>
    <row r="155" spans="1:15" ht="21" customHeight="1" thickBot="1" x14ac:dyDescent="0.3">
      <c r="A155" s="28" t="s">
        <v>287</v>
      </c>
      <c r="B155" s="28"/>
      <c r="C155" s="28"/>
      <c r="D155" s="28"/>
      <c r="E155" s="28" t="s">
        <v>274</v>
      </c>
      <c r="F155" s="28">
        <f>F150</f>
        <v>0.05</v>
      </c>
      <c r="G155" s="28"/>
      <c r="H155" s="28"/>
      <c r="I155" s="28"/>
      <c r="J155" s="28"/>
      <c r="K155" s="28"/>
      <c r="L155" s="28" t="s">
        <v>19</v>
      </c>
      <c r="M155" s="359">
        <f>ABS(STANDARDIZE(M152,M153,M154))</f>
        <v>2.9101324360406116</v>
      </c>
      <c r="N155" s="28"/>
      <c r="O155" s="28"/>
    </row>
    <row r="156" spans="1:15" ht="21" customHeight="1" thickTop="1" x14ac:dyDescent="0.25">
      <c r="A156" s="350" t="s">
        <v>275</v>
      </c>
      <c r="B156" s="350" t="s">
        <v>276</v>
      </c>
      <c r="C156" s="350" t="s">
        <v>277</v>
      </c>
      <c r="D156" s="350" t="s">
        <v>278</v>
      </c>
      <c r="E156" s="350" t="s">
        <v>279</v>
      </c>
      <c r="F156" s="350" t="s">
        <v>280</v>
      </c>
      <c r="G156" s="350" t="s">
        <v>281</v>
      </c>
      <c r="H156" s="350" t="s">
        <v>282</v>
      </c>
      <c r="I156" s="350" t="s">
        <v>283</v>
      </c>
      <c r="J156" s="350" t="s">
        <v>284</v>
      </c>
      <c r="K156" s="28"/>
      <c r="L156" s="28" t="s">
        <v>284</v>
      </c>
      <c r="M156" s="359">
        <f>M155/SQRT(M145+N145)</f>
        <v>0.57072392609655331</v>
      </c>
      <c r="N156" s="28"/>
      <c r="O156" s="28"/>
    </row>
    <row r="157" spans="1:15" ht="21" customHeight="1" x14ac:dyDescent="0.25">
      <c r="A157" s="28" t="s">
        <v>285</v>
      </c>
      <c r="B157" s="28">
        <f>SQRT(D146/B146+D147/B147)</f>
        <v>4.6675837147041113E-2</v>
      </c>
      <c r="C157" s="28">
        <f>(ABS(C146-C147-E144))/B157</f>
        <v>3.3438269232635367</v>
      </c>
      <c r="D157" s="28">
        <f>(D146/B146+D147/B147)^2/((D146/B146)^2/(B146-1)+(D147/B147)^2/(B147-1))</f>
        <v>5.2455296933048912</v>
      </c>
      <c r="E157" s="28">
        <f>TDIST(C157,ROUND(D157,0),1)</f>
        <v>1.0233289033672171E-2</v>
      </c>
      <c r="F157" s="28">
        <f>TINV(F155*2,ROUND(D157,0))</f>
        <v>2.0150483733330233</v>
      </c>
      <c r="G157" s="28"/>
      <c r="H157" s="28"/>
      <c r="I157" s="28" t="str">
        <f>IF(E157&lt;F155,"yes","no")</f>
        <v>yes</v>
      </c>
      <c r="J157" s="28">
        <f>SQRT(C157^2/(C157^2+D157))</f>
        <v>0.82502767927731857</v>
      </c>
      <c r="K157" s="28"/>
      <c r="L157" s="28" t="s">
        <v>301</v>
      </c>
      <c r="M157" s="358">
        <f>M153+M154*NORMSINV(M151)</f>
        <v>27.347884758493148</v>
      </c>
      <c r="N157" s="352">
        <f>M153+M154*NORMSINV(M151/2)</f>
        <v>22.52940614252676</v>
      </c>
      <c r="O157" s="28"/>
    </row>
    <row r="158" spans="1:15" ht="21" customHeight="1" x14ac:dyDescent="0.25">
      <c r="A158" s="28" t="s">
        <v>286</v>
      </c>
      <c r="B158" s="28">
        <f>B157</f>
        <v>4.6675837147041113E-2</v>
      </c>
      <c r="C158" s="28">
        <f t="shared" ref="C158:D158" si="51">C157</f>
        <v>3.3438269232635367</v>
      </c>
      <c r="D158" s="28">
        <f t="shared" si="51"/>
        <v>5.2455296933048912</v>
      </c>
      <c r="E158" s="28">
        <f>TDIST(C158,ROUND(D158,0),2)</f>
        <v>2.0466578067344341E-2</v>
      </c>
      <c r="F158" s="28">
        <f>TINV(F155,ROUND(D158,0))</f>
        <v>2.570581835636315</v>
      </c>
      <c r="G158" s="28">
        <f>(C146-C147)-F158*B158</f>
        <v>-0.27605998005144305</v>
      </c>
      <c r="H158" s="28">
        <f>(C146-C147)+F158*B158</f>
        <v>-3.6091861784837725E-2</v>
      </c>
      <c r="I158" s="28" t="str">
        <f>IF(E158&lt;F155,"yes","no")</f>
        <v>yes</v>
      </c>
      <c r="J158" s="28">
        <f>J157</f>
        <v>0.82502767927731857</v>
      </c>
      <c r="K158" s="28"/>
      <c r="L158" s="28" t="s">
        <v>279</v>
      </c>
      <c r="M158" s="359">
        <f>1-NORMSDIST(M155)</f>
        <v>1.8063781700642378E-3</v>
      </c>
      <c r="N158" s="339">
        <f>2*M158</f>
        <v>3.6127563401284757E-3</v>
      </c>
      <c r="O158" s="28"/>
    </row>
    <row r="159" spans="1:15" ht="21" customHeight="1" x14ac:dyDescent="0.25">
      <c r="A159" s="354"/>
      <c r="B159" s="354"/>
      <c r="C159" s="354"/>
      <c r="D159" s="354"/>
      <c r="E159" s="354"/>
      <c r="F159" s="354"/>
      <c r="G159" s="354"/>
      <c r="H159" s="354"/>
      <c r="I159" s="354"/>
      <c r="J159" s="354"/>
      <c r="K159" s="28"/>
      <c r="L159" s="28" t="s">
        <v>302</v>
      </c>
      <c r="M159" s="360" t="str">
        <f>IF(M158&lt;M151,"yes","no")</f>
        <v>yes</v>
      </c>
      <c r="N159" s="361" t="str">
        <f>IF(N158&lt;M151,"yes","no")</f>
        <v>yes</v>
      </c>
      <c r="O159" s="28"/>
    </row>
    <row r="160" spans="1:15" ht="21" customHeight="1" x14ac:dyDescent="0.25">
      <c r="A160" s="28"/>
      <c r="B160" s="28"/>
      <c r="C160" s="28"/>
      <c r="D160" s="28"/>
      <c r="E160" s="28"/>
      <c r="F160" s="28"/>
      <c r="G160" s="28"/>
      <c r="H160" s="28"/>
      <c r="I160" s="28"/>
      <c r="J160" s="28"/>
      <c r="K160" s="28"/>
      <c r="L160" s="28"/>
      <c r="M160" s="28"/>
      <c r="N160" s="28"/>
      <c r="O160" s="28"/>
    </row>
    <row r="161" spans="1:15" ht="21" customHeight="1" x14ac:dyDescent="0.25">
      <c r="A161" s="28"/>
      <c r="B161" s="28"/>
      <c r="C161" s="28"/>
      <c r="D161" s="28"/>
      <c r="E161" s="28"/>
      <c r="F161" s="28"/>
      <c r="G161" s="28"/>
      <c r="H161" s="28"/>
      <c r="I161" s="28"/>
      <c r="J161" s="28"/>
      <c r="K161" s="28"/>
      <c r="L161" s="28" t="s">
        <v>279</v>
      </c>
      <c r="M161" s="358">
        <f>[1]!MANN_EXACT(N6:N27,N60:N64,1)</f>
        <v>9.1213134691395541E-4</v>
      </c>
      <c r="N161" s="358">
        <f>2*M161</f>
        <v>1.8242626938279108E-3</v>
      </c>
      <c r="O161" s="28"/>
    </row>
    <row r="162" spans="1:15" ht="21" customHeight="1" x14ac:dyDescent="0.25">
      <c r="A162" s="28"/>
      <c r="B162" s="28"/>
      <c r="C162" s="28"/>
      <c r="D162" s="28"/>
      <c r="E162" s="28"/>
      <c r="F162" s="28"/>
      <c r="G162" s="28"/>
      <c r="H162" s="28"/>
      <c r="I162" s="28"/>
      <c r="J162" s="28"/>
      <c r="K162" s="28"/>
      <c r="L162" s="28" t="s">
        <v>303</v>
      </c>
      <c r="M162" s="360" t="str">
        <f>IF(M161&lt;M151,"yes","no")</f>
        <v>yes</v>
      </c>
      <c r="N162" s="360" t="str">
        <f>IF(N161&lt;M151,"yes","no")</f>
        <v>yes</v>
      </c>
      <c r="O162" s="28"/>
    </row>
    <row r="163" spans="1:15" ht="21" customHeight="1" x14ac:dyDescent="0.25">
      <c r="A163" s="28"/>
      <c r="B163" s="28"/>
      <c r="C163" s="28"/>
      <c r="D163" s="28"/>
      <c r="E163" s="28"/>
      <c r="F163" s="28"/>
      <c r="G163" s="28"/>
      <c r="H163" s="28"/>
      <c r="I163" s="28"/>
      <c r="J163" s="28"/>
      <c r="K163" s="28"/>
      <c r="L163" s="28"/>
      <c r="M163" s="28"/>
      <c r="N163" s="28"/>
      <c r="O163" s="28"/>
    </row>
    <row r="164" spans="1:15" ht="21" customHeight="1" x14ac:dyDescent="0.25">
      <c r="A164" s="28"/>
      <c r="B164" s="28"/>
      <c r="C164" s="28"/>
      <c r="D164" s="28"/>
      <c r="E164" s="28"/>
      <c r="F164" s="28"/>
      <c r="G164" s="28"/>
      <c r="H164" s="28"/>
      <c r="I164" s="28"/>
      <c r="J164" s="28"/>
      <c r="K164" s="28"/>
      <c r="L164" s="28"/>
      <c r="M164" s="28"/>
      <c r="N164" s="28"/>
      <c r="O164" s="28"/>
    </row>
    <row r="165" spans="1:15" ht="21" customHeight="1" x14ac:dyDescent="0.25">
      <c r="A165" s="349" t="s">
        <v>308</v>
      </c>
      <c r="B165" s="28"/>
      <c r="C165" s="28"/>
      <c r="D165" s="28"/>
      <c r="E165" s="28"/>
      <c r="F165" s="28"/>
      <c r="G165" s="28"/>
      <c r="H165" s="28"/>
      <c r="I165" s="28"/>
      <c r="J165" s="28"/>
      <c r="K165" s="28"/>
      <c r="L165" s="28"/>
      <c r="M165" s="28"/>
      <c r="N165" s="28"/>
      <c r="O165" s="28"/>
    </row>
    <row r="166" spans="1:15" ht="21" customHeight="1" x14ac:dyDescent="0.25">
      <c r="A166" s="28" t="s">
        <v>263</v>
      </c>
      <c r="B166" s="28"/>
      <c r="C166" s="28"/>
      <c r="D166" s="28"/>
      <c r="E166" s="28"/>
      <c r="F166" s="28"/>
      <c r="G166" s="28"/>
      <c r="H166" s="28"/>
      <c r="I166" s="28"/>
      <c r="J166" s="28"/>
      <c r="K166" s="28"/>
      <c r="L166" s="28" t="s">
        <v>288</v>
      </c>
      <c r="M166" s="28"/>
      <c r="N166" s="28"/>
      <c r="O166" s="28"/>
    </row>
    <row r="167" spans="1:15" ht="21" customHeight="1" x14ac:dyDescent="0.25">
      <c r="A167" s="28"/>
      <c r="B167" s="28"/>
      <c r="C167" s="28"/>
      <c r="D167" s="28"/>
      <c r="E167" s="28"/>
      <c r="F167" s="28"/>
      <c r="G167" s="28"/>
      <c r="H167" s="28"/>
      <c r="I167" s="28"/>
      <c r="J167" s="28"/>
      <c r="K167" s="28"/>
      <c r="L167" s="28"/>
      <c r="M167" s="28"/>
      <c r="N167" s="28"/>
      <c r="O167" s="28"/>
    </row>
    <row r="168" spans="1:15" ht="21" customHeight="1" thickBot="1" x14ac:dyDescent="0.3">
      <c r="A168" s="28" t="s">
        <v>264</v>
      </c>
      <c r="B168" s="28"/>
      <c r="C168" s="28"/>
      <c r="D168" s="28" t="s">
        <v>265</v>
      </c>
      <c r="E168" s="28">
        <v>0</v>
      </c>
      <c r="F168" s="28"/>
      <c r="G168" s="28"/>
      <c r="H168" s="28"/>
      <c r="I168" s="28"/>
      <c r="J168" s="28"/>
      <c r="K168" s="28"/>
      <c r="L168" s="28"/>
      <c r="M168" s="28" t="s">
        <v>289</v>
      </c>
      <c r="N168" s="28" t="s">
        <v>290</v>
      </c>
      <c r="O168" s="28"/>
    </row>
    <row r="169" spans="1:15" ht="21" customHeight="1" thickTop="1" x14ac:dyDescent="0.25">
      <c r="A169" s="350" t="s">
        <v>266</v>
      </c>
      <c r="B169" s="350" t="s">
        <v>267</v>
      </c>
      <c r="C169" s="350" t="s">
        <v>117</v>
      </c>
      <c r="D169" s="350" t="s">
        <v>268</v>
      </c>
      <c r="E169" s="350" t="s">
        <v>269</v>
      </c>
      <c r="F169" s="28"/>
      <c r="G169" s="28"/>
      <c r="H169" s="28"/>
      <c r="I169" s="28"/>
      <c r="J169" s="28"/>
      <c r="K169" s="28"/>
      <c r="L169" s="28" t="s">
        <v>291</v>
      </c>
      <c r="M169" s="351">
        <f>COUNT(O6:O27)</f>
        <v>22</v>
      </c>
      <c r="N169" s="352">
        <f>COUNT(O60:O64)</f>
        <v>5</v>
      </c>
      <c r="O169" s="28"/>
    </row>
    <row r="170" spans="1:15" ht="21" customHeight="1" x14ac:dyDescent="0.25">
      <c r="A170" s="28" t="s">
        <v>270</v>
      </c>
      <c r="B170" s="28">
        <f>COUNT(O6:O27)</f>
        <v>22</v>
      </c>
      <c r="C170" s="28">
        <f>AVERAGE(O6:O27)</f>
        <v>2.4907019733294264</v>
      </c>
      <c r="D170" s="28">
        <f>VAR(O6:O27)</f>
        <v>3.7870868469753911E-2</v>
      </c>
      <c r="E170" s="28"/>
      <c r="F170" s="28"/>
      <c r="G170" s="28"/>
      <c r="H170" s="28"/>
      <c r="I170" s="28"/>
      <c r="J170" s="28"/>
      <c r="K170" s="28"/>
      <c r="L170" s="28" t="s">
        <v>292</v>
      </c>
      <c r="M170" s="353">
        <f>MEDIAN(O6:O27)</f>
        <v>2.4771212547196626</v>
      </c>
      <c r="N170" s="339">
        <f>MEDIAN(O60:O64)</f>
        <v>2.6981005456233897</v>
      </c>
      <c r="O170" s="28"/>
    </row>
    <row r="171" spans="1:15" ht="21" customHeight="1" x14ac:dyDescent="0.25">
      <c r="A171" s="28" t="s">
        <v>271</v>
      </c>
      <c r="B171" s="28">
        <f>COUNT(O60:O64)</f>
        <v>5</v>
      </c>
      <c r="C171" s="28">
        <f>AVERAGE(O60:O64)</f>
        <v>2.6688090021624511</v>
      </c>
      <c r="D171" s="28">
        <f>VAR(O60:O64)</f>
        <v>1.2878922232417102E-2</v>
      </c>
      <c r="E171" s="28"/>
      <c r="F171" s="28"/>
      <c r="G171" s="28"/>
      <c r="H171" s="28"/>
      <c r="I171" s="28"/>
      <c r="J171" s="28"/>
      <c r="K171" s="28"/>
      <c r="L171" s="28" t="s">
        <v>293</v>
      </c>
      <c r="M171" s="353">
        <v>283</v>
      </c>
      <c r="N171" s="339">
        <v>95</v>
      </c>
      <c r="O171" s="28"/>
    </row>
    <row r="172" spans="1:15" ht="21" customHeight="1" x14ac:dyDescent="0.25">
      <c r="A172" s="354" t="s">
        <v>272</v>
      </c>
      <c r="B172" s="354"/>
      <c r="C172" s="354"/>
      <c r="D172" s="354">
        <f>((B170-1)*D170+(B171-1)*D171)/(B170+B171-2)</f>
        <v>3.3872157071780019E-2</v>
      </c>
      <c r="E172" s="354">
        <f>ABS(C170-C171-E168)/SQRT(D172)</f>
        <v>0.96774209293954316</v>
      </c>
      <c r="F172" s="28"/>
      <c r="G172" s="28"/>
      <c r="H172" s="28"/>
      <c r="I172" s="28"/>
      <c r="J172" s="28"/>
      <c r="K172" s="28"/>
      <c r="L172" s="28" t="s">
        <v>294</v>
      </c>
      <c r="M172" s="355">
        <f>M169*N169+M169*(M169+1)/2-M171</f>
        <v>80</v>
      </c>
      <c r="N172" s="356">
        <f>M169*N169+N169*(N169+1)/2-N171</f>
        <v>30</v>
      </c>
      <c r="O172" s="28"/>
    </row>
    <row r="173" spans="1:15" ht="21" customHeight="1" x14ac:dyDescent="0.25">
      <c r="A173" s="28"/>
      <c r="B173" s="28"/>
      <c r="C173" s="28"/>
      <c r="D173" s="28"/>
      <c r="E173" s="28"/>
      <c r="F173" s="28"/>
      <c r="G173" s="28"/>
      <c r="H173" s="28"/>
      <c r="I173" s="28"/>
      <c r="J173" s="28"/>
      <c r="K173" s="28"/>
      <c r="L173" s="28"/>
      <c r="M173" s="28"/>
      <c r="N173" s="28"/>
      <c r="O173" s="28"/>
    </row>
    <row r="174" spans="1:15" ht="21" customHeight="1" thickBot="1" x14ac:dyDescent="0.3">
      <c r="A174" s="28" t="s">
        <v>273</v>
      </c>
      <c r="B174" s="28"/>
      <c r="C174" s="28"/>
      <c r="D174" s="28"/>
      <c r="E174" s="28" t="s">
        <v>274</v>
      </c>
      <c r="F174" s="28">
        <v>0.05</v>
      </c>
      <c r="G174" s="28"/>
      <c r="H174" s="28"/>
      <c r="I174" s="28"/>
      <c r="J174" s="28"/>
      <c r="K174" s="28"/>
      <c r="L174" s="28"/>
      <c r="M174" s="357" t="s">
        <v>295</v>
      </c>
      <c r="N174" s="357" t="s">
        <v>296</v>
      </c>
      <c r="O174" s="28"/>
    </row>
    <row r="175" spans="1:15" ht="21" customHeight="1" thickTop="1" x14ac:dyDescent="0.25">
      <c r="A175" s="350" t="s">
        <v>275</v>
      </c>
      <c r="B175" s="350" t="s">
        <v>276</v>
      </c>
      <c r="C175" s="350" t="s">
        <v>277</v>
      </c>
      <c r="D175" s="350" t="s">
        <v>278</v>
      </c>
      <c r="E175" s="350" t="s">
        <v>279</v>
      </c>
      <c r="F175" s="350" t="s">
        <v>280</v>
      </c>
      <c r="G175" s="350" t="s">
        <v>281</v>
      </c>
      <c r="H175" s="350" t="s">
        <v>282</v>
      </c>
      <c r="I175" s="350" t="s">
        <v>283</v>
      </c>
      <c r="J175" s="350" t="s">
        <v>284</v>
      </c>
      <c r="K175" s="28"/>
      <c r="L175" s="28" t="s">
        <v>297</v>
      </c>
      <c r="M175" s="358">
        <v>0.05</v>
      </c>
      <c r="N175" s="28"/>
      <c r="O175" s="28"/>
    </row>
    <row r="176" spans="1:15" ht="21" customHeight="1" x14ac:dyDescent="0.25">
      <c r="A176" s="28" t="s">
        <v>285</v>
      </c>
      <c r="B176" s="28">
        <f>SQRT(D172*(1/B170+1/B171))</f>
        <v>9.1181549217035862E-2</v>
      </c>
      <c r="C176" s="28">
        <f>(ABS(C170-C171-E168))/B176</f>
        <v>1.9533231269089701</v>
      </c>
      <c r="D176" s="28">
        <f>B170+B171-2</f>
        <v>25</v>
      </c>
      <c r="E176" s="28">
        <f>TDIST(C176,D176,1)</f>
        <v>3.1029970118258199E-2</v>
      </c>
      <c r="F176" s="28">
        <f>TINV(F174*2,D176)</f>
        <v>1.7081407612518986</v>
      </c>
      <c r="G176" s="28"/>
      <c r="H176" s="28"/>
      <c r="I176" s="28" t="str">
        <f>IF(E176&lt;F174,"yes","no")</f>
        <v>yes</v>
      </c>
      <c r="J176" s="28">
        <f>SQRT(C176^2/(C176^2+D176))</f>
        <v>0.36388254952235199</v>
      </c>
      <c r="K176" s="28"/>
      <c r="L176" s="28" t="s">
        <v>294</v>
      </c>
      <c r="M176" s="359">
        <f>MIN(M172,N172)</f>
        <v>30</v>
      </c>
      <c r="N176" s="28"/>
      <c r="O176" s="28"/>
    </row>
    <row r="177" spans="1:15" ht="21" customHeight="1" x14ac:dyDescent="0.25">
      <c r="A177" s="28" t="s">
        <v>286</v>
      </c>
      <c r="B177" s="28">
        <f>B176</f>
        <v>9.1181549217035862E-2</v>
      </c>
      <c r="C177" s="28">
        <f t="shared" ref="C177:D177" si="52">C176</f>
        <v>1.9533231269089701</v>
      </c>
      <c r="D177" s="28">
        <f t="shared" si="52"/>
        <v>25</v>
      </c>
      <c r="E177" s="28">
        <f>TDIST(C177,D177,2)</f>
        <v>6.2059940236516398E-2</v>
      </c>
      <c r="F177" s="28">
        <f>TINV(F174,D177)</f>
        <v>2.0595385527532977</v>
      </c>
      <c r="G177" s="28">
        <f>(C170-C171)-F177*B177</f>
        <v>-0.36589894474528228</v>
      </c>
      <c r="H177" s="28">
        <f>(C170-C171)+F177*B177</f>
        <v>9.6848870792329844E-3</v>
      </c>
      <c r="I177" s="28" t="str">
        <f>IF(E177&lt;F174,"yes","no")</f>
        <v>no</v>
      </c>
      <c r="J177" s="28">
        <f>J176</f>
        <v>0.36388254952235199</v>
      </c>
      <c r="K177" s="28"/>
      <c r="L177" s="28" t="s">
        <v>298</v>
      </c>
      <c r="M177" s="359">
        <f>M169*N169/2</f>
        <v>55</v>
      </c>
      <c r="N177" s="28"/>
      <c r="O177" s="28"/>
    </row>
    <row r="178" spans="1:15" ht="21" customHeight="1" x14ac:dyDescent="0.25">
      <c r="A178" s="354"/>
      <c r="B178" s="354"/>
      <c r="C178" s="354"/>
      <c r="D178" s="354"/>
      <c r="E178" s="354"/>
      <c r="F178" s="354"/>
      <c r="G178" s="354"/>
      <c r="H178" s="354"/>
      <c r="I178" s="354"/>
      <c r="J178" s="354"/>
      <c r="K178" s="28"/>
      <c r="L178" s="28" t="s">
        <v>299</v>
      </c>
      <c r="M178" s="359">
        <v>15.971841318386403</v>
      </c>
      <c r="N178" s="28" t="s">
        <v>300</v>
      </c>
      <c r="O178" s="28"/>
    </row>
    <row r="179" spans="1:15" ht="21" customHeight="1" thickBot="1" x14ac:dyDescent="0.3">
      <c r="A179" s="28" t="s">
        <v>287</v>
      </c>
      <c r="B179" s="28"/>
      <c r="C179" s="28"/>
      <c r="D179" s="28"/>
      <c r="E179" s="28" t="s">
        <v>274</v>
      </c>
      <c r="F179" s="28">
        <f>F174</f>
        <v>0.05</v>
      </c>
      <c r="G179" s="28"/>
      <c r="H179" s="28"/>
      <c r="I179" s="28"/>
      <c r="J179" s="28"/>
      <c r="K179" s="28"/>
      <c r="L179" s="28" t="s">
        <v>19</v>
      </c>
      <c r="M179" s="359">
        <f>ABS(STANDARDIZE(M176,M177,M178))</f>
        <v>1.5652547193303628</v>
      </c>
      <c r="N179" s="28"/>
      <c r="O179" s="28"/>
    </row>
    <row r="180" spans="1:15" ht="21" customHeight="1" thickTop="1" x14ac:dyDescent="0.25">
      <c r="A180" s="350" t="s">
        <v>275</v>
      </c>
      <c r="B180" s="350" t="s">
        <v>276</v>
      </c>
      <c r="C180" s="350" t="s">
        <v>277</v>
      </c>
      <c r="D180" s="350" t="s">
        <v>278</v>
      </c>
      <c r="E180" s="350" t="s">
        <v>279</v>
      </c>
      <c r="F180" s="350" t="s">
        <v>280</v>
      </c>
      <c r="G180" s="350" t="s">
        <v>281</v>
      </c>
      <c r="H180" s="350" t="s">
        <v>282</v>
      </c>
      <c r="I180" s="350" t="s">
        <v>283</v>
      </c>
      <c r="J180" s="350" t="s">
        <v>284</v>
      </c>
      <c r="K180" s="28"/>
      <c r="L180" s="28" t="s">
        <v>284</v>
      </c>
      <c r="M180" s="359">
        <f>M179/SQRT(M169+N169)</f>
        <v>0.301233411185239</v>
      </c>
      <c r="N180" s="28"/>
      <c r="O180" s="28"/>
    </row>
    <row r="181" spans="1:15" ht="21" customHeight="1" x14ac:dyDescent="0.25">
      <c r="A181" s="28" t="s">
        <v>285</v>
      </c>
      <c r="B181" s="28">
        <f>SQRT(D170/B170+D171/B171)</f>
        <v>6.5552937071842649E-2</v>
      </c>
      <c r="C181" s="28">
        <f>(ABS(C170-C171-E168))/B181</f>
        <v>2.7169954053748731</v>
      </c>
      <c r="D181" s="28">
        <f>(D170/B170+D171/B171)^2/((D170/B170)^2/(B170-1)+(D171/B171)^2/(B171-1))</f>
        <v>10.260086123566838</v>
      </c>
      <c r="E181" s="28">
        <f>TDIST(C181,ROUND(D181,0),1)</f>
        <v>1.0835905271344428E-2</v>
      </c>
      <c r="F181" s="28">
        <f>TINV(F179*2,ROUND(D181,0))</f>
        <v>1.812461122811676</v>
      </c>
      <c r="G181" s="28"/>
      <c r="H181" s="28"/>
      <c r="I181" s="28" t="str">
        <f>IF(E181&lt;F179,"yes","no")</f>
        <v>yes</v>
      </c>
      <c r="J181" s="28">
        <f>SQRT(C181^2/(C181^2+D181))</f>
        <v>0.6468642456982725</v>
      </c>
      <c r="K181" s="28"/>
      <c r="L181" s="28" t="s">
        <v>301</v>
      </c>
      <c r="M181" s="358">
        <f>M177+M178*NORMSINV(M175)</f>
        <v>28.728658878358736</v>
      </c>
      <c r="N181" s="352">
        <f>M177+M178*NORMSINV(M175/2)</f>
        <v>23.695766249173918</v>
      </c>
      <c r="O181" s="28"/>
    </row>
    <row r="182" spans="1:15" ht="21" customHeight="1" x14ac:dyDescent="0.25">
      <c r="A182" s="28" t="s">
        <v>286</v>
      </c>
      <c r="B182" s="28">
        <f>B181</f>
        <v>6.5552937071842649E-2</v>
      </c>
      <c r="C182" s="28">
        <f t="shared" ref="C182:D182" si="53">C181</f>
        <v>2.7169954053748731</v>
      </c>
      <c r="D182" s="28">
        <f t="shared" si="53"/>
        <v>10.260086123566838</v>
      </c>
      <c r="E182" s="28">
        <f>TDIST(C182,ROUND(D182,0),2)</f>
        <v>2.1671810542688855E-2</v>
      </c>
      <c r="F182" s="28">
        <f>TINV(F179,ROUND(D182,0))</f>
        <v>2.2281388519862744</v>
      </c>
      <c r="G182" s="28">
        <f>(C170-C171)-F182*B182</f>
        <v>-0.32416807478460863</v>
      </c>
      <c r="H182" s="28">
        <f>(C170-C171)+F182*B182</f>
        <v>-3.2045982881440671E-2</v>
      </c>
      <c r="I182" s="28" t="str">
        <f>IF(E182&lt;F179,"yes","no")</f>
        <v>yes</v>
      </c>
      <c r="J182" s="28">
        <f>J181</f>
        <v>0.6468642456982725</v>
      </c>
      <c r="K182" s="28"/>
      <c r="L182" s="28" t="s">
        <v>279</v>
      </c>
      <c r="M182" s="359">
        <f>1-NORMSDIST(M179)</f>
        <v>5.8761597876016203E-2</v>
      </c>
      <c r="N182" s="339">
        <f>2*M182</f>
        <v>0.11752319575203241</v>
      </c>
      <c r="O182" s="28"/>
    </row>
    <row r="183" spans="1:15" ht="21" customHeight="1" x14ac:dyDescent="0.25">
      <c r="A183" s="354"/>
      <c r="B183" s="354"/>
      <c r="C183" s="354"/>
      <c r="D183" s="354"/>
      <c r="E183" s="354"/>
      <c r="F183" s="354"/>
      <c r="G183" s="354"/>
      <c r="H183" s="354"/>
      <c r="I183" s="354"/>
      <c r="J183" s="354"/>
      <c r="K183" s="28"/>
      <c r="L183" s="28" t="s">
        <v>302</v>
      </c>
      <c r="M183" s="360" t="str">
        <f>IF(M182&lt;M175,"yes","no")</f>
        <v>no</v>
      </c>
      <c r="N183" s="361" t="str">
        <f>IF(N182&lt;M175,"yes","no")</f>
        <v>no</v>
      </c>
      <c r="O183" s="28"/>
    </row>
    <row r="184" spans="1:15" ht="21" customHeight="1" x14ac:dyDescent="0.25">
      <c r="A184" s="28"/>
      <c r="B184" s="28"/>
      <c r="C184" s="28"/>
      <c r="D184" s="28"/>
      <c r="E184" s="28"/>
      <c r="F184" s="28"/>
      <c r="G184" s="28"/>
      <c r="H184" s="28"/>
      <c r="I184" s="28"/>
      <c r="J184" s="28"/>
      <c r="K184" s="28"/>
      <c r="L184" s="28"/>
      <c r="M184" s="28"/>
      <c r="N184" s="28"/>
      <c r="O184" s="28"/>
    </row>
    <row r="185" spans="1:15" ht="21" customHeight="1" x14ac:dyDescent="0.25">
      <c r="A185" s="28"/>
      <c r="B185" s="28"/>
      <c r="C185" s="28"/>
      <c r="D185" s="28"/>
      <c r="E185" s="28"/>
      <c r="F185" s="28"/>
      <c r="G185" s="28"/>
      <c r="H185" s="28"/>
      <c r="I185" s="28"/>
      <c r="J185" s="28"/>
      <c r="K185" s="28"/>
      <c r="L185" s="28"/>
      <c r="M185" s="28"/>
      <c r="N185" s="28"/>
      <c r="O185" s="28"/>
    </row>
    <row r="186" spans="1:15" ht="21" customHeight="1" x14ac:dyDescent="0.25">
      <c r="A186" s="28"/>
      <c r="B186" s="28"/>
      <c r="C186" s="28"/>
      <c r="D186" s="28"/>
      <c r="E186" s="28"/>
      <c r="F186" s="28"/>
      <c r="G186" s="28"/>
      <c r="H186" s="28"/>
      <c r="I186" s="28"/>
      <c r="J186" s="28"/>
      <c r="K186" s="28"/>
      <c r="L186" s="28"/>
      <c r="M186" s="28"/>
      <c r="N186" s="28"/>
      <c r="O186" s="28"/>
    </row>
    <row r="187" spans="1:15" ht="21" customHeight="1" x14ac:dyDescent="0.25">
      <c r="A187" s="28"/>
      <c r="B187" s="28"/>
      <c r="C187" s="28"/>
      <c r="D187" s="28"/>
      <c r="E187" s="28"/>
      <c r="F187" s="28"/>
      <c r="G187" s="28"/>
      <c r="H187" s="28"/>
      <c r="I187" s="28"/>
      <c r="J187" s="28"/>
      <c r="K187" s="28"/>
      <c r="L187" s="28"/>
      <c r="M187" s="28"/>
      <c r="N187" s="28"/>
      <c r="O187" s="28"/>
    </row>
    <row r="188" spans="1:15" ht="21" customHeight="1" x14ac:dyDescent="0.25">
      <c r="A188" s="349" t="s">
        <v>309</v>
      </c>
      <c r="B188" s="28"/>
      <c r="C188" s="28"/>
      <c r="D188" s="28"/>
      <c r="E188" s="28"/>
      <c r="F188" s="28"/>
      <c r="G188" s="28"/>
      <c r="H188" s="28"/>
      <c r="I188" s="28"/>
      <c r="J188" s="28"/>
      <c r="K188" s="28"/>
      <c r="L188" s="28"/>
      <c r="M188" s="28"/>
      <c r="N188" s="28"/>
      <c r="O188" s="28"/>
    </row>
    <row r="189" spans="1:15" ht="21" customHeight="1" x14ac:dyDescent="0.25">
      <c r="A189" s="28" t="s">
        <v>263</v>
      </c>
      <c r="B189" s="28"/>
      <c r="C189" s="28"/>
      <c r="D189" s="28"/>
      <c r="E189" s="28"/>
      <c r="F189" s="28"/>
      <c r="G189" s="28"/>
      <c r="H189" s="28"/>
      <c r="I189" s="28"/>
      <c r="J189" s="28"/>
      <c r="K189" s="28"/>
      <c r="L189" s="28" t="s">
        <v>288</v>
      </c>
      <c r="M189" s="28"/>
      <c r="N189" s="28"/>
      <c r="O189" s="28"/>
    </row>
    <row r="190" spans="1:15" ht="21" customHeight="1" x14ac:dyDescent="0.25">
      <c r="A190" s="28"/>
      <c r="B190" s="28"/>
      <c r="C190" s="28"/>
      <c r="D190" s="28"/>
      <c r="E190" s="28"/>
      <c r="F190" s="28"/>
      <c r="G190" s="28"/>
      <c r="H190" s="28"/>
      <c r="I190" s="28"/>
      <c r="J190" s="28"/>
      <c r="K190" s="28"/>
      <c r="L190" s="28"/>
      <c r="M190" s="28"/>
      <c r="N190" s="28"/>
      <c r="O190" s="28"/>
    </row>
    <row r="191" spans="1:15" ht="21" customHeight="1" thickBot="1" x14ac:dyDescent="0.3">
      <c r="A191" s="28" t="s">
        <v>264</v>
      </c>
      <c r="B191" s="28"/>
      <c r="C191" s="28"/>
      <c r="D191" s="28" t="s">
        <v>265</v>
      </c>
      <c r="E191" s="28">
        <v>0</v>
      </c>
      <c r="F191" s="28"/>
      <c r="G191" s="28"/>
      <c r="H191" s="28"/>
      <c r="I191" s="28"/>
      <c r="J191" s="28"/>
      <c r="K191" s="28"/>
      <c r="L191" s="28"/>
      <c r="M191" s="28" t="s">
        <v>289</v>
      </c>
      <c r="N191" s="28" t="s">
        <v>290</v>
      </c>
      <c r="O191" s="28"/>
    </row>
    <row r="192" spans="1:15" ht="21" customHeight="1" thickTop="1" x14ac:dyDescent="0.25">
      <c r="A192" s="350" t="s">
        <v>266</v>
      </c>
      <c r="B192" s="350" t="s">
        <v>267</v>
      </c>
      <c r="C192" s="350" t="s">
        <v>117</v>
      </c>
      <c r="D192" s="350" t="s">
        <v>268</v>
      </c>
      <c r="E192" s="350" t="s">
        <v>269</v>
      </c>
      <c r="F192" s="28"/>
      <c r="G192" s="28"/>
      <c r="H192" s="28"/>
      <c r="I192" s="28"/>
      <c r="J192" s="28"/>
      <c r="K192" s="28"/>
      <c r="L192" s="28" t="s">
        <v>291</v>
      </c>
      <c r="M192" s="351">
        <f>COUNT(P6:P27)</f>
        <v>22</v>
      </c>
      <c r="N192" s="352">
        <f>COUNT(P60:P64)</f>
        <v>5</v>
      </c>
      <c r="O192" s="28"/>
    </row>
    <row r="193" spans="1:15" ht="21" customHeight="1" x14ac:dyDescent="0.25">
      <c r="A193" s="28" t="s">
        <v>270</v>
      </c>
      <c r="B193" s="28">
        <f>COUNT(P6:P27)</f>
        <v>22</v>
      </c>
      <c r="C193" s="28">
        <f>AVERAGE(P6:P27)</f>
        <v>3.0935769221220628</v>
      </c>
      <c r="D193" s="28">
        <f>VAR(P6:P27)</f>
        <v>2.7511104912296986E-2</v>
      </c>
      <c r="E193" s="28"/>
      <c r="F193" s="28"/>
      <c r="G193" s="28"/>
      <c r="H193" s="28"/>
      <c r="I193" s="28"/>
      <c r="J193" s="28"/>
      <c r="K193" s="28"/>
      <c r="L193" s="28" t="s">
        <v>292</v>
      </c>
      <c r="M193" s="353">
        <f>MEDIAN(P6:P27)</f>
        <v>3.1126546408629316</v>
      </c>
      <c r="N193" s="339">
        <f>MEDIAN(P60:P64)</f>
        <v>3.2329961103921536</v>
      </c>
      <c r="O193" s="28"/>
    </row>
    <row r="194" spans="1:15" ht="21" customHeight="1" x14ac:dyDescent="0.25">
      <c r="A194" s="28" t="s">
        <v>271</v>
      </c>
      <c r="B194" s="28">
        <f>COUNT(P60:P64)</f>
        <v>5</v>
      </c>
      <c r="C194" s="28">
        <f>AVERAGE(P60:P64)</f>
        <v>3.2895094046746882</v>
      </c>
      <c r="D194" s="28">
        <f>VAR(P60:P64)</f>
        <v>3.4997366157192469E-2</v>
      </c>
      <c r="E194" s="28"/>
      <c r="F194" s="28"/>
      <c r="G194" s="28"/>
      <c r="H194" s="28"/>
      <c r="I194" s="28"/>
      <c r="J194" s="28"/>
      <c r="K194" s="28"/>
      <c r="L194" s="28" t="s">
        <v>293</v>
      </c>
      <c r="M194" s="353">
        <v>276</v>
      </c>
      <c r="N194" s="339">
        <v>102</v>
      </c>
      <c r="O194" s="28"/>
    </row>
    <row r="195" spans="1:15" ht="21" customHeight="1" x14ac:dyDescent="0.25">
      <c r="A195" s="354" t="s">
        <v>272</v>
      </c>
      <c r="B195" s="354"/>
      <c r="C195" s="354"/>
      <c r="D195" s="354">
        <f>((B193-1)*D193+(B194-1)*D194)/(B193+B194-2)</f>
        <v>2.8708906711480263E-2</v>
      </c>
      <c r="E195" s="354">
        <f>ABS(C193-C194-E191)/SQRT(D195)</f>
        <v>1.1563734562545005</v>
      </c>
      <c r="F195" s="28"/>
      <c r="G195" s="28"/>
      <c r="H195" s="28"/>
      <c r="I195" s="28"/>
      <c r="J195" s="28"/>
      <c r="K195" s="28"/>
      <c r="L195" s="28" t="s">
        <v>294</v>
      </c>
      <c r="M195" s="355">
        <f>M192*N192+M192*(M192+1)/2-M194</f>
        <v>87</v>
      </c>
      <c r="N195" s="356">
        <f>M192*N192+N192*(N192+1)/2-N194</f>
        <v>23</v>
      </c>
      <c r="O195" s="28"/>
    </row>
    <row r="196" spans="1:15" ht="21" customHeight="1" x14ac:dyDescent="0.25">
      <c r="A196" s="28"/>
      <c r="B196" s="28"/>
      <c r="C196" s="28"/>
      <c r="D196" s="28"/>
      <c r="E196" s="28"/>
      <c r="F196" s="28"/>
      <c r="G196" s="28"/>
      <c r="H196" s="28"/>
      <c r="I196" s="28"/>
      <c r="J196" s="28"/>
      <c r="K196" s="28"/>
      <c r="L196" s="28"/>
      <c r="M196" s="28"/>
      <c r="N196" s="28"/>
      <c r="O196" s="28"/>
    </row>
    <row r="197" spans="1:15" ht="21" customHeight="1" thickBot="1" x14ac:dyDescent="0.3">
      <c r="A197" s="28" t="s">
        <v>273</v>
      </c>
      <c r="B197" s="28"/>
      <c r="C197" s="28"/>
      <c r="D197" s="28"/>
      <c r="E197" s="28" t="s">
        <v>274</v>
      </c>
      <c r="F197" s="28">
        <v>0.05</v>
      </c>
      <c r="G197" s="28"/>
      <c r="H197" s="28"/>
      <c r="I197" s="28"/>
      <c r="J197" s="28"/>
      <c r="K197" s="28"/>
      <c r="L197" s="28"/>
      <c r="M197" s="357" t="s">
        <v>295</v>
      </c>
      <c r="N197" s="357" t="s">
        <v>296</v>
      </c>
      <c r="O197" s="28"/>
    </row>
    <row r="198" spans="1:15" ht="21" customHeight="1" thickTop="1" x14ac:dyDescent="0.25">
      <c r="A198" s="350" t="s">
        <v>275</v>
      </c>
      <c r="B198" s="350" t="s">
        <v>276</v>
      </c>
      <c r="C198" s="350" t="s">
        <v>277</v>
      </c>
      <c r="D198" s="350" t="s">
        <v>278</v>
      </c>
      <c r="E198" s="350" t="s">
        <v>279</v>
      </c>
      <c r="F198" s="350" t="s">
        <v>280</v>
      </c>
      <c r="G198" s="350" t="s">
        <v>281</v>
      </c>
      <c r="H198" s="350" t="s">
        <v>282</v>
      </c>
      <c r="I198" s="350" t="s">
        <v>283</v>
      </c>
      <c r="J198" s="350" t="s">
        <v>284</v>
      </c>
      <c r="K198" s="28"/>
      <c r="L198" s="28" t="s">
        <v>297</v>
      </c>
      <c r="M198" s="358">
        <v>0.05</v>
      </c>
      <c r="N198" s="28"/>
      <c r="O198" s="28"/>
    </row>
    <row r="199" spans="1:15" ht="21" customHeight="1" x14ac:dyDescent="0.25">
      <c r="A199" s="28" t="s">
        <v>285</v>
      </c>
      <c r="B199" s="28">
        <f>SQRT(D195*(1/B193+1/B194))</f>
        <v>8.3944813105774063E-2</v>
      </c>
      <c r="C199" s="28">
        <f>(ABS(C193-C194-E191))/B199</f>
        <v>2.3340630028652525</v>
      </c>
      <c r="D199" s="28">
        <f>B193+B194-2</f>
        <v>25</v>
      </c>
      <c r="E199" s="28">
        <f>TDIST(C199,D199,1)</f>
        <v>1.3963720229513282E-2</v>
      </c>
      <c r="F199" s="28">
        <f>TINV(F197*2,D199)</f>
        <v>1.7081407612518986</v>
      </c>
      <c r="G199" s="28"/>
      <c r="H199" s="28"/>
      <c r="I199" s="28" t="str">
        <f>IF(E199&lt;F197,"yes","no")</f>
        <v>yes</v>
      </c>
      <c r="J199" s="28">
        <f>SQRT(C199^2/(C199^2+D199))</f>
        <v>0.42299404979913596</v>
      </c>
      <c r="K199" s="28"/>
      <c r="L199" s="28" t="s">
        <v>294</v>
      </c>
      <c r="M199" s="359">
        <f>MIN(M195,N195)</f>
        <v>23</v>
      </c>
      <c r="N199" s="28"/>
      <c r="O199" s="28"/>
    </row>
    <row r="200" spans="1:15" ht="21" customHeight="1" x14ac:dyDescent="0.25">
      <c r="A200" s="28" t="s">
        <v>286</v>
      </c>
      <c r="B200" s="28">
        <f>B199</f>
        <v>8.3944813105774063E-2</v>
      </c>
      <c r="C200" s="28">
        <f t="shared" ref="C200:D200" si="54">C199</f>
        <v>2.3340630028652525</v>
      </c>
      <c r="D200" s="28">
        <f t="shared" si="54"/>
        <v>25</v>
      </c>
      <c r="E200" s="28">
        <f>TDIST(C200,D200,2)</f>
        <v>2.7927440459026565E-2</v>
      </c>
      <c r="F200" s="28">
        <f>TINV(F197,D200)</f>
        <v>2.0595385527532977</v>
      </c>
      <c r="G200" s="28">
        <f>(C193-C194)-F200*B200</f>
        <v>-0.36882006144763735</v>
      </c>
      <c r="H200" s="28">
        <f>(C193-C194)+F200*B200</f>
        <v>-2.3044903657613441E-2</v>
      </c>
      <c r="I200" s="28" t="str">
        <f>IF(E200&lt;F197,"yes","no")</f>
        <v>yes</v>
      </c>
      <c r="J200" s="28">
        <f>J199</f>
        <v>0.42299404979913596</v>
      </c>
      <c r="K200" s="28"/>
      <c r="L200" s="28" t="s">
        <v>298</v>
      </c>
      <c r="M200" s="359">
        <f>M192*N192/2</f>
        <v>55</v>
      </c>
      <c r="N200" s="28"/>
      <c r="O200" s="28"/>
    </row>
    <row r="201" spans="1:15" ht="21" customHeight="1" x14ac:dyDescent="0.25">
      <c r="A201" s="354"/>
      <c r="B201" s="354"/>
      <c r="C201" s="354"/>
      <c r="D201" s="354"/>
      <c r="E201" s="354"/>
      <c r="F201" s="354"/>
      <c r="G201" s="354"/>
      <c r="H201" s="354"/>
      <c r="I201" s="354"/>
      <c r="J201" s="354"/>
      <c r="K201" s="28"/>
      <c r="L201" s="28" t="s">
        <v>299</v>
      </c>
      <c r="M201" s="359">
        <v>15.971841318386403</v>
      </c>
      <c r="N201" s="28" t="s">
        <v>300</v>
      </c>
      <c r="O201" s="28"/>
    </row>
    <row r="202" spans="1:15" ht="21" customHeight="1" thickBot="1" x14ac:dyDescent="0.3">
      <c r="A202" s="28" t="s">
        <v>287</v>
      </c>
      <c r="B202" s="28"/>
      <c r="C202" s="28"/>
      <c r="D202" s="28"/>
      <c r="E202" s="28" t="s">
        <v>274</v>
      </c>
      <c r="F202" s="28">
        <f>F197</f>
        <v>0.05</v>
      </c>
      <c r="G202" s="28"/>
      <c r="H202" s="28"/>
      <c r="I202" s="28"/>
      <c r="J202" s="28"/>
      <c r="K202" s="28"/>
      <c r="L202" s="28" t="s">
        <v>19</v>
      </c>
      <c r="M202" s="359">
        <f>ABS(STANDARDIZE(M199,M200,M201))</f>
        <v>2.0035260407428641</v>
      </c>
      <c r="N202" s="28"/>
      <c r="O202" s="28"/>
    </row>
    <row r="203" spans="1:15" ht="21" customHeight="1" thickTop="1" x14ac:dyDescent="0.25">
      <c r="A203" s="350" t="s">
        <v>275</v>
      </c>
      <c r="B203" s="350" t="s">
        <v>276</v>
      </c>
      <c r="C203" s="350" t="s">
        <v>277</v>
      </c>
      <c r="D203" s="350" t="s">
        <v>278</v>
      </c>
      <c r="E203" s="350" t="s">
        <v>279</v>
      </c>
      <c r="F203" s="350" t="s">
        <v>280</v>
      </c>
      <c r="G203" s="350" t="s">
        <v>281</v>
      </c>
      <c r="H203" s="350" t="s">
        <v>282</v>
      </c>
      <c r="I203" s="350" t="s">
        <v>283</v>
      </c>
      <c r="J203" s="350" t="s">
        <v>284</v>
      </c>
      <c r="K203" s="28"/>
      <c r="L203" s="28" t="s">
        <v>284</v>
      </c>
      <c r="M203" s="359">
        <f>M202/SQRT(M192+N192)</f>
        <v>0.38557876631710591</v>
      </c>
      <c r="N203" s="28"/>
      <c r="O203" s="28"/>
    </row>
    <row r="204" spans="1:15" ht="21" customHeight="1" x14ac:dyDescent="0.25">
      <c r="A204" s="28" t="s">
        <v>285</v>
      </c>
      <c r="B204" s="28">
        <f>SQRT(D193/B193+D194/B194)</f>
        <v>9.0829389517816675E-2</v>
      </c>
      <c r="C204" s="28">
        <f>(ABS(C193-C194-E191))/B204</f>
        <v>2.1571485131934329</v>
      </c>
      <c r="D204" s="28">
        <f>(D193/B193+D194/B194)^2/((D193/B193)^2/(B193-1)+(D194/B194)^2/(B194-1))</f>
        <v>5.5233489409793428</v>
      </c>
      <c r="E204" s="28">
        <f>TDIST(C204,ROUND(D204,0),1)</f>
        <v>3.7184457865030392E-2</v>
      </c>
      <c r="F204" s="28">
        <f>TINV(F202*2,ROUND(D204,0))</f>
        <v>1.9431802805153031</v>
      </c>
      <c r="G204" s="28"/>
      <c r="H204" s="28"/>
      <c r="I204" s="28" t="str">
        <f>IF(E204&lt;F202,"yes","no")</f>
        <v>yes</v>
      </c>
      <c r="J204" s="28">
        <f>SQRT(C204^2/(C204^2+D204))</f>
        <v>0.67620420801220582</v>
      </c>
      <c r="K204" s="28"/>
      <c r="L204" s="28" t="s">
        <v>301</v>
      </c>
      <c r="M204" s="358">
        <f>M200+M201*NORMSINV(M198)</f>
        <v>28.728658878358736</v>
      </c>
      <c r="N204" s="352">
        <f>M200+M201*NORMSINV(M198/2)</f>
        <v>23.695766249173918</v>
      </c>
      <c r="O204" s="28"/>
    </row>
    <row r="205" spans="1:15" ht="21" customHeight="1" x14ac:dyDescent="0.25">
      <c r="A205" s="28" t="s">
        <v>286</v>
      </c>
      <c r="B205" s="28">
        <f>B204</f>
        <v>9.0829389517816675E-2</v>
      </c>
      <c r="C205" s="28">
        <f t="shared" ref="C205:D205" si="55">C204</f>
        <v>2.1571485131934329</v>
      </c>
      <c r="D205" s="28">
        <f t="shared" si="55"/>
        <v>5.5233489409793428</v>
      </c>
      <c r="E205" s="28">
        <f>TDIST(C205,ROUND(D205,0),2)</f>
        <v>7.4368915730060783E-2</v>
      </c>
      <c r="F205" s="28">
        <f>TINV(F202,ROUND(D205,0))</f>
        <v>2.4469118511449697</v>
      </c>
      <c r="G205" s="28">
        <f>(C193-C194)-F205*B205</f>
        <v>-0.41818399219603375</v>
      </c>
      <c r="H205" s="28">
        <f>(C193-C194)+F205*B205</f>
        <v>2.6319027090782904E-2</v>
      </c>
      <c r="I205" s="28" t="str">
        <f>IF(E205&lt;F202,"yes","no")</f>
        <v>no</v>
      </c>
      <c r="J205" s="28">
        <f>J204</f>
        <v>0.67620420801220582</v>
      </c>
      <c r="K205" s="28"/>
      <c r="L205" s="28" t="s">
        <v>279</v>
      </c>
      <c r="M205" s="359">
        <f>1-NORMSDIST(M202)</f>
        <v>2.2560427685451412E-2</v>
      </c>
      <c r="N205" s="339">
        <f>2*M205</f>
        <v>4.5120855370902824E-2</v>
      </c>
      <c r="O205" s="28"/>
    </row>
    <row r="206" spans="1:15" ht="21" customHeight="1" x14ac:dyDescent="0.25">
      <c r="A206" s="354"/>
      <c r="B206" s="354"/>
      <c r="C206" s="354"/>
      <c r="D206" s="354"/>
      <c r="E206" s="354"/>
      <c r="F206" s="354"/>
      <c r="G206" s="354"/>
      <c r="H206" s="354"/>
      <c r="I206" s="354"/>
      <c r="J206" s="354"/>
      <c r="K206" s="28"/>
      <c r="L206" s="28" t="s">
        <v>302</v>
      </c>
      <c r="M206" s="360" t="str">
        <f>IF(M205&lt;M198,"yes","no")</f>
        <v>yes</v>
      </c>
      <c r="N206" s="361" t="str">
        <f>IF(N205&lt;M198,"yes","no")</f>
        <v>yes</v>
      </c>
      <c r="O206" s="28"/>
    </row>
    <row r="207" spans="1:15" ht="21" customHeight="1" x14ac:dyDescent="0.25">
      <c r="A207" s="28"/>
      <c r="B207" s="28"/>
      <c r="C207" s="28"/>
      <c r="D207" s="28"/>
      <c r="E207" s="28"/>
      <c r="F207" s="28"/>
      <c r="G207" s="28"/>
      <c r="H207" s="28"/>
      <c r="I207" s="28"/>
      <c r="J207" s="28"/>
      <c r="K207" s="28"/>
      <c r="L207" s="28"/>
      <c r="M207" s="28"/>
      <c r="N207" s="28"/>
      <c r="O207" s="28"/>
    </row>
    <row r="208" spans="1:15" ht="21" customHeight="1" x14ac:dyDescent="0.25">
      <c r="A208" s="28"/>
      <c r="B208" s="28"/>
      <c r="C208" s="28"/>
      <c r="D208" s="28"/>
      <c r="E208" s="28"/>
      <c r="F208" s="28"/>
      <c r="G208" s="28"/>
      <c r="H208" s="28"/>
      <c r="I208" s="28"/>
      <c r="J208" s="28"/>
      <c r="K208" s="28"/>
      <c r="L208" s="28"/>
      <c r="M208" s="28"/>
      <c r="N208" s="28"/>
      <c r="O208" s="28"/>
    </row>
    <row r="209" spans="1:15" ht="21" customHeight="1" x14ac:dyDescent="0.25">
      <c r="A209" s="349" t="s">
        <v>310</v>
      </c>
      <c r="B209" s="28"/>
      <c r="C209" s="28"/>
      <c r="D209" s="28"/>
      <c r="E209" s="28"/>
      <c r="F209" s="28"/>
      <c r="G209" s="28"/>
      <c r="H209" s="28"/>
      <c r="I209" s="28"/>
      <c r="J209" s="28"/>
      <c r="K209" s="28"/>
      <c r="L209" s="28"/>
      <c r="M209" s="28"/>
      <c r="N209" s="28"/>
      <c r="O209" s="28"/>
    </row>
    <row r="210" spans="1:15" ht="21" customHeight="1" x14ac:dyDescent="0.25">
      <c r="A210" s="28" t="s">
        <v>263</v>
      </c>
      <c r="B210" s="28"/>
      <c r="C210" s="28"/>
      <c r="D210" s="28"/>
      <c r="E210" s="28"/>
      <c r="F210" s="28"/>
      <c r="G210" s="28"/>
      <c r="H210" s="28"/>
      <c r="I210" s="28"/>
      <c r="J210" s="28"/>
      <c r="K210" s="28"/>
      <c r="L210" s="28" t="s">
        <v>288</v>
      </c>
      <c r="M210" s="28"/>
      <c r="N210" s="28"/>
      <c r="O210" s="28"/>
    </row>
    <row r="211" spans="1:15" ht="21" customHeight="1" x14ac:dyDescent="0.25">
      <c r="A211" s="28"/>
      <c r="B211" s="28"/>
      <c r="C211" s="28"/>
      <c r="D211" s="28"/>
      <c r="E211" s="28"/>
      <c r="F211" s="28"/>
      <c r="G211" s="28"/>
      <c r="H211" s="28"/>
      <c r="I211" s="28"/>
      <c r="J211" s="28"/>
      <c r="K211" s="28"/>
      <c r="L211" s="28"/>
      <c r="M211" s="28"/>
      <c r="N211" s="28"/>
      <c r="O211" s="28"/>
    </row>
    <row r="212" spans="1:15" ht="21" customHeight="1" thickBot="1" x14ac:dyDescent="0.3">
      <c r="A212" s="28" t="s">
        <v>264</v>
      </c>
      <c r="B212" s="28"/>
      <c r="C212" s="28"/>
      <c r="D212" s="28" t="s">
        <v>265</v>
      </c>
      <c r="E212" s="28">
        <v>0</v>
      </c>
      <c r="F212" s="28"/>
      <c r="G212" s="28"/>
      <c r="H212" s="28"/>
      <c r="I212" s="28"/>
      <c r="J212" s="28"/>
      <c r="K212" s="28"/>
      <c r="L212" s="28"/>
      <c r="M212" s="28" t="s">
        <v>289</v>
      </c>
      <c r="N212" s="28" t="s">
        <v>290</v>
      </c>
      <c r="O212" s="28"/>
    </row>
    <row r="213" spans="1:15" ht="21" customHeight="1" thickTop="1" x14ac:dyDescent="0.25">
      <c r="A213" s="350" t="s">
        <v>266</v>
      </c>
      <c r="B213" s="350" t="s">
        <v>267</v>
      </c>
      <c r="C213" s="350" t="s">
        <v>117</v>
      </c>
      <c r="D213" s="350" t="s">
        <v>268</v>
      </c>
      <c r="E213" s="350" t="s">
        <v>269</v>
      </c>
      <c r="F213" s="28"/>
      <c r="G213" s="28"/>
      <c r="H213" s="28"/>
      <c r="I213" s="28"/>
      <c r="J213" s="28"/>
      <c r="K213" s="28"/>
      <c r="L213" s="28" t="s">
        <v>291</v>
      </c>
      <c r="M213" s="351">
        <f>COUNT(Q6:Q27)</f>
        <v>22</v>
      </c>
      <c r="N213" s="352">
        <f>COUNT(Q60:Q64)</f>
        <v>5</v>
      </c>
      <c r="O213" s="28"/>
    </row>
    <row r="214" spans="1:15" ht="21" customHeight="1" x14ac:dyDescent="0.25">
      <c r="A214" s="28" t="s">
        <v>270</v>
      </c>
      <c r="B214" s="28">
        <f>COUNT(Q6:Q27)</f>
        <v>22</v>
      </c>
      <c r="C214" s="28">
        <f>AVERAGE(Q6:Q27)</f>
        <v>2.5937743328254523</v>
      </c>
      <c r="D214" s="28">
        <f>VAR(Q6:Q27)</f>
        <v>2.0386178589728011E-2</v>
      </c>
      <c r="E214" s="28"/>
      <c r="F214" s="28"/>
      <c r="G214" s="28"/>
      <c r="H214" s="28"/>
      <c r="I214" s="28"/>
      <c r="J214" s="28"/>
      <c r="K214" s="28"/>
      <c r="L214" s="28" t="s">
        <v>292</v>
      </c>
      <c r="M214" s="353">
        <f>MEDIAN(Q6:Q27)</f>
        <v>2.5962837266682728</v>
      </c>
      <c r="N214" s="339">
        <f>MEDIAN(Q60:Q64)</f>
        <v>2.8102325179950842</v>
      </c>
      <c r="O214" s="28"/>
    </row>
    <row r="215" spans="1:15" ht="21" customHeight="1" x14ac:dyDescent="0.25">
      <c r="A215" s="28" t="s">
        <v>271</v>
      </c>
      <c r="B215" s="28">
        <f>COUNT(Q60:Q64)</f>
        <v>5</v>
      </c>
      <c r="C215" s="28">
        <f>AVERAGE(Q60:Q64)</f>
        <v>2.7987578841088867</v>
      </c>
      <c r="D215" s="28">
        <f>VAR(Q60:Q64)</f>
        <v>1.7257708108868858E-2</v>
      </c>
      <c r="E215" s="28"/>
      <c r="F215" s="28"/>
      <c r="G215" s="28"/>
      <c r="H215" s="28"/>
      <c r="I215" s="28"/>
      <c r="J215" s="28"/>
      <c r="K215" s="28"/>
      <c r="L215" s="28" t="s">
        <v>293</v>
      </c>
      <c r="M215" s="353">
        <v>267</v>
      </c>
      <c r="N215" s="339">
        <v>111</v>
      </c>
      <c r="O215" s="28"/>
    </row>
    <row r="216" spans="1:15" ht="21" customHeight="1" x14ac:dyDescent="0.25">
      <c r="A216" s="354" t="s">
        <v>272</v>
      </c>
      <c r="B216" s="354"/>
      <c r="C216" s="354"/>
      <c r="D216" s="354">
        <f>((B214-1)*D214+(B215-1)*D215)/(B214+B215-2)</f>
        <v>1.9885623312790545E-2</v>
      </c>
      <c r="E216" s="354">
        <f>ABS(C214-C215-E212)/SQRT(D216)</f>
        <v>1.4536150428946135</v>
      </c>
      <c r="F216" s="28"/>
      <c r="G216" s="28"/>
      <c r="H216" s="28"/>
      <c r="I216" s="28"/>
      <c r="J216" s="28"/>
      <c r="K216" s="28"/>
      <c r="L216" s="28" t="s">
        <v>294</v>
      </c>
      <c r="M216" s="355">
        <f>M213*N213+M213*(M213+1)/2-M215</f>
        <v>96</v>
      </c>
      <c r="N216" s="356">
        <f>M213*N213+N213*(N213+1)/2-N215</f>
        <v>14</v>
      </c>
      <c r="O216" s="28"/>
    </row>
    <row r="217" spans="1:15" ht="21" customHeight="1" x14ac:dyDescent="0.25">
      <c r="A217" s="28"/>
      <c r="B217" s="28"/>
      <c r="C217" s="28"/>
      <c r="D217" s="28"/>
      <c r="E217" s="28"/>
      <c r="F217" s="28"/>
      <c r="G217" s="28"/>
      <c r="H217" s="28"/>
      <c r="I217" s="28"/>
      <c r="J217" s="28"/>
      <c r="K217" s="28"/>
      <c r="L217" s="28"/>
      <c r="M217" s="28"/>
      <c r="N217" s="28"/>
      <c r="O217" s="28"/>
    </row>
    <row r="218" spans="1:15" ht="21" customHeight="1" thickBot="1" x14ac:dyDescent="0.3">
      <c r="A218" s="28" t="s">
        <v>273</v>
      </c>
      <c r="B218" s="28"/>
      <c r="C218" s="28"/>
      <c r="D218" s="28"/>
      <c r="E218" s="28" t="s">
        <v>274</v>
      </c>
      <c r="F218" s="28">
        <v>0.05</v>
      </c>
      <c r="G218" s="28"/>
      <c r="H218" s="28"/>
      <c r="I218" s="28"/>
      <c r="J218" s="28"/>
      <c r="K218" s="28"/>
      <c r="L218" s="28"/>
      <c r="M218" s="357" t="s">
        <v>295</v>
      </c>
      <c r="N218" s="357" t="s">
        <v>296</v>
      </c>
      <c r="O218" s="28"/>
    </row>
    <row r="219" spans="1:15" ht="21" customHeight="1" thickTop="1" x14ac:dyDescent="0.25">
      <c r="A219" s="350" t="s">
        <v>275</v>
      </c>
      <c r="B219" s="350" t="s">
        <v>276</v>
      </c>
      <c r="C219" s="350" t="s">
        <v>277</v>
      </c>
      <c r="D219" s="350" t="s">
        <v>278</v>
      </c>
      <c r="E219" s="350" t="s">
        <v>279</v>
      </c>
      <c r="F219" s="350" t="s">
        <v>280</v>
      </c>
      <c r="G219" s="350" t="s">
        <v>281</v>
      </c>
      <c r="H219" s="350" t="s">
        <v>282</v>
      </c>
      <c r="I219" s="350" t="s">
        <v>283</v>
      </c>
      <c r="J219" s="350" t="s">
        <v>284</v>
      </c>
      <c r="K219" s="28"/>
      <c r="L219" s="28" t="s">
        <v>297</v>
      </c>
      <c r="M219" s="358">
        <v>0.05</v>
      </c>
      <c r="N219" s="28"/>
      <c r="O219" s="28"/>
    </row>
    <row r="220" spans="1:15" ht="21" customHeight="1" x14ac:dyDescent="0.25">
      <c r="A220" s="28" t="s">
        <v>285</v>
      </c>
      <c r="B220" s="28">
        <f>SQRT(D216*(1/B214+1/B215))</f>
        <v>6.9864272924874238E-2</v>
      </c>
      <c r="C220" s="28">
        <f>(ABS(C214-C215-E212))/B220</f>
        <v>2.9340253995608783</v>
      </c>
      <c r="D220" s="28">
        <f>B214+B215-2</f>
        <v>25</v>
      </c>
      <c r="E220" s="28">
        <f>TDIST(C220,D220,1)</f>
        <v>3.5356257655124032E-3</v>
      </c>
      <c r="F220" s="28">
        <f>TINV(F218*2,D220)</f>
        <v>1.7081407612518986</v>
      </c>
      <c r="G220" s="28"/>
      <c r="H220" s="28"/>
      <c r="I220" s="28" t="str">
        <f>IF(E220&lt;F218,"yes","no")</f>
        <v>yes</v>
      </c>
      <c r="J220" s="28">
        <f>SQRT(C220^2/(C220^2+D220))</f>
        <v>0.50610341961611738</v>
      </c>
      <c r="K220" s="28"/>
      <c r="L220" s="28" t="s">
        <v>294</v>
      </c>
      <c r="M220" s="359">
        <f>MIN(M216,N216)</f>
        <v>14</v>
      </c>
      <c r="N220" s="28"/>
      <c r="O220" s="28"/>
    </row>
    <row r="221" spans="1:15" ht="21" customHeight="1" x14ac:dyDescent="0.25">
      <c r="A221" s="28" t="s">
        <v>286</v>
      </c>
      <c r="B221" s="28">
        <f>B220</f>
        <v>6.9864272924874238E-2</v>
      </c>
      <c r="C221" s="28">
        <f t="shared" ref="C221:D221" si="56">C220</f>
        <v>2.9340253995608783</v>
      </c>
      <c r="D221" s="28">
        <f t="shared" si="56"/>
        <v>25</v>
      </c>
      <c r="E221" s="28">
        <f>TDIST(C221,D221,2)</f>
        <v>7.0712515310248063E-3</v>
      </c>
      <c r="F221" s="28">
        <f>TINV(F218,D221)</f>
        <v>2.0595385527532977</v>
      </c>
      <c r="G221" s="28">
        <f>(C214-C215)-F221*B221</f>
        <v>-0.34887171483229129</v>
      </c>
      <c r="H221" s="28">
        <f>(C214-C215)+F221*B221</f>
        <v>-6.1095387734577483E-2</v>
      </c>
      <c r="I221" s="28" t="str">
        <f>IF(E221&lt;F218,"yes","no")</f>
        <v>yes</v>
      </c>
      <c r="J221" s="28">
        <f>J220</f>
        <v>0.50610341961611738</v>
      </c>
      <c r="K221" s="28"/>
      <c r="L221" s="28" t="s">
        <v>298</v>
      </c>
      <c r="M221" s="359">
        <f>M213*N213/2</f>
        <v>55</v>
      </c>
      <c r="N221" s="28"/>
      <c r="O221" s="28"/>
    </row>
    <row r="222" spans="1:15" ht="21" customHeight="1" x14ac:dyDescent="0.25">
      <c r="A222" s="354"/>
      <c r="B222" s="354"/>
      <c r="C222" s="354"/>
      <c r="D222" s="354"/>
      <c r="E222" s="354"/>
      <c r="F222" s="354"/>
      <c r="G222" s="354"/>
      <c r="H222" s="354"/>
      <c r="I222" s="354"/>
      <c r="J222" s="354"/>
      <c r="K222" s="28"/>
      <c r="L222" s="28" t="s">
        <v>299</v>
      </c>
      <c r="M222" s="359">
        <v>15.979197659293092</v>
      </c>
      <c r="N222" s="28" t="s">
        <v>300</v>
      </c>
      <c r="O222" s="28"/>
    </row>
    <row r="223" spans="1:15" ht="21" customHeight="1" thickBot="1" x14ac:dyDescent="0.3">
      <c r="A223" s="28" t="s">
        <v>287</v>
      </c>
      <c r="B223" s="28"/>
      <c r="C223" s="28"/>
      <c r="D223" s="28"/>
      <c r="E223" s="28" t="s">
        <v>274</v>
      </c>
      <c r="F223" s="28">
        <f>F218</f>
        <v>0.05</v>
      </c>
      <c r="G223" s="28"/>
      <c r="H223" s="28"/>
      <c r="I223" s="28"/>
      <c r="J223" s="28"/>
      <c r="K223" s="28"/>
      <c r="L223" s="28" t="s">
        <v>19</v>
      </c>
      <c r="M223" s="359">
        <f>ABS(STANDARDIZE(M220,M221,M222))</f>
        <v>2.5658359621176254</v>
      </c>
      <c r="N223" s="28"/>
      <c r="O223" s="28"/>
    </row>
    <row r="224" spans="1:15" ht="21" customHeight="1" thickTop="1" x14ac:dyDescent="0.25">
      <c r="A224" s="350" t="s">
        <v>275</v>
      </c>
      <c r="B224" s="350" t="s">
        <v>276</v>
      </c>
      <c r="C224" s="350" t="s">
        <v>277</v>
      </c>
      <c r="D224" s="350" t="s">
        <v>278</v>
      </c>
      <c r="E224" s="350" t="s">
        <v>279</v>
      </c>
      <c r="F224" s="350" t="s">
        <v>280</v>
      </c>
      <c r="G224" s="350" t="s">
        <v>281</v>
      </c>
      <c r="H224" s="350" t="s">
        <v>282</v>
      </c>
      <c r="I224" s="350" t="s">
        <v>283</v>
      </c>
      <c r="J224" s="350" t="s">
        <v>284</v>
      </c>
      <c r="K224" s="28"/>
      <c r="L224" s="28" t="s">
        <v>284</v>
      </c>
      <c r="M224" s="359">
        <f>M223/SQRT(M213+N213)</f>
        <v>0.49379536114167782</v>
      </c>
      <c r="N224" s="28"/>
      <c r="O224" s="28"/>
    </row>
    <row r="225" spans="1:15" ht="21" customHeight="1" x14ac:dyDescent="0.25">
      <c r="A225" s="28" t="s">
        <v>285</v>
      </c>
      <c r="B225" s="28">
        <f>SQRT(D214/B214+D215/B215)</f>
        <v>6.6167863069053728E-2</v>
      </c>
      <c r="C225" s="28">
        <f>(ABS(C214-C215-E212))/B225</f>
        <v>3.0979321648866098</v>
      </c>
      <c r="D225" s="28">
        <f>(D214/B214+D215/B215)^2/((D214/B214)^2/(B214-1)+(D215/B215)^2/(B215-1))</f>
        <v>6.3489265409560156</v>
      </c>
      <c r="E225" s="28">
        <f>TDIST(C225,ROUND(D225,0),1)</f>
        <v>1.0586140077867161E-2</v>
      </c>
      <c r="F225" s="28">
        <f>TINV(F223*2,ROUND(D225,0))</f>
        <v>1.9431802805153031</v>
      </c>
      <c r="G225" s="28"/>
      <c r="H225" s="28"/>
      <c r="I225" s="28" t="str">
        <f>IF(E225&lt;F223,"yes","no")</f>
        <v>yes</v>
      </c>
      <c r="J225" s="28">
        <f>SQRT(C225^2/(C225^2+D225))</f>
        <v>0.77579061725274712</v>
      </c>
      <c r="K225" s="28"/>
      <c r="L225" s="28" t="s">
        <v>301</v>
      </c>
      <c r="M225" s="358">
        <f>M221+M222*NORMSINV(M219)</f>
        <v>28.716558774337276</v>
      </c>
      <c r="N225" s="352">
        <f>M221+M222*NORMSINV(M219/2)</f>
        <v>23.681348085938808</v>
      </c>
      <c r="O225" s="28"/>
    </row>
    <row r="226" spans="1:15" ht="21" customHeight="1" x14ac:dyDescent="0.25">
      <c r="A226" s="28" t="s">
        <v>286</v>
      </c>
      <c r="B226" s="28">
        <f>B225</f>
        <v>6.6167863069053728E-2</v>
      </c>
      <c r="C226" s="28">
        <f t="shared" ref="C226:D226" si="57">C225</f>
        <v>3.0979321648866098</v>
      </c>
      <c r="D226" s="28">
        <f t="shared" si="57"/>
        <v>6.3489265409560156</v>
      </c>
      <c r="E226" s="28">
        <f>TDIST(C226,ROUND(D226,0),2)</f>
        <v>2.1172280155734323E-2</v>
      </c>
      <c r="F226" s="28">
        <f>TINV(F223,ROUND(D226,0))</f>
        <v>2.4469118511449697</v>
      </c>
      <c r="G226" s="28">
        <f>(C214-C215)-F226*B226</f>
        <v>-0.36689047959203946</v>
      </c>
      <c r="H226" s="28">
        <f>(C214-C215)+F226*B226</f>
        <v>-4.3076622974829254E-2</v>
      </c>
      <c r="I226" s="28" t="str">
        <f>IF(E226&lt;F223,"yes","no")</f>
        <v>yes</v>
      </c>
      <c r="J226" s="28">
        <f>J225</f>
        <v>0.77579061725274712</v>
      </c>
      <c r="K226" s="28"/>
      <c r="L226" s="28" t="s">
        <v>279</v>
      </c>
      <c r="M226" s="359">
        <f>1-NORMSDIST(M223)</f>
        <v>5.1463745704507513E-3</v>
      </c>
      <c r="N226" s="339">
        <f>2*M226</f>
        <v>1.0292749140901503E-2</v>
      </c>
      <c r="O226" s="28"/>
    </row>
    <row r="227" spans="1:15" ht="21" customHeight="1" x14ac:dyDescent="0.25">
      <c r="A227" s="354"/>
      <c r="B227" s="354"/>
      <c r="C227" s="354"/>
      <c r="D227" s="354"/>
      <c r="E227" s="354"/>
      <c r="F227" s="354"/>
      <c r="G227" s="354"/>
      <c r="H227" s="354"/>
      <c r="I227" s="354"/>
      <c r="J227" s="354"/>
      <c r="K227" s="28"/>
      <c r="L227" s="28" t="s">
        <v>302</v>
      </c>
      <c r="M227" s="360" t="str">
        <f>IF(M226&lt;M219,"yes","no")</f>
        <v>yes</v>
      </c>
      <c r="N227" s="361" t="str">
        <f>IF(N226&lt;M219,"yes","no")</f>
        <v>yes</v>
      </c>
      <c r="O227" s="28"/>
    </row>
    <row r="228" spans="1:15" ht="21" customHeight="1" x14ac:dyDescent="0.25">
      <c r="A228" s="28"/>
      <c r="B228" s="28"/>
      <c r="C228" s="28"/>
      <c r="D228" s="28"/>
      <c r="E228" s="28"/>
      <c r="F228" s="28"/>
      <c r="G228" s="28"/>
      <c r="H228" s="28"/>
      <c r="I228" s="28"/>
      <c r="J228" s="28"/>
      <c r="K228" s="28"/>
      <c r="L228" s="28"/>
      <c r="M228" s="28"/>
      <c r="N228" s="28"/>
      <c r="O228" s="28"/>
    </row>
    <row r="229" spans="1:15" ht="21" customHeight="1" x14ac:dyDescent="0.25">
      <c r="A229" s="349" t="s">
        <v>312</v>
      </c>
      <c r="B229" s="28"/>
      <c r="C229" s="28"/>
      <c r="D229" s="28"/>
      <c r="E229" s="28"/>
      <c r="F229" s="28"/>
      <c r="G229" s="28"/>
      <c r="H229" s="28"/>
      <c r="I229" s="28"/>
      <c r="J229" s="28"/>
      <c r="K229" s="28"/>
      <c r="L229" s="28"/>
      <c r="M229" s="28"/>
      <c r="N229" s="28"/>
      <c r="O229" s="28"/>
    </row>
    <row r="230" spans="1:15" ht="21" customHeight="1" x14ac:dyDescent="0.25">
      <c r="A230" s="28" t="s">
        <v>263</v>
      </c>
      <c r="B230" s="28"/>
      <c r="C230" s="28"/>
      <c r="D230" s="28"/>
      <c r="E230" s="28"/>
      <c r="F230" s="28"/>
      <c r="G230" s="28"/>
      <c r="H230" s="28"/>
      <c r="I230" s="28"/>
      <c r="J230" s="28"/>
      <c r="K230" s="28"/>
      <c r="L230" s="28" t="s">
        <v>288</v>
      </c>
      <c r="M230" s="28"/>
      <c r="N230" s="28"/>
      <c r="O230" s="28"/>
    </row>
    <row r="231" spans="1:15" ht="21" customHeight="1" x14ac:dyDescent="0.25">
      <c r="A231" s="28"/>
      <c r="B231" s="28"/>
      <c r="C231" s="28"/>
      <c r="D231" s="28"/>
      <c r="E231" s="28"/>
      <c r="F231" s="28"/>
      <c r="G231" s="28"/>
      <c r="H231" s="28"/>
      <c r="I231" s="28"/>
      <c r="J231" s="28"/>
      <c r="K231" s="28"/>
      <c r="L231" s="28"/>
      <c r="M231" s="28"/>
      <c r="N231" s="28"/>
      <c r="O231" s="28"/>
    </row>
    <row r="232" spans="1:15" ht="21" customHeight="1" thickBot="1" x14ac:dyDescent="0.3">
      <c r="A232" s="28" t="s">
        <v>264</v>
      </c>
      <c r="B232" s="28"/>
      <c r="C232" s="28"/>
      <c r="D232" s="28" t="s">
        <v>265</v>
      </c>
      <c r="E232" s="28">
        <v>0</v>
      </c>
      <c r="F232" s="28"/>
      <c r="G232" s="28"/>
      <c r="H232" s="28"/>
      <c r="I232" s="28"/>
      <c r="J232" s="28"/>
      <c r="K232" s="28"/>
      <c r="L232" s="28"/>
      <c r="M232" s="28" t="s">
        <v>289</v>
      </c>
      <c r="N232" s="28" t="s">
        <v>290</v>
      </c>
      <c r="O232" s="28"/>
    </row>
    <row r="233" spans="1:15" ht="21" customHeight="1" thickTop="1" x14ac:dyDescent="0.25">
      <c r="A233" s="350" t="s">
        <v>266</v>
      </c>
      <c r="B233" s="350" t="s">
        <v>267</v>
      </c>
      <c r="C233" s="350" t="s">
        <v>117</v>
      </c>
      <c r="D233" s="350" t="s">
        <v>268</v>
      </c>
      <c r="E233" s="350" t="s">
        <v>269</v>
      </c>
      <c r="F233" s="28"/>
      <c r="G233" s="28"/>
      <c r="H233" s="28"/>
      <c r="I233" s="28"/>
      <c r="J233" s="28"/>
      <c r="K233" s="28"/>
      <c r="L233" s="28" t="s">
        <v>291</v>
      </c>
      <c r="M233" s="351">
        <f>COUNT(K40:K47)</f>
        <v>8</v>
      </c>
      <c r="N233" s="352">
        <f>COUNT(K60:K64)</f>
        <v>5</v>
      </c>
      <c r="O233" s="28"/>
    </row>
    <row r="234" spans="1:15" ht="21" customHeight="1" x14ac:dyDescent="0.25">
      <c r="A234" s="28" t="s">
        <v>270</v>
      </c>
      <c r="B234" s="28">
        <f>COUNT(K40:K47)</f>
        <v>8</v>
      </c>
      <c r="C234" s="28">
        <f>AVERAGE(K40:K47)</f>
        <v>4.0443488457091528</v>
      </c>
      <c r="D234" s="28">
        <f>VAR(K40:K47)</f>
        <v>2.5639586799881927E-2</v>
      </c>
      <c r="E234" s="28"/>
      <c r="F234" s="28"/>
      <c r="G234" s="28"/>
      <c r="H234" s="28"/>
      <c r="I234" s="28"/>
      <c r="J234" s="28"/>
      <c r="K234" s="28"/>
      <c r="L234" s="28" t="s">
        <v>292</v>
      </c>
      <c r="M234" s="353">
        <f>MEDIAN(K40:K47)</f>
        <v>4.096562299177231</v>
      </c>
      <c r="N234" s="339">
        <f>MEDIAN(K60:K64)</f>
        <v>4.0863598306747484</v>
      </c>
      <c r="O234" s="28"/>
    </row>
    <row r="235" spans="1:15" ht="21" customHeight="1" x14ac:dyDescent="0.25">
      <c r="A235" s="28" t="s">
        <v>271</v>
      </c>
      <c r="B235" s="28">
        <f>COUNT(K60:K64)</f>
        <v>5</v>
      </c>
      <c r="C235" s="28">
        <f>AVERAGE(K60:K64)</f>
        <v>4.1530802880986837</v>
      </c>
      <c r="D235" s="28">
        <f>VAR(K60:K64)</f>
        <v>2.0601664751788935E-2</v>
      </c>
      <c r="E235" s="28"/>
      <c r="F235" s="28"/>
      <c r="G235" s="28"/>
      <c r="H235" s="28"/>
      <c r="I235" s="28"/>
      <c r="J235" s="28"/>
      <c r="K235" s="28"/>
      <c r="L235" s="28" t="s">
        <v>293</v>
      </c>
      <c r="M235" s="353">
        <v>50</v>
      </c>
      <c r="N235" s="339">
        <v>41</v>
      </c>
      <c r="O235" s="28"/>
    </row>
    <row r="236" spans="1:15" ht="21" customHeight="1" x14ac:dyDescent="0.25">
      <c r="A236" s="354" t="s">
        <v>272</v>
      </c>
      <c r="B236" s="354"/>
      <c r="C236" s="354"/>
      <c r="D236" s="354">
        <f>((B234-1)*D234+(B235-1)*D235)/(B234+B235-2)</f>
        <v>2.3807615146029928E-2</v>
      </c>
      <c r="E236" s="354">
        <f>ABS(C234-C235-E232)/SQRT(D236)</f>
        <v>0.70468852973520446</v>
      </c>
      <c r="F236" s="28"/>
      <c r="G236" s="28"/>
      <c r="H236" s="28"/>
      <c r="I236" s="28"/>
      <c r="J236" s="28"/>
      <c r="K236" s="28"/>
      <c r="L236" s="28" t="s">
        <v>294</v>
      </c>
      <c r="M236" s="355">
        <f>M233*N233+M233*(M233+1)/2-M235</f>
        <v>26</v>
      </c>
      <c r="N236" s="356">
        <f>M233*N233+N233*(N233+1)/2-N235</f>
        <v>14</v>
      </c>
      <c r="O236" s="28"/>
    </row>
    <row r="237" spans="1:15" ht="21" customHeight="1" x14ac:dyDescent="0.25">
      <c r="A237" s="28"/>
      <c r="B237" s="28"/>
      <c r="C237" s="28"/>
      <c r="D237" s="28"/>
      <c r="E237" s="28"/>
      <c r="F237" s="28"/>
      <c r="G237" s="28"/>
      <c r="H237" s="28"/>
      <c r="I237" s="28"/>
      <c r="J237" s="28"/>
      <c r="K237" s="28"/>
      <c r="L237" s="28"/>
      <c r="M237" s="28"/>
      <c r="N237" s="28"/>
      <c r="O237" s="28"/>
    </row>
    <row r="238" spans="1:15" ht="21" customHeight="1" thickBot="1" x14ac:dyDescent="0.3">
      <c r="A238" s="28" t="s">
        <v>273</v>
      </c>
      <c r="B238" s="28"/>
      <c r="C238" s="28"/>
      <c r="D238" s="28"/>
      <c r="E238" s="28" t="s">
        <v>274</v>
      </c>
      <c r="F238" s="28">
        <v>0.05</v>
      </c>
      <c r="G238" s="28"/>
      <c r="H238" s="28"/>
      <c r="I238" s="28"/>
      <c r="J238" s="28"/>
      <c r="K238" s="28"/>
      <c r="L238" s="28"/>
      <c r="M238" s="357" t="s">
        <v>295</v>
      </c>
      <c r="N238" s="357" t="s">
        <v>296</v>
      </c>
      <c r="O238" s="28"/>
    </row>
    <row r="239" spans="1:15" ht="21" customHeight="1" thickTop="1" x14ac:dyDescent="0.25">
      <c r="A239" s="350" t="s">
        <v>275</v>
      </c>
      <c r="B239" s="350" t="s">
        <v>276</v>
      </c>
      <c r="C239" s="350" t="s">
        <v>277</v>
      </c>
      <c r="D239" s="350" t="s">
        <v>278</v>
      </c>
      <c r="E239" s="350" t="s">
        <v>279</v>
      </c>
      <c r="F239" s="350" t="s">
        <v>280</v>
      </c>
      <c r="G239" s="350" t="s">
        <v>281</v>
      </c>
      <c r="H239" s="350" t="s">
        <v>282</v>
      </c>
      <c r="I239" s="350" t="s">
        <v>283</v>
      </c>
      <c r="J239" s="350" t="s">
        <v>284</v>
      </c>
      <c r="K239" s="28"/>
      <c r="L239" s="28" t="s">
        <v>297</v>
      </c>
      <c r="M239" s="358">
        <v>0.05</v>
      </c>
      <c r="N239" s="28"/>
      <c r="O239" s="28"/>
    </row>
    <row r="240" spans="1:15" ht="21" customHeight="1" x14ac:dyDescent="0.25">
      <c r="A240" s="28" t="s">
        <v>285</v>
      </c>
      <c r="B240" s="28">
        <f>SQRT(D236*(1/B234+1/B235))</f>
        <v>8.7962917882819958E-2</v>
      </c>
      <c r="C240" s="28">
        <f>(ABS(C234-C235-E232))/B240</f>
        <v>1.2361054522358821</v>
      </c>
      <c r="D240" s="28">
        <f>B234+B235-2</f>
        <v>11</v>
      </c>
      <c r="E240" s="28">
        <f>TDIST(C240,D240,1)</f>
        <v>0.12108220461696514</v>
      </c>
      <c r="F240" s="28">
        <f>TINV(F238*2,D240)</f>
        <v>1.7958848187040437</v>
      </c>
      <c r="G240" s="28"/>
      <c r="H240" s="28"/>
      <c r="I240" s="28" t="str">
        <f>IF(E240&lt;F238,"yes","no")</f>
        <v>no</v>
      </c>
      <c r="J240" s="28">
        <f>SQRT(C240^2/(C240^2+D240))</f>
        <v>0.34923310108463212</v>
      </c>
      <c r="K240" s="28"/>
      <c r="L240" s="28" t="s">
        <v>294</v>
      </c>
      <c r="M240" s="359">
        <f>MIN(M236,N236)</f>
        <v>14</v>
      </c>
      <c r="N240" s="28"/>
      <c r="O240" s="28"/>
    </row>
    <row r="241" spans="1:15" ht="21" customHeight="1" x14ac:dyDescent="0.25">
      <c r="A241" s="28" t="s">
        <v>286</v>
      </c>
      <c r="B241" s="28">
        <f>B240</f>
        <v>8.7962917882819958E-2</v>
      </c>
      <c r="C241" s="28">
        <f t="shared" ref="C241:D241" si="58">C240</f>
        <v>1.2361054522358821</v>
      </c>
      <c r="D241" s="28">
        <f t="shared" si="58"/>
        <v>11</v>
      </c>
      <c r="E241" s="28">
        <f>TDIST(C241,D241,2)</f>
        <v>0.24216440923393029</v>
      </c>
      <c r="F241" s="28">
        <f>TINV(F238,D241)</f>
        <v>2.2009851600916384</v>
      </c>
      <c r="G241" s="28">
        <f>(C234-C235)-F241*B241</f>
        <v>-0.302336519287977</v>
      </c>
      <c r="H241" s="28">
        <f>(C234-C235)+F241*B241</f>
        <v>8.4873634508915191E-2</v>
      </c>
      <c r="I241" s="28" t="str">
        <f>IF(E241&lt;F238,"yes","no")</f>
        <v>no</v>
      </c>
      <c r="J241" s="28">
        <f>J240</f>
        <v>0.34923310108463212</v>
      </c>
      <c r="K241" s="28"/>
      <c r="L241" s="28" t="s">
        <v>298</v>
      </c>
      <c r="M241" s="359">
        <f>M233*N233/2</f>
        <v>20</v>
      </c>
      <c r="N241" s="28"/>
      <c r="O241" s="28"/>
    </row>
    <row r="242" spans="1:15" ht="21" customHeight="1" x14ac:dyDescent="0.25">
      <c r="A242" s="354"/>
      <c r="B242" s="354"/>
      <c r="C242" s="354"/>
      <c r="D242" s="354"/>
      <c r="E242" s="354"/>
      <c r="F242" s="354"/>
      <c r="G242" s="354"/>
      <c r="H242" s="354"/>
      <c r="I242" s="354"/>
      <c r="J242" s="354"/>
      <c r="K242" s="28"/>
      <c r="L242" s="28" t="s">
        <v>299</v>
      </c>
      <c r="M242" s="359">
        <v>6.831300510639732</v>
      </c>
      <c r="N242" s="28" t="s">
        <v>300</v>
      </c>
      <c r="O242" s="28"/>
    </row>
    <row r="243" spans="1:15" ht="21" customHeight="1" thickBot="1" x14ac:dyDescent="0.3">
      <c r="A243" s="28" t="s">
        <v>287</v>
      </c>
      <c r="B243" s="28"/>
      <c r="C243" s="28"/>
      <c r="D243" s="28"/>
      <c r="E243" s="28" t="s">
        <v>274</v>
      </c>
      <c r="F243" s="28">
        <f>F238</f>
        <v>0.05</v>
      </c>
      <c r="G243" s="28"/>
      <c r="H243" s="28"/>
      <c r="I243" s="28"/>
      <c r="J243" s="28"/>
      <c r="K243" s="28"/>
      <c r="L243" s="28" t="s">
        <v>19</v>
      </c>
      <c r="M243" s="359">
        <f>ABS(STANDARDIZE(M240,M241,M242))</f>
        <v>0.87831006565367986</v>
      </c>
      <c r="N243" s="28"/>
      <c r="O243" s="28"/>
    </row>
    <row r="244" spans="1:15" ht="21" customHeight="1" thickTop="1" x14ac:dyDescent="0.25">
      <c r="A244" s="350" t="s">
        <v>275</v>
      </c>
      <c r="B244" s="350" t="s">
        <v>276</v>
      </c>
      <c r="C244" s="350" t="s">
        <v>277</v>
      </c>
      <c r="D244" s="350" t="s">
        <v>278</v>
      </c>
      <c r="E244" s="350" t="s">
        <v>279</v>
      </c>
      <c r="F244" s="350" t="s">
        <v>280</v>
      </c>
      <c r="G244" s="350" t="s">
        <v>281</v>
      </c>
      <c r="H244" s="350" t="s">
        <v>282</v>
      </c>
      <c r="I244" s="350" t="s">
        <v>283</v>
      </c>
      <c r="J244" s="350" t="s">
        <v>284</v>
      </c>
      <c r="K244" s="28"/>
      <c r="L244" s="28" t="s">
        <v>284</v>
      </c>
      <c r="M244" s="359">
        <f>M243/SQRT(M233+N233)</f>
        <v>0.24359938288234506</v>
      </c>
      <c r="N244" s="28"/>
      <c r="O244" s="28"/>
    </row>
    <row r="245" spans="1:15" ht="21" customHeight="1" x14ac:dyDescent="0.25">
      <c r="A245" s="28" t="s">
        <v>285</v>
      </c>
      <c r="B245" s="28">
        <f>SQRT(D234/B234+D235/B235)</f>
        <v>8.5587857201492243E-2</v>
      </c>
      <c r="C245" s="28">
        <f>(ABS(C234-C235-E232))/B245</f>
        <v>1.2704073445086221</v>
      </c>
      <c r="D245" s="28">
        <f>(D234/B234+D235/B235)^2/((D234/B234)^2/(B234-1)+(D235/B235)^2/(B235-1))</f>
        <v>9.3947547852012718</v>
      </c>
      <c r="E245" s="28">
        <f>TDIST(C245,ROUND(D245,0),1)</f>
        <v>0.11789829198710894</v>
      </c>
      <c r="F245" s="28">
        <f>TINV(F243*2,ROUND(D245,0))</f>
        <v>1.8331129326562374</v>
      </c>
      <c r="G245" s="28"/>
      <c r="H245" s="28"/>
      <c r="I245" s="28" t="str">
        <f>IF(E245&lt;F243,"yes","no")</f>
        <v>no</v>
      </c>
      <c r="J245" s="28">
        <f>SQRT(C245^2/(C245^2+D245))</f>
        <v>0.38289102136066056</v>
      </c>
      <c r="K245" s="28"/>
      <c r="L245" s="28" t="s">
        <v>301</v>
      </c>
      <c r="M245" s="358">
        <f>M241+M242*NORMSINV(M239)</f>
        <v>8.7635105782787903</v>
      </c>
      <c r="N245" s="352">
        <f>M241+M242*NORMSINV(M239/2)</f>
        <v>6.6108970315760462</v>
      </c>
      <c r="O245" s="28"/>
    </row>
    <row r="246" spans="1:15" ht="21" customHeight="1" x14ac:dyDescent="0.25">
      <c r="A246" s="28" t="s">
        <v>286</v>
      </c>
      <c r="B246" s="28">
        <f>B245</f>
        <v>8.5587857201492243E-2</v>
      </c>
      <c r="C246" s="28">
        <f t="shared" ref="C246:D246" si="59">C245</f>
        <v>1.2704073445086221</v>
      </c>
      <c r="D246" s="28">
        <f t="shared" si="59"/>
        <v>9.3947547852012718</v>
      </c>
      <c r="E246" s="28">
        <f>TDIST(C246,ROUND(D246,0),2)</f>
        <v>0.23579658397421788</v>
      </c>
      <c r="F246" s="28">
        <f>TINV(F243,ROUND(D246,0))</f>
        <v>2.2621571627982053</v>
      </c>
      <c r="G246" s="28">
        <f>(C234-C235)-F246*B246</f>
        <v>-0.30234462660643657</v>
      </c>
      <c r="H246" s="28">
        <f>(C234-C235)+F246*B246</f>
        <v>8.4881741827374707E-2</v>
      </c>
      <c r="I246" s="28" t="str">
        <f>IF(E246&lt;F243,"yes","no")</f>
        <v>no</v>
      </c>
      <c r="J246" s="28">
        <f>J245</f>
        <v>0.38289102136066056</v>
      </c>
      <c r="K246" s="28"/>
      <c r="L246" s="28" t="s">
        <v>279</v>
      </c>
      <c r="M246" s="359">
        <f>1-NORMSDIST(M243)</f>
        <v>0.18988773742047449</v>
      </c>
      <c r="N246" s="339">
        <f>2*M246</f>
        <v>0.37977547484094898</v>
      </c>
      <c r="O246" s="28"/>
    </row>
    <row r="247" spans="1:15" ht="21" customHeight="1" x14ac:dyDescent="0.25">
      <c r="A247" s="354"/>
      <c r="B247" s="354"/>
      <c r="C247" s="354"/>
      <c r="D247" s="354"/>
      <c r="E247" s="354"/>
      <c r="F247" s="354"/>
      <c r="G247" s="354"/>
      <c r="H247" s="354"/>
      <c r="I247" s="354"/>
      <c r="J247" s="354"/>
      <c r="K247" s="28"/>
      <c r="L247" s="28" t="s">
        <v>302</v>
      </c>
      <c r="M247" s="360" t="str">
        <f>IF(M246&lt;M239,"yes","no")</f>
        <v>no</v>
      </c>
      <c r="N247" s="361" t="str">
        <f>IF(N246&lt;M239,"yes","no")</f>
        <v>no</v>
      </c>
      <c r="O247" s="28"/>
    </row>
    <row r="248" spans="1:15" ht="21" customHeight="1" x14ac:dyDescent="0.25">
      <c r="A248" s="28"/>
      <c r="B248" s="28"/>
      <c r="C248" s="28"/>
      <c r="D248" s="28"/>
      <c r="E248" s="28"/>
      <c r="F248" s="28"/>
      <c r="G248" s="28"/>
      <c r="H248" s="28"/>
      <c r="I248" s="28"/>
      <c r="J248" s="28"/>
      <c r="K248" s="28"/>
      <c r="L248" s="28"/>
      <c r="M248" s="28"/>
      <c r="N248" s="28"/>
      <c r="O248" s="28"/>
    </row>
    <row r="249" spans="1:15" ht="21" customHeight="1" x14ac:dyDescent="0.25">
      <c r="A249" s="28"/>
      <c r="B249" s="28"/>
      <c r="C249" s="28"/>
      <c r="D249" s="28"/>
      <c r="E249" s="28"/>
      <c r="F249" s="28"/>
      <c r="G249" s="28"/>
      <c r="H249" s="28"/>
      <c r="I249" s="28"/>
      <c r="J249" s="28"/>
      <c r="K249" s="28"/>
      <c r="L249" s="28" t="s">
        <v>301</v>
      </c>
      <c r="M249" s="358">
        <f>[1]!MCRIT(M233,N233,M239,1)</f>
        <v>8</v>
      </c>
      <c r="N249" s="358">
        <f>[1]!MCRIT(M233,N233,M239,2)</f>
        <v>6</v>
      </c>
      <c r="O249" s="28"/>
    </row>
    <row r="250" spans="1:15" ht="21" customHeight="1" x14ac:dyDescent="0.25">
      <c r="A250" s="28"/>
      <c r="B250" s="28"/>
      <c r="C250" s="28"/>
      <c r="D250" s="28"/>
      <c r="E250" s="28"/>
      <c r="F250" s="28"/>
      <c r="G250" s="28"/>
      <c r="H250" s="28"/>
      <c r="I250" s="28"/>
      <c r="J250" s="28"/>
      <c r="K250" s="28"/>
      <c r="L250" s="28" t="s">
        <v>311</v>
      </c>
      <c r="M250" s="360" t="str">
        <f>IF(ISNUMBER(M249),IF(M240&lt;M249,"yes","no"),"no")</f>
        <v>no</v>
      </c>
      <c r="N250" s="360" t="str">
        <f>IF(ISNUMBER(N249),IF(M240&lt;N249,"yes","no"),"no")</f>
        <v>no</v>
      </c>
      <c r="O250" s="28"/>
    </row>
    <row r="251" spans="1:15" ht="21" customHeight="1" x14ac:dyDescent="0.25">
      <c r="A251" s="28"/>
      <c r="B251" s="28"/>
      <c r="C251" s="28"/>
      <c r="D251" s="28"/>
      <c r="E251" s="28"/>
      <c r="F251" s="28"/>
      <c r="G251" s="28"/>
      <c r="H251" s="28"/>
      <c r="I251" s="28"/>
      <c r="J251" s="28"/>
      <c r="K251" s="28"/>
      <c r="L251" s="28"/>
      <c r="M251" s="28"/>
      <c r="N251" s="28"/>
      <c r="O251" s="28"/>
    </row>
    <row r="252" spans="1:15" ht="21" customHeight="1" x14ac:dyDescent="0.25">
      <c r="A252" s="28"/>
      <c r="B252" s="28"/>
      <c r="C252" s="28"/>
      <c r="D252" s="28"/>
      <c r="E252" s="28"/>
      <c r="F252" s="28"/>
      <c r="G252" s="28"/>
      <c r="H252" s="28"/>
      <c r="I252" s="28"/>
      <c r="J252" s="28"/>
      <c r="K252" s="28"/>
      <c r="L252" s="28" t="s">
        <v>279</v>
      </c>
      <c r="M252" s="358">
        <f>[1]!MANN_EXACT(K40:K47,K60:K64,1)</f>
        <v>0.21756021756021757</v>
      </c>
      <c r="N252" s="358">
        <f>2*M252</f>
        <v>0.43512043512043513</v>
      </c>
      <c r="O252" s="28"/>
    </row>
    <row r="253" spans="1:15" ht="21" customHeight="1" x14ac:dyDescent="0.25">
      <c r="A253" s="28"/>
      <c r="B253" s="28"/>
      <c r="C253" s="28"/>
      <c r="D253" s="28"/>
      <c r="E253" s="28"/>
      <c r="F253" s="28"/>
      <c r="G253" s="28"/>
      <c r="H253" s="28"/>
      <c r="I253" s="28"/>
      <c r="J253" s="28"/>
      <c r="K253" s="28"/>
      <c r="L253" s="28" t="s">
        <v>303</v>
      </c>
      <c r="M253" s="360" t="str">
        <f>IF(M252&lt;M239,"yes","no")</f>
        <v>no</v>
      </c>
      <c r="N253" s="360" t="str">
        <f>IF(N252&lt;M239,"yes","no")</f>
        <v>no</v>
      </c>
      <c r="O253" s="28"/>
    </row>
    <row r="254" spans="1:15" ht="21" customHeight="1" x14ac:dyDescent="0.25">
      <c r="A254" s="28"/>
      <c r="B254" s="28"/>
      <c r="C254" s="28"/>
      <c r="D254" s="28"/>
      <c r="E254" s="28"/>
      <c r="F254" s="28"/>
      <c r="G254" s="28"/>
      <c r="H254" s="28"/>
      <c r="I254" s="28"/>
      <c r="J254" s="28"/>
      <c r="K254" s="28"/>
      <c r="L254" s="28"/>
      <c r="M254" s="28"/>
      <c r="N254" s="28"/>
      <c r="O254" s="28"/>
    </row>
    <row r="255" spans="1:15" ht="21" customHeight="1" x14ac:dyDescent="0.25">
      <c r="A255" s="28"/>
      <c r="B255" s="28"/>
      <c r="C255" s="28"/>
      <c r="D255" s="28"/>
      <c r="E255" s="28"/>
      <c r="F255" s="28"/>
      <c r="G255" s="28"/>
      <c r="H255" s="28"/>
      <c r="I255" s="28"/>
      <c r="J255" s="28"/>
      <c r="K255" s="28"/>
      <c r="L255" s="28"/>
      <c r="M255" s="28"/>
      <c r="N255" s="28"/>
      <c r="O255" s="28"/>
    </row>
    <row r="256" spans="1:15" ht="21" customHeight="1" x14ac:dyDescent="0.25">
      <c r="A256" s="349" t="s">
        <v>313</v>
      </c>
      <c r="B256" s="28"/>
      <c r="C256" s="28"/>
      <c r="D256" s="28"/>
      <c r="E256" s="28"/>
      <c r="F256" s="28"/>
      <c r="G256" s="28"/>
      <c r="H256" s="28"/>
      <c r="I256" s="28"/>
      <c r="J256" s="28"/>
      <c r="K256" s="28"/>
      <c r="L256" s="28"/>
      <c r="M256" s="28"/>
      <c r="N256" s="28"/>
      <c r="O256" s="28"/>
    </row>
    <row r="257" spans="1:15" ht="21" customHeight="1" x14ac:dyDescent="0.25">
      <c r="A257" s="28" t="s">
        <v>263</v>
      </c>
      <c r="B257" s="28"/>
      <c r="C257" s="28"/>
      <c r="D257" s="28"/>
      <c r="E257" s="28"/>
      <c r="F257" s="28"/>
      <c r="G257" s="28"/>
      <c r="H257" s="28"/>
      <c r="I257" s="28"/>
      <c r="J257" s="28"/>
      <c r="K257" s="28"/>
      <c r="L257" s="28" t="s">
        <v>288</v>
      </c>
      <c r="M257" s="28"/>
      <c r="N257" s="28"/>
      <c r="O257" s="28"/>
    </row>
    <row r="258" spans="1:15" ht="21" customHeight="1" x14ac:dyDescent="0.25">
      <c r="A258" s="28"/>
      <c r="B258" s="28"/>
      <c r="C258" s="28"/>
      <c r="D258" s="28"/>
      <c r="E258" s="28"/>
      <c r="F258" s="28"/>
      <c r="G258" s="28"/>
      <c r="H258" s="28"/>
      <c r="I258" s="28"/>
      <c r="J258" s="28"/>
      <c r="K258" s="28"/>
      <c r="L258" s="28"/>
      <c r="M258" s="28"/>
      <c r="N258" s="28"/>
      <c r="O258" s="28"/>
    </row>
    <row r="259" spans="1:15" ht="21" customHeight="1" thickBot="1" x14ac:dyDescent="0.3">
      <c r="A259" s="28" t="s">
        <v>264</v>
      </c>
      <c r="B259" s="28"/>
      <c r="C259" s="28"/>
      <c r="D259" s="28" t="s">
        <v>265</v>
      </c>
      <c r="E259" s="28">
        <v>0</v>
      </c>
      <c r="F259" s="28"/>
      <c r="G259" s="28"/>
      <c r="H259" s="28"/>
      <c r="I259" s="28"/>
      <c r="J259" s="28"/>
      <c r="K259" s="28"/>
      <c r="L259" s="28"/>
      <c r="M259" s="28" t="s">
        <v>289</v>
      </c>
      <c r="N259" s="28" t="s">
        <v>290</v>
      </c>
      <c r="O259" s="28"/>
    </row>
    <row r="260" spans="1:15" ht="21" customHeight="1" thickTop="1" x14ac:dyDescent="0.25">
      <c r="A260" s="350" t="s">
        <v>266</v>
      </c>
      <c r="B260" s="350" t="s">
        <v>267</v>
      </c>
      <c r="C260" s="350" t="s">
        <v>117</v>
      </c>
      <c r="D260" s="350" t="s">
        <v>268</v>
      </c>
      <c r="E260" s="350" t="s">
        <v>269</v>
      </c>
      <c r="F260" s="28"/>
      <c r="G260" s="28"/>
      <c r="H260" s="28"/>
      <c r="I260" s="28"/>
      <c r="J260" s="28"/>
      <c r="K260" s="28"/>
      <c r="L260" s="28" t="s">
        <v>291</v>
      </c>
      <c r="M260" s="351">
        <f>COUNT(L40:L47)</f>
        <v>8</v>
      </c>
      <c r="N260" s="352">
        <f>COUNT(L60:L64)</f>
        <v>5</v>
      </c>
      <c r="O260" s="28"/>
    </row>
    <row r="261" spans="1:15" ht="21" customHeight="1" x14ac:dyDescent="0.25">
      <c r="A261" s="28" t="s">
        <v>270</v>
      </c>
      <c r="B261" s="28">
        <f>COUNT(L40:L47)</f>
        <v>8</v>
      </c>
      <c r="C261" s="28">
        <f>AVERAGE(L40:L47)</f>
        <v>7.4451936134793076E-2</v>
      </c>
      <c r="D261" s="28">
        <f>VAR(L40:L47)</f>
        <v>0.29162251413942941</v>
      </c>
      <c r="E261" s="28"/>
      <c r="F261" s="28"/>
      <c r="G261" s="28"/>
      <c r="H261" s="28"/>
      <c r="I261" s="28"/>
      <c r="J261" s="28"/>
      <c r="K261" s="28"/>
      <c r="L261" s="28" t="s">
        <v>292</v>
      </c>
      <c r="M261" s="353">
        <f>MEDIAN(L40:L47)</f>
        <v>0.13003569399253739</v>
      </c>
      <c r="N261" s="339">
        <f>MEDIAN(L60:L64)</f>
        <v>0.2576785748691845</v>
      </c>
      <c r="O261" s="28"/>
    </row>
    <row r="262" spans="1:15" ht="21" customHeight="1" x14ac:dyDescent="0.25">
      <c r="A262" s="28" t="s">
        <v>271</v>
      </c>
      <c r="B262" s="28">
        <f>COUNT(L60:L64)</f>
        <v>5</v>
      </c>
      <c r="C262" s="28">
        <f>AVERAGE(L60:L64)</f>
        <v>0.29548519928911887</v>
      </c>
      <c r="D262" s="28">
        <f>VAR(L60:L64)</f>
        <v>2.9592243918255601E-2</v>
      </c>
      <c r="E262" s="28"/>
      <c r="F262" s="28"/>
      <c r="G262" s="28"/>
      <c r="H262" s="28"/>
      <c r="I262" s="28"/>
      <c r="J262" s="28"/>
      <c r="K262" s="28"/>
      <c r="L262" s="28" t="s">
        <v>293</v>
      </c>
      <c r="M262" s="353">
        <v>52</v>
      </c>
      <c r="N262" s="339">
        <v>39</v>
      </c>
      <c r="O262" s="28"/>
    </row>
    <row r="263" spans="1:15" ht="21" customHeight="1" x14ac:dyDescent="0.25">
      <c r="A263" s="354" t="s">
        <v>272</v>
      </c>
      <c r="B263" s="354"/>
      <c r="C263" s="354"/>
      <c r="D263" s="354">
        <f>((B261-1)*D261+(B262-1)*D262)/(B261+B262-2)</f>
        <v>0.196338779513548</v>
      </c>
      <c r="E263" s="354">
        <f>ABS(C261-C262-E259)/SQRT(D263)</f>
        <v>0.49883232870428057</v>
      </c>
      <c r="F263" s="28"/>
      <c r="G263" s="28"/>
      <c r="H263" s="28"/>
      <c r="I263" s="28"/>
      <c r="J263" s="28"/>
      <c r="K263" s="28"/>
      <c r="L263" s="28" t="s">
        <v>294</v>
      </c>
      <c r="M263" s="355">
        <f>M260*N260+M260*(M260+1)/2-M262</f>
        <v>24</v>
      </c>
      <c r="N263" s="356">
        <f>M260*N260+N260*(N260+1)/2-N262</f>
        <v>16</v>
      </c>
      <c r="O263" s="28"/>
    </row>
    <row r="264" spans="1:15" ht="21" customHeight="1" x14ac:dyDescent="0.25">
      <c r="A264" s="28"/>
      <c r="B264" s="28"/>
      <c r="C264" s="28"/>
      <c r="D264" s="28"/>
      <c r="E264" s="28"/>
      <c r="F264" s="28"/>
      <c r="G264" s="28"/>
      <c r="H264" s="28"/>
      <c r="I264" s="28"/>
      <c r="J264" s="28"/>
      <c r="K264" s="28"/>
      <c r="L264" s="28"/>
      <c r="M264" s="28"/>
      <c r="N264" s="28"/>
      <c r="O264" s="28"/>
    </row>
    <row r="265" spans="1:15" ht="21" customHeight="1" thickBot="1" x14ac:dyDescent="0.3">
      <c r="A265" s="28" t="s">
        <v>273</v>
      </c>
      <c r="B265" s="28"/>
      <c r="C265" s="28"/>
      <c r="D265" s="28"/>
      <c r="E265" s="28" t="s">
        <v>274</v>
      </c>
      <c r="F265" s="28">
        <v>0.05</v>
      </c>
      <c r="G265" s="28"/>
      <c r="H265" s="28"/>
      <c r="I265" s="28"/>
      <c r="J265" s="28"/>
      <c r="K265" s="28"/>
      <c r="L265" s="28"/>
      <c r="M265" s="357" t="s">
        <v>295</v>
      </c>
      <c r="N265" s="357" t="s">
        <v>296</v>
      </c>
      <c r="O265" s="28"/>
    </row>
    <row r="266" spans="1:15" ht="21" customHeight="1" thickTop="1" x14ac:dyDescent="0.25">
      <c r="A266" s="350" t="s">
        <v>275</v>
      </c>
      <c r="B266" s="350" t="s">
        <v>276</v>
      </c>
      <c r="C266" s="350" t="s">
        <v>277</v>
      </c>
      <c r="D266" s="350" t="s">
        <v>278</v>
      </c>
      <c r="E266" s="350" t="s">
        <v>279</v>
      </c>
      <c r="F266" s="350" t="s">
        <v>280</v>
      </c>
      <c r="G266" s="350" t="s">
        <v>281</v>
      </c>
      <c r="H266" s="350" t="s">
        <v>282</v>
      </c>
      <c r="I266" s="350" t="s">
        <v>283</v>
      </c>
      <c r="J266" s="350" t="s">
        <v>284</v>
      </c>
      <c r="K266" s="28"/>
      <c r="L266" s="28" t="s">
        <v>297</v>
      </c>
      <c r="M266" s="358">
        <v>0.05</v>
      </c>
      <c r="N266" s="28"/>
      <c r="O266" s="28"/>
    </row>
    <row r="267" spans="1:15" ht="21" customHeight="1" x14ac:dyDescent="0.25">
      <c r="A267" s="28" t="s">
        <v>285</v>
      </c>
      <c r="B267" s="28">
        <f>SQRT(D263*(1/B261+1/B262))</f>
        <v>0.25260661777139393</v>
      </c>
      <c r="C267" s="28">
        <f>(ABS(C261-C262-E259))/B267</f>
        <v>0.87500978835937848</v>
      </c>
      <c r="D267" s="28">
        <f>B261+B262-2</f>
        <v>11</v>
      </c>
      <c r="E267" s="28">
        <f>TDIST(C267,D267,1)</f>
        <v>0.20013544919987214</v>
      </c>
      <c r="F267" s="28">
        <f>TINV(F265*2,D267)</f>
        <v>1.7958848187040437</v>
      </c>
      <c r="G267" s="28"/>
      <c r="H267" s="28"/>
      <c r="I267" s="28" t="str">
        <f>IF(E267&lt;F265,"yes","no")</f>
        <v>no</v>
      </c>
      <c r="J267" s="28">
        <f>SQRT(C267^2/(C267^2+D267))</f>
        <v>0.25509684893949192</v>
      </c>
      <c r="K267" s="28"/>
      <c r="L267" s="28" t="s">
        <v>294</v>
      </c>
      <c r="M267" s="359">
        <f>MIN(M263,N263)</f>
        <v>16</v>
      </c>
      <c r="N267" s="28"/>
      <c r="O267" s="28"/>
    </row>
    <row r="268" spans="1:15" ht="21" customHeight="1" x14ac:dyDescent="0.25">
      <c r="A268" s="28" t="s">
        <v>286</v>
      </c>
      <c r="B268" s="28">
        <f>B267</f>
        <v>0.25260661777139393</v>
      </c>
      <c r="C268" s="28">
        <f t="shared" ref="C268:D268" si="60">C267</f>
        <v>0.87500978835937848</v>
      </c>
      <c r="D268" s="28">
        <f t="shared" si="60"/>
        <v>11</v>
      </c>
      <c r="E268" s="28">
        <f>TDIST(C268,D268,2)</f>
        <v>0.40027089839974428</v>
      </c>
      <c r="F268" s="28">
        <f>TINV(F265,D268)</f>
        <v>2.2009851600916384</v>
      </c>
      <c r="G268" s="28">
        <f>(C261-C262)-F268*B268</f>
        <v>-0.77701668021010462</v>
      </c>
      <c r="H268" s="28">
        <f>(C261-C262)+F268*B268</f>
        <v>0.334950153901453</v>
      </c>
      <c r="I268" s="28" t="str">
        <f>IF(E268&lt;F265,"yes","no")</f>
        <v>no</v>
      </c>
      <c r="J268" s="28">
        <f>J267</f>
        <v>0.25509684893949192</v>
      </c>
      <c r="K268" s="28"/>
      <c r="L268" s="28" t="s">
        <v>298</v>
      </c>
      <c r="M268" s="359">
        <f>M260*N260/2</f>
        <v>20</v>
      </c>
      <c r="N268" s="28"/>
      <c r="O268" s="28"/>
    </row>
    <row r="269" spans="1:15" ht="21" customHeight="1" x14ac:dyDescent="0.25">
      <c r="A269" s="354"/>
      <c r="B269" s="354"/>
      <c r="C269" s="354"/>
      <c r="D269" s="354"/>
      <c r="E269" s="354"/>
      <c r="F269" s="354"/>
      <c r="G269" s="354"/>
      <c r="H269" s="354"/>
      <c r="I269" s="354"/>
      <c r="J269" s="354"/>
      <c r="K269" s="28"/>
      <c r="L269" s="28" t="s">
        <v>299</v>
      </c>
      <c r="M269" s="359">
        <v>6.8219104024064654</v>
      </c>
      <c r="N269" s="28" t="s">
        <v>300</v>
      </c>
      <c r="O269" s="28"/>
    </row>
    <row r="270" spans="1:15" ht="21" customHeight="1" thickBot="1" x14ac:dyDescent="0.3">
      <c r="A270" s="28" t="s">
        <v>287</v>
      </c>
      <c r="B270" s="28"/>
      <c r="C270" s="28"/>
      <c r="D270" s="28"/>
      <c r="E270" s="28" t="s">
        <v>274</v>
      </c>
      <c r="F270" s="28">
        <f>F265</f>
        <v>0.05</v>
      </c>
      <c r="G270" s="28"/>
      <c r="H270" s="28"/>
      <c r="I270" s="28"/>
      <c r="J270" s="28"/>
      <c r="K270" s="28"/>
      <c r="L270" s="28" t="s">
        <v>19</v>
      </c>
      <c r="M270" s="359">
        <f>ABS(STANDARDIZE(M267,M268,M269))</f>
        <v>0.58634601805807629</v>
      </c>
      <c r="N270" s="28"/>
      <c r="O270" s="28"/>
    </row>
    <row r="271" spans="1:15" ht="21" customHeight="1" thickTop="1" x14ac:dyDescent="0.25">
      <c r="A271" s="350" t="s">
        <v>275</v>
      </c>
      <c r="B271" s="350" t="s">
        <v>276</v>
      </c>
      <c r="C271" s="350" t="s">
        <v>277</v>
      </c>
      <c r="D271" s="350" t="s">
        <v>278</v>
      </c>
      <c r="E271" s="350" t="s">
        <v>279</v>
      </c>
      <c r="F271" s="350" t="s">
        <v>280</v>
      </c>
      <c r="G271" s="350" t="s">
        <v>281</v>
      </c>
      <c r="H271" s="350" t="s">
        <v>282</v>
      </c>
      <c r="I271" s="350" t="s">
        <v>283</v>
      </c>
      <c r="J271" s="350" t="s">
        <v>284</v>
      </c>
      <c r="K271" s="28"/>
      <c r="L271" s="28" t="s">
        <v>284</v>
      </c>
      <c r="M271" s="359">
        <f>M270/SQRT(M260+N260)</f>
        <v>0.16262312563634834</v>
      </c>
      <c r="N271" s="28"/>
      <c r="O271" s="28"/>
    </row>
    <row r="272" spans="1:15" ht="21" customHeight="1" x14ac:dyDescent="0.25">
      <c r="A272" s="28" t="s">
        <v>285</v>
      </c>
      <c r="B272" s="28">
        <f>SQRT(D261/B261+D262/B262)</f>
        <v>0.20584281151179362</v>
      </c>
      <c r="C272" s="28">
        <f>(ABS(C261-C262-E259))/B272</f>
        <v>1.0737963669023334</v>
      </c>
      <c r="D272" s="28">
        <f>(D261/B261+D262/B262)^2/((D261/B261)^2/(B261-1)+(D262/B262)^2/(B262-1))</f>
        <v>9.0405054858990699</v>
      </c>
      <c r="E272" s="28">
        <f>TDIST(C272,ROUND(D272,0),1)</f>
        <v>0.15542949721849486</v>
      </c>
      <c r="F272" s="28">
        <f>TINV(F270*2,ROUND(D272,0))</f>
        <v>1.8331129326562374</v>
      </c>
      <c r="G272" s="28"/>
      <c r="H272" s="28"/>
      <c r="I272" s="28" t="str">
        <f>IF(E272&lt;F270,"yes","no")</f>
        <v>no</v>
      </c>
      <c r="J272" s="28">
        <f>SQRT(C272^2/(C272^2+D272))</f>
        <v>0.33632513614144438</v>
      </c>
      <c r="K272" s="28"/>
      <c r="L272" s="28" t="s">
        <v>301</v>
      </c>
      <c r="M272" s="358">
        <f>M268+M269*NORMSINV(M266)</f>
        <v>8.7789559318637451</v>
      </c>
      <c r="N272" s="352">
        <f>M268+M269*NORMSINV(M266/2)</f>
        <v>6.6293013055241818</v>
      </c>
      <c r="O272" s="28"/>
    </row>
    <row r="273" spans="1:15" ht="21" customHeight="1" x14ac:dyDescent="0.25">
      <c r="A273" s="28" t="s">
        <v>286</v>
      </c>
      <c r="B273" s="28">
        <f>B272</f>
        <v>0.20584281151179362</v>
      </c>
      <c r="C273" s="28">
        <f t="shared" ref="C273:D273" si="61">C272</f>
        <v>1.0737963669023334</v>
      </c>
      <c r="D273" s="28">
        <f t="shared" si="61"/>
        <v>9.0405054858990699</v>
      </c>
      <c r="E273" s="28">
        <f>TDIST(C273,ROUND(D273,0),2)</f>
        <v>0.31085899443698972</v>
      </c>
      <c r="F273" s="28">
        <f>TINV(F270,ROUND(D273,0))</f>
        <v>2.2621571627982053</v>
      </c>
      <c r="G273" s="28">
        <f>(C261-C262)-F273*B273</f>
        <v>-0.68668205362625057</v>
      </c>
      <c r="H273" s="28">
        <f>(C261-C262)+F273*B273</f>
        <v>0.244615527317599</v>
      </c>
      <c r="I273" s="28" t="str">
        <f>IF(E273&lt;F270,"yes","no")</f>
        <v>no</v>
      </c>
      <c r="J273" s="28">
        <f>J272</f>
        <v>0.33632513614144438</v>
      </c>
      <c r="K273" s="28"/>
      <c r="L273" s="28" t="s">
        <v>279</v>
      </c>
      <c r="M273" s="359">
        <f>1-NORMSDIST(M270)</f>
        <v>0.27882150626036895</v>
      </c>
      <c r="N273" s="339">
        <f>2*M273</f>
        <v>0.55764301252073789</v>
      </c>
      <c r="O273" s="28"/>
    </row>
    <row r="274" spans="1:15" ht="21" customHeight="1" x14ac:dyDescent="0.25">
      <c r="A274" s="354"/>
      <c r="B274" s="354"/>
      <c r="C274" s="354"/>
      <c r="D274" s="354"/>
      <c r="E274" s="354"/>
      <c r="F274" s="354"/>
      <c r="G274" s="354"/>
      <c r="H274" s="354"/>
      <c r="I274" s="354"/>
      <c r="J274" s="354"/>
      <c r="K274" s="28"/>
      <c r="L274" s="28" t="s">
        <v>302</v>
      </c>
      <c r="M274" s="360" t="str">
        <f>IF(M273&lt;M266,"yes","no")</f>
        <v>no</v>
      </c>
      <c r="N274" s="361" t="str">
        <f>IF(N273&lt;M266,"yes","no")</f>
        <v>no</v>
      </c>
      <c r="O274" s="28"/>
    </row>
    <row r="275" spans="1:15" ht="21" customHeight="1" x14ac:dyDescent="0.25">
      <c r="A275" s="28"/>
      <c r="B275" s="28"/>
      <c r="C275" s="28"/>
      <c r="D275" s="28"/>
      <c r="E275" s="28"/>
      <c r="F275" s="28"/>
      <c r="G275" s="28"/>
      <c r="H275" s="28"/>
      <c r="I275" s="28"/>
      <c r="J275" s="28"/>
      <c r="K275" s="28"/>
      <c r="L275" s="28"/>
      <c r="M275" s="28"/>
      <c r="N275" s="28"/>
      <c r="O275" s="28"/>
    </row>
    <row r="276" spans="1:15" ht="21" customHeight="1" x14ac:dyDescent="0.25">
      <c r="A276" s="28"/>
      <c r="B276" s="28"/>
      <c r="C276" s="28"/>
      <c r="D276" s="28"/>
      <c r="E276" s="28"/>
      <c r="F276" s="28"/>
      <c r="G276" s="28"/>
      <c r="H276" s="28"/>
      <c r="I276" s="28"/>
      <c r="J276" s="28"/>
      <c r="K276" s="28"/>
      <c r="L276" s="28" t="s">
        <v>301</v>
      </c>
      <c r="M276" s="358">
        <f>[1]!MCRIT(M260,N260,M266,1)</f>
        <v>8</v>
      </c>
      <c r="N276" s="358">
        <f>[1]!MCRIT(M260,N260,M266,2)</f>
        <v>6</v>
      </c>
      <c r="O276" s="28"/>
    </row>
    <row r="277" spans="1:15" ht="21" customHeight="1" x14ac:dyDescent="0.25">
      <c r="A277" s="28"/>
      <c r="B277" s="28"/>
      <c r="C277" s="28"/>
      <c r="D277" s="28"/>
      <c r="E277" s="28"/>
      <c r="F277" s="28"/>
      <c r="G277" s="28"/>
      <c r="H277" s="28"/>
      <c r="I277" s="28"/>
      <c r="J277" s="28"/>
      <c r="K277" s="28"/>
      <c r="L277" s="28" t="s">
        <v>311</v>
      </c>
      <c r="M277" s="360" t="str">
        <f>IF(ISNUMBER(M276),IF(M267&lt;M276,"yes","no"),"no")</f>
        <v>no</v>
      </c>
      <c r="N277" s="360" t="str">
        <f>IF(ISNUMBER(N276),IF(M267&lt;N276,"yes","no"),"no")</f>
        <v>no</v>
      </c>
      <c r="O277" s="28"/>
    </row>
    <row r="278" spans="1:15" ht="21" customHeight="1" x14ac:dyDescent="0.25">
      <c r="A278" s="28"/>
      <c r="B278" s="28"/>
      <c r="C278" s="28"/>
      <c r="D278" s="28"/>
      <c r="E278" s="28"/>
      <c r="F278" s="28"/>
      <c r="G278" s="28"/>
      <c r="H278" s="28"/>
      <c r="I278" s="28"/>
      <c r="J278" s="28"/>
      <c r="K278" s="28"/>
      <c r="L278" s="28"/>
      <c r="M278" s="28"/>
      <c r="N278" s="28"/>
      <c r="O278" s="28"/>
    </row>
    <row r="279" spans="1:15" ht="21" customHeight="1" x14ac:dyDescent="0.25">
      <c r="A279" s="28"/>
      <c r="B279" s="28"/>
      <c r="C279" s="28"/>
      <c r="D279" s="28"/>
      <c r="E279" s="28"/>
      <c r="F279" s="28"/>
      <c r="G279" s="28"/>
      <c r="H279" s="28"/>
      <c r="I279" s="28"/>
      <c r="J279" s="28"/>
      <c r="K279" s="28"/>
      <c r="L279" s="28" t="s">
        <v>279</v>
      </c>
      <c r="M279" s="358">
        <f>[1]!MANN_EXACT(L40:L47,L60:L64,1)</f>
        <v>0.31080031080031079</v>
      </c>
      <c r="N279" s="358">
        <f>2*M279</f>
        <v>0.62160062160062157</v>
      </c>
      <c r="O279" s="28"/>
    </row>
    <row r="280" spans="1:15" ht="21" customHeight="1" x14ac:dyDescent="0.25">
      <c r="A280" s="28"/>
      <c r="B280" s="28"/>
      <c r="C280" s="28"/>
      <c r="D280" s="28"/>
      <c r="E280" s="28"/>
      <c r="F280" s="28"/>
      <c r="G280" s="28"/>
      <c r="H280" s="28"/>
      <c r="I280" s="28"/>
      <c r="J280" s="28"/>
      <c r="K280" s="28"/>
      <c r="L280" s="28" t="s">
        <v>303</v>
      </c>
      <c r="M280" s="360" t="str">
        <f>IF(M279&lt;M266,"yes","no")</f>
        <v>no</v>
      </c>
      <c r="N280" s="360" t="str">
        <f>IF(N279&lt;M266,"yes","no")</f>
        <v>no</v>
      </c>
      <c r="O280" s="28"/>
    </row>
    <row r="281" spans="1:15" ht="21" customHeight="1" x14ac:dyDescent="0.25">
      <c r="A281" s="28"/>
      <c r="B281" s="28"/>
      <c r="C281" s="28"/>
      <c r="D281" s="28"/>
      <c r="E281" s="28"/>
      <c r="F281" s="28"/>
      <c r="G281" s="28"/>
      <c r="H281" s="28"/>
      <c r="I281" s="28"/>
      <c r="J281" s="28"/>
      <c r="K281" s="28"/>
      <c r="L281" s="28"/>
      <c r="M281" s="28"/>
      <c r="N281" s="28"/>
      <c r="O281" s="28"/>
    </row>
    <row r="282" spans="1:15" ht="21" customHeight="1" x14ac:dyDescent="0.25">
      <c r="A282" s="28"/>
      <c r="B282" s="28"/>
      <c r="C282" s="28"/>
      <c r="D282" s="28"/>
      <c r="E282" s="28"/>
      <c r="F282" s="28"/>
      <c r="G282" s="28"/>
      <c r="H282" s="28"/>
      <c r="I282" s="28"/>
      <c r="J282" s="28"/>
      <c r="K282" s="28"/>
      <c r="L282" s="28"/>
      <c r="M282" s="28"/>
      <c r="N282" s="28"/>
      <c r="O282" s="28"/>
    </row>
    <row r="283" spans="1:15" ht="21" customHeight="1" x14ac:dyDescent="0.25">
      <c r="A283" s="349" t="s">
        <v>314</v>
      </c>
      <c r="B283" s="28"/>
      <c r="C283" s="28"/>
      <c r="D283" s="28"/>
      <c r="E283" s="28"/>
      <c r="F283" s="28"/>
      <c r="G283" s="28"/>
      <c r="H283" s="28"/>
      <c r="I283" s="28"/>
      <c r="J283" s="28"/>
      <c r="K283" s="28"/>
      <c r="L283" s="28"/>
      <c r="M283" s="28"/>
      <c r="N283" s="28"/>
      <c r="O283" s="28"/>
    </row>
    <row r="284" spans="1:15" ht="21" customHeight="1" x14ac:dyDescent="0.25">
      <c r="A284" s="28" t="s">
        <v>263</v>
      </c>
      <c r="B284" s="28"/>
      <c r="C284" s="28"/>
      <c r="D284" s="28"/>
      <c r="E284" s="28"/>
      <c r="F284" s="28"/>
      <c r="G284" s="28"/>
      <c r="H284" s="28"/>
      <c r="I284" s="28"/>
      <c r="J284" s="28"/>
      <c r="K284" s="28"/>
      <c r="L284" s="28" t="s">
        <v>288</v>
      </c>
      <c r="M284" s="28"/>
      <c r="N284" s="28"/>
      <c r="O284" s="28"/>
    </row>
    <row r="285" spans="1:15" ht="21" customHeight="1" x14ac:dyDescent="0.25">
      <c r="A285" s="28"/>
      <c r="B285" s="28"/>
      <c r="C285" s="28"/>
      <c r="D285" s="28"/>
      <c r="E285" s="28"/>
      <c r="F285" s="28"/>
      <c r="G285" s="28"/>
      <c r="H285" s="28"/>
      <c r="I285" s="28"/>
      <c r="J285" s="28"/>
      <c r="K285" s="28"/>
      <c r="L285" s="28"/>
      <c r="M285" s="28"/>
      <c r="N285" s="28"/>
      <c r="O285" s="28"/>
    </row>
    <row r="286" spans="1:15" ht="21" customHeight="1" thickBot="1" x14ac:dyDescent="0.3">
      <c r="A286" s="28" t="s">
        <v>264</v>
      </c>
      <c r="B286" s="28"/>
      <c r="C286" s="28"/>
      <c r="D286" s="28" t="s">
        <v>265</v>
      </c>
      <c r="E286" s="28">
        <v>0</v>
      </c>
      <c r="F286" s="28"/>
      <c r="G286" s="28"/>
      <c r="H286" s="28"/>
      <c r="I286" s="28"/>
      <c r="J286" s="28"/>
      <c r="K286" s="28"/>
      <c r="L286" s="28"/>
      <c r="M286" s="28" t="s">
        <v>289</v>
      </c>
      <c r="N286" s="28" t="s">
        <v>290</v>
      </c>
      <c r="O286" s="28"/>
    </row>
    <row r="287" spans="1:15" ht="21" customHeight="1" thickTop="1" x14ac:dyDescent="0.25">
      <c r="A287" s="350" t="s">
        <v>266</v>
      </c>
      <c r="B287" s="350" t="s">
        <v>267</v>
      </c>
      <c r="C287" s="350" t="s">
        <v>117</v>
      </c>
      <c r="D287" s="350" t="s">
        <v>268</v>
      </c>
      <c r="E287" s="350" t="s">
        <v>269</v>
      </c>
      <c r="F287" s="28"/>
      <c r="G287" s="28"/>
      <c r="H287" s="28"/>
      <c r="I287" s="28"/>
      <c r="J287" s="28"/>
      <c r="K287" s="28"/>
      <c r="L287" s="28" t="s">
        <v>291</v>
      </c>
      <c r="M287" s="351">
        <f>COUNT(M40:M47)</f>
        <v>8</v>
      </c>
      <c r="N287" s="352">
        <f>COUNT(M60:M64)</f>
        <v>5</v>
      </c>
      <c r="O287" s="28"/>
    </row>
    <row r="288" spans="1:15" ht="21" customHeight="1" x14ac:dyDescent="0.25">
      <c r="A288" s="28" t="s">
        <v>270</v>
      </c>
      <c r="B288" s="28">
        <f>COUNT(M40:M47)</f>
        <v>8</v>
      </c>
      <c r="C288" s="28">
        <f>AVERAGE(M40:M47)</f>
        <v>1.9985683971130783</v>
      </c>
      <c r="D288" s="28">
        <f>VAR(M40:M47)</f>
        <v>0.23231936624366359</v>
      </c>
      <c r="E288" s="28"/>
      <c r="F288" s="28"/>
      <c r="G288" s="28"/>
      <c r="H288" s="28"/>
      <c r="I288" s="28"/>
      <c r="J288" s="28"/>
      <c r="K288" s="28"/>
      <c r="L288" s="28" t="s">
        <v>292</v>
      </c>
      <c r="M288" s="353">
        <f>MEDIAN(M40:M47)</f>
        <v>2.1276362525516532</v>
      </c>
      <c r="N288" s="339">
        <f>MEDIAN(M60:M64)</f>
        <v>2.1613680022349748</v>
      </c>
      <c r="O288" s="28"/>
    </row>
    <row r="289" spans="1:15" ht="21" customHeight="1" x14ac:dyDescent="0.25">
      <c r="A289" s="28" t="s">
        <v>271</v>
      </c>
      <c r="B289" s="28">
        <f>COUNT(M60:M64)</f>
        <v>5</v>
      </c>
      <c r="C289" s="28">
        <f>AVERAGE(M60:M64)</f>
        <v>2.1221791718232828</v>
      </c>
      <c r="D289" s="28">
        <f>VAR(M60:M64)</f>
        <v>1.8906826250826961E-2</v>
      </c>
      <c r="E289" s="28"/>
      <c r="F289" s="28"/>
      <c r="G289" s="28"/>
      <c r="H289" s="28"/>
      <c r="I289" s="28"/>
      <c r="J289" s="28"/>
      <c r="K289" s="28"/>
      <c r="L289" s="28" t="s">
        <v>293</v>
      </c>
      <c r="M289" s="353">
        <v>54</v>
      </c>
      <c r="N289" s="339">
        <v>37</v>
      </c>
      <c r="O289" s="28"/>
    </row>
    <row r="290" spans="1:15" ht="21" customHeight="1" x14ac:dyDescent="0.25">
      <c r="A290" s="354" t="s">
        <v>272</v>
      </c>
      <c r="B290" s="354"/>
      <c r="C290" s="354"/>
      <c r="D290" s="354">
        <f>((B288-1)*D288+(B289-1)*D289)/(B288+B289-2)</f>
        <v>0.15471480624626846</v>
      </c>
      <c r="E290" s="354">
        <f>ABS(C288-C289-E286)/SQRT(D290)</f>
        <v>0.31426092856980714</v>
      </c>
      <c r="F290" s="28"/>
      <c r="G290" s="28"/>
      <c r="H290" s="28"/>
      <c r="I290" s="28"/>
      <c r="J290" s="28"/>
      <c r="K290" s="28"/>
      <c r="L290" s="28" t="s">
        <v>294</v>
      </c>
      <c r="M290" s="355">
        <f>M287*N287+M287*(M287+1)/2-M289</f>
        <v>22</v>
      </c>
      <c r="N290" s="356">
        <f>M287*N287+N287*(N287+1)/2-N289</f>
        <v>18</v>
      </c>
      <c r="O290" s="28"/>
    </row>
    <row r="291" spans="1:15" ht="21" customHeight="1" x14ac:dyDescent="0.25">
      <c r="A291" s="28"/>
      <c r="B291" s="28"/>
      <c r="C291" s="28"/>
      <c r="D291" s="28"/>
      <c r="E291" s="28"/>
      <c r="F291" s="28"/>
      <c r="G291" s="28"/>
      <c r="H291" s="28"/>
      <c r="I291" s="28"/>
      <c r="J291" s="28"/>
      <c r="K291" s="28"/>
      <c r="L291" s="28"/>
      <c r="M291" s="28"/>
      <c r="N291" s="28"/>
      <c r="O291" s="28"/>
    </row>
    <row r="292" spans="1:15" ht="21" customHeight="1" thickBot="1" x14ac:dyDescent="0.3">
      <c r="A292" s="28" t="s">
        <v>273</v>
      </c>
      <c r="B292" s="28"/>
      <c r="C292" s="28"/>
      <c r="D292" s="28"/>
      <c r="E292" s="28" t="s">
        <v>274</v>
      </c>
      <c r="F292" s="28">
        <v>0.05</v>
      </c>
      <c r="G292" s="28"/>
      <c r="H292" s="28"/>
      <c r="I292" s="28"/>
      <c r="J292" s="28"/>
      <c r="K292" s="28"/>
      <c r="L292" s="28"/>
      <c r="M292" s="357" t="s">
        <v>295</v>
      </c>
      <c r="N292" s="357" t="s">
        <v>296</v>
      </c>
      <c r="O292" s="28"/>
    </row>
    <row r="293" spans="1:15" ht="21" customHeight="1" thickTop="1" x14ac:dyDescent="0.25">
      <c r="A293" s="350" t="s">
        <v>275</v>
      </c>
      <c r="B293" s="350" t="s">
        <v>276</v>
      </c>
      <c r="C293" s="350" t="s">
        <v>277</v>
      </c>
      <c r="D293" s="350" t="s">
        <v>278</v>
      </c>
      <c r="E293" s="350" t="s">
        <v>279</v>
      </c>
      <c r="F293" s="350" t="s">
        <v>280</v>
      </c>
      <c r="G293" s="350" t="s">
        <v>281</v>
      </c>
      <c r="H293" s="350" t="s">
        <v>282</v>
      </c>
      <c r="I293" s="350" t="s">
        <v>283</v>
      </c>
      <c r="J293" s="350" t="s">
        <v>284</v>
      </c>
      <c r="K293" s="28"/>
      <c r="L293" s="28" t="s">
        <v>297</v>
      </c>
      <c r="M293" s="358">
        <v>0.05</v>
      </c>
      <c r="N293" s="28"/>
      <c r="O293" s="28"/>
    </row>
    <row r="294" spans="1:15" ht="21" customHeight="1" x14ac:dyDescent="0.25">
      <c r="A294" s="28" t="s">
        <v>285</v>
      </c>
      <c r="B294" s="28">
        <f>SQRT(D290*(1/B288+1/B289))</f>
        <v>0.22423717807276575</v>
      </c>
      <c r="C294" s="28">
        <f>(ABS(C288-C289-E286))/B294</f>
        <v>0.55125013511404564</v>
      </c>
      <c r="D294" s="28">
        <f>B288+B289-2</f>
        <v>11</v>
      </c>
      <c r="E294" s="28">
        <f>TDIST(C294,D294,1)</f>
        <v>0.29624142649315199</v>
      </c>
      <c r="F294" s="28">
        <f>TINV(F292*2,D294)</f>
        <v>1.7958848187040437</v>
      </c>
      <c r="G294" s="28"/>
      <c r="H294" s="28"/>
      <c r="I294" s="28" t="str">
        <f>IF(E294&lt;F292,"yes","no")</f>
        <v>no</v>
      </c>
      <c r="J294" s="28">
        <f>SQRT(C294^2/(C294^2+D294))</f>
        <v>0.16395890260020449</v>
      </c>
      <c r="K294" s="28"/>
      <c r="L294" s="28" t="s">
        <v>294</v>
      </c>
      <c r="M294" s="359">
        <f>MIN(M290,N290)</f>
        <v>18</v>
      </c>
      <c r="N294" s="28"/>
      <c r="O294" s="28"/>
    </row>
    <row r="295" spans="1:15" ht="21" customHeight="1" x14ac:dyDescent="0.25">
      <c r="A295" s="28" t="s">
        <v>286</v>
      </c>
      <c r="B295" s="28">
        <f>B294</f>
        <v>0.22423717807276575</v>
      </c>
      <c r="C295" s="28">
        <f t="shared" ref="C295:D295" si="62">C294</f>
        <v>0.55125013511404564</v>
      </c>
      <c r="D295" s="28">
        <f t="shared" si="62"/>
        <v>11</v>
      </c>
      <c r="E295" s="28">
        <f>TDIST(C295,D295,2)</f>
        <v>0.59248285298630399</v>
      </c>
      <c r="F295" s="28">
        <f>TINV(F292,D295)</f>
        <v>2.2009851600916384</v>
      </c>
      <c r="G295" s="28">
        <f>(C288-C289)-F295*B295</f>
        <v>-0.61715347598918791</v>
      </c>
      <c r="H295" s="28">
        <f>(C288-C289)+F295*B295</f>
        <v>0.3699319265687791</v>
      </c>
      <c r="I295" s="28" t="str">
        <f>IF(E295&lt;F292,"yes","no")</f>
        <v>no</v>
      </c>
      <c r="J295" s="28">
        <f>J294</f>
        <v>0.16395890260020449</v>
      </c>
      <c r="K295" s="28"/>
      <c r="L295" s="28" t="s">
        <v>298</v>
      </c>
      <c r="M295" s="359">
        <f>M287*N287/2</f>
        <v>20</v>
      </c>
      <c r="N295" s="28"/>
      <c r="O295" s="28"/>
    </row>
    <row r="296" spans="1:15" ht="21" customHeight="1" x14ac:dyDescent="0.25">
      <c r="A296" s="354"/>
      <c r="B296" s="354"/>
      <c r="C296" s="354"/>
      <c r="D296" s="354"/>
      <c r="E296" s="354"/>
      <c r="F296" s="354"/>
      <c r="G296" s="354"/>
      <c r="H296" s="354"/>
      <c r="I296" s="354"/>
      <c r="J296" s="354"/>
      <c r="K296" s="28"/>
      <c r="L296" s="28" t="s">
        <v>299</v>
      </c>
      <c r="M296" s="359">
        <v>6.831300510639732</v>
      </c>
      <c r="N296" s="28" t="s">
        <v>300</v>
      </c>
      <c r="O296" s="28"/>
    </row>
    <row r="297" spans="1:15" ht="21" customHeight="1" thickBot="1" x14ac:dyDescent="0.3">
      <c r="A297" s="28" t="s">
        <v>287</v>
      </c>
      <c r="B297" s="28"/>
      <c r="C297" s="28"/>
      <c r="D297" s="28"/>
      <c r="E297" s="28" t="s">
        <v>274</v>
      </c>
      <c r="F297" s="28">
        <f>F292</f>
        <v>0.05</v>
      </c>
      <c r="G297" s="28"/>
      <c r="H297" s="28"/>
      <c r="I297" s="28"/>
      <c r="J297" s="28"/>
      <c r="K297" s="28"/>
      <c r="L297" s="28" t="s">
        <v>19</v>
      </c>
      <c r="M297" s="359">
        <f>ABS(STANDARDIZE(M294,M295,M296))</f>
        <v>0.29277002188455997</v>
      </c>
      <c r="N297" s="28"/>
      <c r="O297" s="28"/>
    </row>
    <row r="298" spans="1:15" ht="21" customHeight="1" thickTop="1" x14ac:dyDescent="0.25">
      <c r="A298" s="350" t="s">
        <v>275</v>
      </c>
      <c r="B298" s="350" t="s">
        <v>276</v>
      </c>
      <c r="C298" s="350" t="s">
        <v>277</v>
      </c>
      <c r="D298" s="350" t="s">
        <v>278</v>
      </c>
      <c r="E298" s="350" t="s">
        <v>279</v>
      </c>
      <c r="F298" s="350" t="s">
        <v>280</v>
      </c>
      <c r="G298" s="350" t="s">
        <v>281</v>
      </c>
      <c r="H298" s="350" t="s">
        <v>282</v>
      </c>
      <c r="I298" s="350" t="s">
        <v>283</v>
      </c>
      <c r="J298" s="350" t="s">
        <v>284</v>
      </c>
      <c r="K298" s="28"/>
      <c r="L298" s="28" t="s">
        <v>284</v>
      </c>
      <c r="M298" s="359">
        <f>M297/SQRT(M287+N287)</f>
        <v>8.119979429411503E-2</v>
      </c>
      <c r="N298" s="28"/>
      <c r="O298" s="28"/>
    </row>
    <row r="299" spans="1:15" ht="21" customHeight="1" x14ac:dyDescent="0.25">
      <c r="A299" s="28" t="s">
        <v>285</v>
      </c>
      <c r="B299" s="28">
        <f>SQRT(D288/B288+D289/B289)</f>
        <v>0.18116645945269047</v>
      </c>
      <c r="C299" s="28">
        <f>(ABS(C288-C289-E286))/B299</f>
        <v>0.68230496463659129</v>
      </c>
      <c r="D299" s="28">
        <f>(D288/B288+D289/B289)^2/((D288/B288)^2/(B288-1)+(D289/B289)^2/(B289-1))</f>
        <v>8.6839944749565596</v>
      </c>
      <c r="E299" s="28">
        <f>TDIST(C299,ROUND(D299,0),1)</f>
        <v>0.25611127294078784</v>
      </c>
      <c r="F299" s="28">
        <f>TINV(F297*2,ROUND(D299,0))</f>
        <v>1.8331129326562374</v>
      </c>
      <c r="G299" s="28"/>
      <c r="H299" s="28"/>
      <c r="I299" s="28" t="str">
        <f>IF(E299&lt;F297,"yes","no")</f>
        <v>no</v>
      </c>
      <c r="J299" s="28">
        <f>SQRT(C299^2/(C299^2+D299))</f>
        <v>0.22556880088500286</v>
      </c>
      <c r="K299" s="28"/>
      <c r="L299" s="28" t="s">
        <v>301</v>
      </c>
      <c r="M299" s="358">
        <f>M295+M296*NORMSINV(M293)</f>
        <v>8.7635105782787903</v>
      </c>
      <c r="N299" s="352">
        <f>M295+M296*NORMSINV(M293/2)</f>
        <v>6.6108970315760462</v>
      </c>
      <c r="O299" s="28"/>
    </row>
    <row r="300" spans="1:15" ht="21" customHeight="1" x14ac:dyDescent="0.25">
      <c r="A300" s="28" t="s">
        <v>286</v>
      </c>
      <c r="B300" s="28">
        <f>B299</f>
        <v>0.18116645945269047</v>
      </c>
      <c r="C300" s="28">
        <f t="shared" ref="C300:D300" si="63">C299</f>
        <v>0.68230496463659129</v>
      </c>
      <c r="D300" s="28">
        <f t="shared" si="63"/>
        <v>8.6839944749565596</v>
      </c>
      <c r="E300" s="28">
        <f>TDIST(C300,ROUND(D300,0),2)</f>
        <v>0.51222254588157567</v>
      </c>
      <c r="F300" s="28">
        <f>TINV(F297,ROUND(D300,0))</f>
        <v>2.2621571627982053</v>
      </c>
      <c r="G300" s="28">
        <f>(C288-C289)-F300*B300</f>
        <v>-0.53343777861989883</v>
      </c>
      <c r="H300" s="28">
        <f>(C288-C289)+F300*B300</f>
        <v>0.28621622919948997</v>
      </c>
      <c r="I300" s="28" t="str">
        <f>IF(E300&lt;F297,"yes","no")</f>
        <v>no</v>
      </c>
      <c r="J300" s="28">
        <f>J299</f>
        <v>0.22556880088500286</v>
      </c>
      <c r="K300" s="28"/>
      <c r="L300" s="28" t="s">
        <v>279</v>
      </c>
      <c r="M300" s="359">
        <f>1-NORMSDIST(M297)</f>
        <v>0.38484897189064482</v>
      </c>
      <c r="N300" s="339">
        <f>2*M300</f>
        <v>0.76969794378128964</v>
      </c>
      <c r="O300" s="28"/>
    </row>
    <row r="301" spans="1:15" ht="21" customHeight="1" x14ac:dyDescent="0.25">
      <c r="A301" s="354"/>
      <c r="B301" s="354"/>
      <c r="C301" s="354"/>
      <c r="D301" s="354"/>
      <c r="E301" s="354"/>
      <c r="F301" s="354"/>
      <c r="G301" s="354"/>
      <c r="H301" s="354"/>
      <c r="I301" s="354"/>
      <c r="J301" s="354"/>
      <c r="K301" s="28"/>
      <c r="L301" s="28" t="s">
        <v>302</v>
      </c>
      <c r="M301" s="360" t="str">
        <f>IF(M300&lt;M293,"yes","no")</f>
        <v>no</v>
      </c>
      <c r="N301" s="361" t="str">
        <f>IF(N300&lt;M293,"yes","no")</f>
        <v>no</v>
      </c>
      <c r="O301" s="28"/>
    </row>
    <row r="302" spans="1:15" ht="21" customHeight="1" x14ac:dyDescent="0.25">
      <c r="A302" s="28"/>
      <c r="B302" s="28"/>
      <c r="C302" s="28"/>
      <c r="D302" s="28"/>
      <c r="E302" s="28"/>
      <c r="F302" s="28"/>
      <c r="G302" s="28"/>
      <c r="H302" s="28"/>
      <c r="I302" s="28"/>
      <c r="J302" s="28"/>
      <c r="K302" s="28"/>
      <c r="L302" s="28"/>
      <c r="M302" s="28"/>
      <c r="N302" s="28"/>
      <c r="O302" s="28"/>
    </row>
    <row r="303" spans="1:15" ht="21" customHeight="1" x14ac:dyDescent="0.25">
      <c r="A303" s="28"/>
      <c r="B303" s="28"/>
      <c r="C303" s="28"/>
      <c r="D303" s="28"/>
      <c r="E303" s="28"/>
      <c r="F303" s="28"/>
      <c r="G303" s="28"/>
      <c r="H303" s="28"/>
      <c r="I303" s="28"/>
      <c r="J303" s="28"/>
      <c r="K303" s="28"/>
      <c r="L303" s="28" t="s">
        <v>301</v>
      </c>
      <c r="M303" s="358">
        <f>[1]!MCRIT(M287,N287,M293,1)</f>
        <v>8</v>
      </c>
      <c r="N303" s="358">
        <f>[1]!MCRIT(M287,N287,M293,2)</f>
        <v>6</v>
      </c>
      <c r="O303" s="28"/>
    </row>
    <row r="304" spans="1:15" ht="21" customHeight="1" x14ac:dyDescent="0.25">
      <c r="A304" s="28"/>
      <c r="B304" s="28"/>
      <c r="C304" s="28"/>
      <c r="D304" s="28"/>
      <c r="E304" s="28"/>
      <c r="F304" s="28"/>
      <c r="G304" s="28"/>
      <c r="H304" s="28"/>
      <c r="I304" s="28"/>
      <c r="J304" s="28"/>
      <c r="K304" s="28"/>
      <c r="L304" s="28" t="s">
        <v>311</v>
      </c>
      <c r="M304" s="360" t="str">
        <f>IF(ISNUMBER(M303),IF(M294&lt;M303,"yes","no"),"no")</f>
        <v>no</v>
      </c>
      <c r="N304" s="360" t="str">
        <f>IF(ISNUMBER(N303),IF(M294&lt;N303,"yes","no"),"no")</f>
        <v>no</v>
      </c>
      <c r="O304" s="28"/>
    </row>
    <row r="305" spans="1:15" ht="21" customHeight="1" x14ac:dyDescent="0.25">
      <c r="A305" s="28"/>
      <c r="B305" s="28"/>
      <c r="C305" s="28"/>
      <c r="D305" s="28"/>
      <c r="E305" s="28"/>
      <c r="F305" s="28"/>
      <c r="G305" s="28"/>
      <c r="H305" s="28"/>
      <c r="I305" s="28"/>
      <c r="J305" s="28"/>
      <c r="K305" s="28"/>
      <c r="L305" s="28"/>
      <c r="M305" s="28"/>
      <c r="N305" s="28"/>
      <c r="O305" s="28"/>
    </row>
    <row r="306" spans="1:15" ht="21" customHeight="1" x14ac:dyDescent="0.25">
      <c r="A306" s="28"/>
      <c r="B306" s="28"/>
      <c r="C306" s="28"/>
      <c r="D306" s="28"/>
      <c r="E306" s="28"/>
      <c r="F306" s="28"/>
      <c r="G306" s="28"/>
      <c r="H306" s="28"/>
      <c r="I306" s="28"/>
      <c r="J306" s="28"/>
      <c r="K306" s="28"/>
      <c r="L306" s="28" t="s">
        <v>279</v>
      </c>
      <c r="M306" s="358">
        <f>[1]!MANN_EXACT(M40:M47,M60:M64,1)</f>
        <v>0.41647241647241645</v>
      </c>
      <c r="N306" s="358">
        <f>2*M306</f>
        <v>0.8329448329448329</v>
      </c>
      <c r="O306" s="28"/>
    </row>
    <row r="307" spans="1:15" ht="21" customHeight="1" x14ac:dyDescent="0.25">
      <c r="A307" s="28"/>
      <c r="B307" s="28"/>
      <c r="C307" s="28"/>
      <c r="D307" s="28"/>
      <c r="E307" s="28"/>
      <c r="F307" s="28"/>
      <c r="G307" s="28"/>
      <c r="H307" s="28"/>
      <c r="I307" s="28"/>
      <c r="J307" s="28"/>
      <c r="K307" s="28"/>
      <c r="L307" s="28" t="s">
        <v>303</v>
      </c>
      <c r="M307" s="360" t="str">
        <f>IF(M306&lt;M293,"yes","no")</f>
        <v>no</v>
      </c>
      <c r="N307" s="360" t="str">
        <f>IF(N306&lt;M293,"yes","no")</f>
        <v>no</v>
      </c>
      <c r="O307" s="28"/>
    </row>
    <row r="308" spans="1:15" ht="21" customHeight="1" x14ac:dyDescent="0.25">
      <c r="A308" s="28"/>
      <c r="B308" s="28"/>
      <c r="C308" s="28"/>
      <c r="D308" s="28"/>
      <c r="E308" s="28"/>
      <c r="F308" s="28"/>
      <c r="G308" s="28"/>
      <c r="H308" s="28"/>
      <c r="I308" s="28"/>
      <c r="J308" s="28"/>
      <c r="K308" s="28"/>
      <c r="L308" s="28"/>
      <c r="M308" s="28"/>
      <c r="N308" s="28"/>
      <c r="O308" s="28"/>
    </row>
    <row r="309" spans="1:15" ht="21" customHeight="1" x14ac:dyDescent="0.25">
      <c r="A309" s="28"/>
      <c r="B309" s="28"/>
      <c r="C309" s="28"/>
      <c r="D309" s="28"/>
      <c r="E309" s="28"/>
      <c r="F309" s="28"/>
      <c r="G309" s="28"/>
      <c r="H309" s="28"/>
      <c r="I309" s="28"/>
      <c r="J309" s="28"/>
      <c r="K309" s="28"/>
      <c r="L309" s="28"/>
      <c r="M309" s="28"/>
      <c r="N309" s="28"/>
      <c r="O309" s="28"/>
    </row>
    <row r="310" spans="1:15" ht="21" customHeight="1" x14ac:dyDescent="0.25">
      <c r="A310" s="28"/>
      <c r="B310" s="28"/>
      <c r="C310" s="28"/>
      <c r="D310" s="28"/>
      <c r="E310" s="28"/>
      <c r="F310" s="28"/>
      <c r="G310" s="28"/>
      <c r="H310" s="28"/>
      <c r="I310" s="28"/>
      <c r="J310" s="28"/>
      <c r="K310" s="28"/>
      <c r="L310" s="28"/>
      <c r="M310" s="28"/>
      <c r="N310" s="28"/>
      <c r="O310" s="28"/>
    </row>
    <row r="311" spans="1:15" ht="21" customHeight="1" x14ac:dyDescent="0.25">
      <c r="A311" s="349" t="s">
        <v>315</v>
      </c>
      <c r="B311" s="28"/>
      <c r="C311" s="28"/>
      <c r="D311" s="28"/>
      <c r="E311" s="28"/>
      <c r="F311" s="28"/>
      <c r="G311" s="28"/>
      <c r="H311" s="28"/>
      <c r="I311" s="28"/>
      <c r="J311" s="28"/>
      <c r="K311" s="28"/>
      <c r="L311" s="28"/>
      <c r="M311" s="28"/>
      <c r="N311" s="28"/>
      <c r="O311" s="28"/>
    </row>
    <row r="312" spans="1:15" ht="21" customHeight="1" x14ac:dyDescent="0.25">
      <c r="A312" s="28" t="s">
        <v>263</v>
      </c>
      <c r="B312" s="28"/>
      <c r="C312" s="28"/>
      <c r="D312" s="28"/>
      <c r="E312" s="28"/>
      <c r="F312" s="28"/>
      <c r="G312" s="28"/>
      <c r="H312" s="28"/>
      <c r="I312" s="28"/>
      <c r="J312" s="28"/>
      <c r="K312" s="28"/>
      <c r="L312" s="28" t="s">
        <v>288</v>
      </c>
      <c r="M312" s="28"/>
      <c r="N312" s="28"/>
      <c r="O312" s="28"/>
    </row>
    <row r="313" spans="1:15" ht="21" customHeight="1" x14ac:dyDescent="0.25">
      <c r="A313" s="28"/>
      <c r="B313" s="28"/>
      <c r="C313" s="28"/>
      <c r="D313" s="28"/>
      <c r="E313" s="28"/>
      <c r="F313" s="28"/>
      <c r="G313" s="28"/>
      <c r="H313" s="28"/>
      <c r="I313" s="28"/>
      <c r="J313" s="28"/>
      <c r="K313" s="28"/>
      <c r="L313" s="28"/>
      <c r="M313" s="28"/>
      <c r="N313" s="28"/>
      <c r="O313" s="28"/>
    </row>
    <row r="314" spans="1:15" ht="21" customHeight="1" thickBot="1" x14ac:dyDescent="0.3">
      <c r="A314" s="28" t="s">
        <v>264</v>
      </c>
      <c r="B314" s="28"/>
      <c r="C314" s="28"/>
      <c r="D314" s="28" t="s">
        <v>265</v>
      </c>
      <c r="E314" s="28">
        <v>0</v>
      </c>
      <c r="F314" s="28"/>
      <c r="G314" s="28"/>
      <c r="H314" s="28"/>
      <c r="I314" s="28"/>
      <c r="J314" s="28"/>
      <c r="K314" s="28"/>
      <c r="L314" s="28"/>
      <c r="M314" s="28">
        <f>N40</f>
        <v>4.8512583487190755</v>
      </c>
      <c r="N314" s="28">
        <f>N60</f>
        <v>4.7596678446896306</v>
      </c>
      <c r="O314" s="28"/>
    </row>
    <row r="315" spans="1:15" ht="21" customHeight="1" thickTop="1" x14ac:dyDescent="0.25">
      <c r="A315" s="350" t="s">
        <v>266</v>
      </c>
      <c r="B315" s="350" t="s">
        <v>267</v>
      </c>
      <c r="C315" s="350" t="s">
        <v>117</v>
      </c>
      <c r="D315" s="350" t="s">
        <v>268</v>
      </c>
      <c r="E315" s="350" t="s">
        <v>269</v>
      </c>
      <c r="F315" s="28"/>
      <c r="G315" s="28"/>
      <c r="H315" s="28"/>
      <c r="I315" s="28"/>
      <c r="J315" s="28"/>
      <c r="K315" s="28"/>
      <c r="L315" s="28" t="s">
        <v>291</v>
      </c>
      <c r="M315" s="351">
        <f>COUNT(N41:N47)</f>
        <v>7</v>
      </c>
      <c r="N315" s="352">
        <f>COUNT(N61:N64)</f>
        <v>4</v>
      </c>
      <c r="O315" s="28"/>
    </row>
    <row r="316" spans="1:15" ht="21" customHeight="1" x14ac:dyDescent="0.25">
      <c r="A316" s="28">
        <f>N40</f>
        <v>4.8512583487190755</v>
      </c>
      <c r="B316" s="28">
        <f>COUNT(N41:N47)</f>
        <v>7</v>
      </c>
      <c r="C316" s="28">
        <f>AVERAGE(N41:N47)</f>
        <v>4.7392138831691195</v>
      </c>
      <c r="D316" s="28">
        <f>VAR(N41:N47)</f>
        <v>3.2282908131227576E-2</v>
      </c>
      <c r="E316" s="28"/>
      <c r="F316" s="28"/>
      <c r="G316" s="28"/>
      <c r="H316" s="28"/>
      <c r="I316" s="28"/>
      <c r="J316" s="28"/>
      <c r="K316" s="28"/>
      <c r="L316" s="28" t="s">
        <v>292</v>
      </c>
      <c r="M316" s="353">
        <f>MEDIAN(N41:N47)</f>
        <v>4.7242758696007892</v>
      </c>
      <c r="N316" s="339">
        <f>MEDIAN(N61:N64)</f>
        <v>4.7079888721994703</v>
      </c>
      <c r="O316" s="28"/>
    </row>
    <row r="317" spans="1:15" ht="21" customHeight="1" x14ac:dyDescent="0.25">
      <c r="A317" s="28">
        <f>N60</f>
        <v>4.7596678446896306</v>
      </c>
      <c r="B317" s="28">
        <f>COUNT(N61:N64)</f>
        <v>4</v>
      </c>
      <c r="C317" s="28">
        <f>AVERAGE(N61:N64)</f>
        <v>4.7279914655673778</v>
      </c>
      <c r="D317" s="28">
        <f>VAR(N61:N64)</f>
        <v>1.2388052693895474E-2</v>
      </c>
      <c r="E317" s="28"/>
      <c r="F317" s="28"/>
      <c r="G317" s="28"/>
      <c r="H317" s="28"/>
      <c r="I317" s="28"/>
      <c r="J317" s="28"/>
      <c r="K317" s="28"/>
      <c r="L317" s="28" t="s">
        <v>293</v>
      </c>
      <c r="M317" s="353">
        <v>42</v>
      </c>
      <c r="N317" s="339">
        <v>24</v>
      </c>
      <c r="O317" s="28"/>
    </row>
    <row r="318" spans="1:15" ht="21" customHeight="1" x14ac:dyDescent="0.25">
      <c r="A318" s="354" t="s">
        <v>272</v>
      </c>
      <c r="B318" s="354"/>
      <c r="C318" s="354"/>
      <c r="D318" s="354">
        <f>((B316-1)*D316+(B317-1)*D317)/(B316+B317-2)</f>
        <v>2.5651289652116875E-2</v>
      </c>
      <c r="E318" s="354">
        <f>ABS(C316-C317-E314)/SQRT(D318)</f>
        <v>7.0069952487258849E-2</v>
      </c>
      <c r="F318" s="28"/>
      <c r="G318" s="28"/>
      <c r="H318" s="28"/>
      <c r="I318" s="28"/>
      <c r="J318" s="28"/>
      <c r="K318" s="28"/>
      <c r="L318" s="28" t="s">
        <v>294</v>
      </c>
      <c r="M318" s="355">
        <f>M315*N315+M315*(M315+1)/2-M317</f>
        <v>14</v>
      </c>
      <c r="N318" s="356">
        <f>M315*N315+N315*(N315+1)/2-N317</f>
        <v>14</v>
      </c>
      <c r="O318" s="28"/>
    </row>
    <row r="319" spans="1:15" ht="21" customHeight="1" x14ac:dyDescent="0.25">
      <c r="A319" s="28"/>
      <c r="B319" s="28"/>
      <c r="C319" s="28"/>
      <c r="D319" s="28"/>
      <c r="E319" s="28"/>
      <c r="F319" s="28"/>
      <c r="G319" s="28"/>
      <c r="H319" s="28"/>
      <c r="I319" s="28"/>
      <c r="J319" s="28"/>
      <c r="K319" s="28"/>
      <c r="L319" s="28"/>
      <c r="M319" s="28"/>
      <c r="N319" s="28"/>
      <c r="O319" s="28"/>
    </row>
    <row r="320" spans="1:15" ht="21" customHeight="1" thickBot="1" x14ac:dyDescent="0.3">
      <c r="A320" s="28" t="s">
        <v>273</v>
      </c>
      <c r="B320" s="28"/>
      <c r="C320" s="28"/>
      <c r="D320" s="28"/>
      <c r="E320" s="28" t="s">
        <v>274</v>
      </c>
      <c r="F320" s="28">
        <v>0.05</v>
      </c>
      <c r="G320" s="28"/>
      <c r="H320" s="28"/>
      <c r="I320" s="28"/>
      <c r="J320" s="28"/>
      <c r="K320" s="28"/>
      <c r="L320" s="28"/>
      <c r="M320" s="357" t="s">
        <v>295</v>
      </c>
      <c r="N320" s="357" t="s">
        <v>296</v>
      </c>
      <c r="O320" s="28"/>
    </row>
    <row r="321" spans="1:15" ht="21" customHeight="1" thickTop="1" x14ac:dyDescent="0.25">
      <c r="A321" s="350" t="s">
        <v>275</v>
      </c>
      <c r="B321" s="350" t="s">
        <v>276</v>
      </c>
      <c r="C321" s="350" t="s">
        <v>277</v>
      </c>
      <c r="D321" s="350" t="s">
        <v>278</v>
      </c>
      <c r="E321" s="350" t="s">
        <v>279</v>
      </c>
      <c r="F321" s="350" t="s">
        <v>280</v>
      </c>
      <c r="G321" s="350" t="s">
        <v>281</v>
      </c>
      <c r="H321" s="350" t="s">
        <v>282</v>
      </c>
      <c r="I321" s="350" t="s">
        <v>283</v>
      </c>
      <c r="J321" s="350" t="s">
        <v>284</v>
      </c>
      <c r="K321" s="28"/>
      <c r="L321" s="28" t="s">
        <v>297</v>
      </c>
      <c r="M321" s="358">
        <v>0.05</v>
      </c>
      <c r="N321" s="28"/>
      <c r="O321" s="28"/>
    </row>
    <row r="322" spans="1:15" ht="21" customHeight="1" x14ac:dyDescent="0.25">
      <c r="A322" s="28" t="s">
        <v>285</v>
      </c>
      <c r="B322" s="28">
        <f>SQRT(D318*(1/B316+1/B317))</f>
        <v>0.10038571792506955</v>
      </c>
      <c r="C322" s="28">
        <f>(ABS(C316-C317-E314))/B322</f>
        <v>0.11179297049126445</v>
      </c>
      <c r="D322" s="28">
        <f>B316+B317-2</f>
        <v>9</v>
      </c>
      <c r="E322" s="28">
        <f>TDIST(C322,D322,1)</f>
        <v>0.45672057146851225</v>
      </c>
      <c r="F322" s="28">
        <f>TINV(F320*2,D322)</f>
        <v>1.8331129326562374</v>
      </c>
      <c r="G322" s="28"/>
      <c r="H322" s="28"/>
      <c r="I322" s="28" t="str">
        <f>IF(E322&lt;F320,"yes","no")</f>
        <v>no</v>
      </c>
      <c r="J322" s="28">
        <f>SQRT(C322^2/(C322^2+D322))</f>
        <v>3.7238477236992147E-2</v>
      </c>
      <c r="K322" s="28"/>
      <c r="L322" s="28" t="s">
        <v>294</v>
      </c>
      <c r="M322" s="359">
        <f>MIN(M318,N318)</f>
        <v>14</v>
      </c>
      <c r="N322" s="28"/>
      <c r="O322" s="28"/>
    </row>
    <row r="323" spans="1:15" ht="21" customHeight="1" x14ac:dyDescent="0.25">
      <c r="A323" s="28" t="s">
        <v>286</v>
      </c>
      <c r="B323" s="28">
        <f>B322</f>
        <v>0.10038571792506955</v>
      </c>
      <c r="C323" s="28">
        <f t="shared" ref="C323:D323" si="64">C322</f>
        <v>0.11179297049126445</v>
      </c>
      <c r="D323" s="28">
        <f t="shared" si="64"/>
        <v>9</v>
      </c>
      <c r="E323" s="28">
        <f>TDIST(C323,D323,2)</f>
        <v>0.9134411429370245</v>
      </c>
      <c r="F323" s="28">
        <f>TINV(F320,D323)</f>
        <v>2.2621571627982053</v>
      </c>
      <c r="G323" s="28">
        <f>(C316-C317)-F323*B323</f>
        <v>-0.21586585324509458</v>
      </c>
      <c r="H323" s="28">
        <f>(C316-C317)+F323*B323</f>
        <v>0.23831068844857797</v>
      </c>
      <c r="I323" s="28" t="str">
        <f>IF(E323&lt;F320,"yes","no")</f>
        <v>no</v>
      </c>
      <c r="J323" s="28">
        <f>J322</f>
        <v>3.7238477236992147E-2</v>
      </c>
      <c r="K323" s="28"/>
      <c r="L323" s="28" t="s">
        <v>298</v>
      </c>
      <c r="M323" s="359">
        <f>M315*N315/2</f>
        <v>14</v>
      </c>
      <c r="N323" s="28"/>
      <c r="O323" s="28"/>
    </row>
    <row r="324" spans="1:15" ht="21" customHeight="1" x14ac:dyDescent="0.25">
      <c r="A324" s="354"/>
      <c r="B324" s="354"/>
      <c r="C324" s="354"/>
      <c r="D324" s="354"/>
      <c r="E324" s="354"/>
      <c r="F324" s="354"/>
      <c r="G324" s="354"/>
      <c r="H324" s="354"/>
      <c r="I324" s="354"/>
      <c r="J324" s="354"/>
      <c r="K324" s="28"/>
      <c r="L324" s="28" t="s">
        <v>299</v>
      </c>
      <c r="M324" s="359">
        <v>5.2915026221291814</v>
      </c>
      <c r="N324" s="28" t="s">
        <v>300</v>
      </c>
      <c r="O324" s="28"/>
    </row>
    <row r="325" spans="1:15" ht="21" customHeight="1" thickBot="1" x14ac:dyDescent="0.3">
      <c r="A325" s="28" t="s">
        <v>287</v>
      </c>
      <c r="B325" s="28"/>
      <c r="C325" s="28"/>
      <c r="D325" s="28"/>
      <c r="E325" s="28" t="s">
        <v>274</v>
      </c>
      <c r="F325" s="28">
        <f>F320</f>
        <v>0.05</v>
      </c>
      <c r="G325" s="28"/>
      <c r="H325" s="28"/>
      <c r="I325" s="28"/>
      <c r="J325" s="28"/>
      <c r="K325" s="28"/>
      <c r="L325" s="28" t="s">
        <v>19</v>
      </c>
      <c r="M325" s="359">
        <f>ABS(STANDARDIZE(M322,M323,M324))</f>
        <v>0</v>
      </c>
      <c r="N325" s="28"/>
      <c r="O325" s="28"/>
    </row>
    <row r="326" spans="1:15" ht="21" customHeight="1" thickTop="1" x14ac:dyDescent="0.25">
      <c r="A326" s="350" t="s">
        <v>275</v>
      </c>
      <c r="B326" s="350" t="s">
        <v>276</v>
      </c>
      <c r="C326" s="350" t="s">
        <v>277</v>
      </c>
      <c r="D326" s="350" t="s">
        <v>278</v>
      </c>
      <c r="E326" s="350" t="s">
        <v>279</v>
      </c>
      <c r="F326" s="350" t="s">
        <v>280</v>
      </c>
      <c r="G326" s="350" t="s">
        <v>281</v>
      </c>
      <c r="H326" s="350" t="s">
        <v>282</v>
      </c>
      <c r="I326" s="350" t="s">
        <v>283</v>
      </c>
      <c r="J326" s="350" t="s">
        <v>284</v>
      </c>
      <c r="K326" s="28"/>
      <c r="L326" s="28" t="s">
        <v>284</v>
      </c>
      <c r="M326" s="359">
        <f>M325/SQRT(M315+N315)</f>
        <v>0</v>
      </c>
      <c r="N326" s="28"/>
      <c r="O326" s="28"/>
    </row>
    <row r="327" spans="1:15" ht="21" customHeight="1" x14ac:dyDescent="0.25">
      <c r="A327" s="28" t="s">
        <v>285</v>
      </c>
      <c r="B327" s="28">
        <f>SQRT(D316/B316+D317/B317)</f>
        <v>8.7800097905530075E-2</v>
      </c>
      <c r="C327" s="28">
        <f>(ABS(C316-C317-E314))/B327</f>
        <v>0.127817825599883</v>
      </c>
      <c r="D327" s="28">
        <f>(D316/B316+D317/B317)^2/((D316/B316)^2/(B316-1)+(D317/B317)^2/(B317-1))</f>
        <v>8.8143506696761076</v>
      </c>
      <c r="E327" s="28">
        <f>TDIST(C327,ROUND(D327,0),1)</f>
        <v>0.45055178815889307</v>
      </c>
      <c r="F327" s="28">
        <f>TINV(F325*2,ROUND(D327,0))</f>
        <v>1.8331129326562374</v>
      </c>
      <c r="G327" s="28"/>
      <c r="H327" s="28"/>
      <c r="I327" s="28" t="str">
        <f>IF(E327&lt;F325,"yes","no")</f>
        <v>no</v>
      </c>
      <c r="J327" s="28">
        <f>SQRT(C327^2/(C327^2+D327))</f>
        <v>4.3012447262133914E-2</v>
      </c>
      <c r="K327" s="28"/>
      <c r="L327" s="28" t="s">
        <v>301</v>
      </c>
      <c r="M327" s="358">
        <f>M323+M324*NORMSINV(M321)</f>
        <v>5.2962527199675886</v>
      </c>
      <c r="N327" s="352">
        <f>M323+M324*NORMSINV(M321/2)</f>
        <v>3.6288454365275467</v>
      </c>
      <c r="O327" s="28"/>
    </row>
    <row r="328" spans="1:15" ht="21" customHeight="1" x14ac:dyDescent="0.25">
      <c r="A328" s="28" t="s">
        <v>286</v>
      </c>
      <c r="B328" s="28">
        <f>B327</f>
        <v>8.7800097905530075E-2</v>
      </c>
      <c r="C328" s="28">
        <f t="shared" ref="C328:D328" si="65">C327</f>
        <v>0.127817825599883</v>
      </c>
      <c r="D328" s="28">
        <f t="shared" si="65"/>
        <v>8.8143506696761076</v>
      </c>
      <c r="E328" s="28">
        <f>TDIST(C328,ROUND(D328,0),2)</f>
        <v>0.90110357631778615</v>
      </c>
      <c r="F328" s="28">
        <f>TINV(F325,ROUND(D328,0))</f>
        <v>2.2621571627982053</v>
      </c>
      <c r="G328" s="28">
        <f>(C316-C317)-F328*B328</f>
        <v>-0.18739520276963686</v>
      </c>
      <c r="H328" s="28">
        <f>(C316-C317)+F328*B328</f>
        <v>0.20984003797312026</v>
      </c>
      <c r="I328" s="28" t="str">
        <f>IF(E328&lt;F325,"yes","no")</f>
        <v>no</v>
      </c>
      <c r="J328" s="28">
        <f>J327</f>
        <v>4.3012447262133914E-2</v>
      </c>
      <c r="K328" s="28"/>
      <c r="L328" s="28" t="s">
        <v>279</v>
      </c>
      <c r="M328" s="359">
        <f>1-NORMSDIST(M325)</f>
        <v>0.5</v>
      </c>
      <c r="N328" s="339">
        <f>2*M328</f>
        <v>1</v>
      </c>
      <c r="O328" s="28"/>
    </row>
    <row r="329" spans="1:15" ht="21" customHeight="1" x14ac:dyDescent="0.25">
      <c r="A329" s="354"/>
      <c r="B329" s="354"/>
      <c r="C329" s="354"/>
      <c r="D329" s="354"/>
      <c r="E329" s="354"/>
      <c r="F329" s="354"/>
      <c r="G329" s="354"/>
      <c r="H329" s="354"/>
      <c r="I329" s="354"/>
      <c r="J329" s="354"/>
      <c r="K329" s="28"/>
      <c r="L329" s="28" t="s">
        <v>302</v>
      </c>
      <c r="M329" s="360" t="str">
        <f>IF(M328&lt;M321,"yes","no")</f>
        <v>no</v>
      </c>
      <c r="N329" s="361" t="str">
        <f>IF(N328&lt;M321,"yes","no")</f>
        <v>no</v>
      </c>
      <c r="O329" s="28"/>
    </row>
    <row r="330" spans="1:15" ht="21" customHeight="1" x14ac:dyDescent="0.25">
      <c r="A330" s="28"/>
      <c r="B330" s="28"/>
      <c r="C330" s="28"/>
      <c r="D330" s="28"/>
      <c r="E330" s="28"/>
      <c r="F330" s="28"/>
      <c r="G330" s="28"/>
      <c r="H330" s="28"/>
      <c r="I330" s="28"/>
      <c r="J330" s="28"/>
      <c r="K330" s="28"/>
      <c r="L330" s="28"/>
      <c r="M330" s="28"/>
      <c r="N330" s="28"/>
      <c r="O330" s="28"/>
    </row>
    <row r="331" spans="1:15" ht="21" customHeight="1" x14ac:dyDescent="0.25">
      <c r="A331" s="28"/>
      <c r="B331" s="28"/>
      <c r="C331" s="28"/>
      <c r="D331" s="28"/>
      <c r="E331" s="28"/>
      <c r="F331" s="28"/>
      <c r="G331" s="28"/>
      <c r="H331" s="28"/>
      <c r="I331" s="28"/>
      <c r="J331" s="28"/>
      <c r="K331" s="28"/>
      <c r="L331" s="28" t="s">
        <v>301</v>
      </c>
      <c r="M331" s="358">
        <f>[1]!MCRIT(M315,N315,M321,1)</f>
        <v>4</v>
      </c>
      <c r="N331" s="358">
        <f>[1]!MCRIT(M315,N315,M321,2)</f>
        <v>3</v>
      </c>
      <c r="O331" s="28"/>
    </row>
    <row r="332" spans="1:15" ht="21" customHeight="1" x14ac:dyDescent="0.25">
      <c r="A332" s="28"/>
      <c r="B332" s="28"/>
      <c r="C332" s="28"/>
      <c r="D332" s="28"/>
      <c r="E332" s="28"/>
      <c r="F332" s="28"/>
      <c r="G332" s="28"/>
      <c r="H332" s="28"/>
      <c r="I332" s="28"/>
      <c r="J332" s="28"/>
      <c r="K332" s="28"/>
      <c r="L332" s="28" t="s">
        <v>311</v>
      </c>
      <c r="M332" s="360" t="str">
        <f>IF(ISNUMBER(M331),IF(M322&lt;M331,"yes","no"),"no")</f>
        <v>no</v>
      </c>
      <c r="N332" s="360" t="str">
        <f>IF(ISNUMBER(N331),IF(M322&lt;N331,"yes","no"),"no")</f>
        <v>no</v>
      </c>
      <c r="O332" s="28"/>
    </row>
    <row r="333" spans="1:15" ht="21" customHeight="1" x14ac:dyDescent="0.25">
      <c r="A333" s="28"/>
      <c r="B333" s="28"/>
      <c r="C333" s="28"/>
      <c r="D333" s="28"/>
      <c r="E333" s="28"/>
      <c r="F333" s="28"/>
      <c r="G333" s="28"/>
      <c r="H333" s="28"/>
      <c r="I333" s="28"/>
      <c r="J333" s="28"/>
      <c r="K333" s="28"/>
      <c r="L333" s="28"/>
      <c r="M333" s="28"/>
      <c r="N333" s="28"/>
      <c r="O333" s="28"/>
    </row>
    <row r="334" spans="1:15" ht="21" customHeight="1" x14ac:dyDescent="0.25">
      <c r="A334" s="28"/>
      <c r="B334" s="28"/>
      <c r="C334" s="28"/>
      <c r="D334" s="28"/>
      <c r="E334" s="28"/>
      <c r="F334" s="28"/>
      <c r="G334" s="28"/>
      <c r="H334" s="28"/>
      <c r="I334" s="28"/>
      <c r="J334" s="28"/>
      <c r="K334" s="28"/>
      <c r="L334" s="28" t="s">
        <v>279</v>
      </c>
      <c r="M334" s="358">
        <f>[1]!MANN_EXACT(N41:N47,N61:N64,1)</f>
        <v>0.46363636363636362</v>
      </c>
      <c r="N334" s="358">
        <f>2*M334</f>
        <v>0.92727272727272725</v>
      </c>
      <c r="O334" s="28"/>
    </row>
    <row r="335" spans="1:15" ht="21" customHeight="1" x14ac:dyDescent="0.25">
      <c r="A335" s="28"/>
      <c r="B335" s="28"/>
      <c r="C335" s="28"/>
      <c r="D335" s="28"/>
      <c r="E335" s="28"/>
      <c r="F335" s="28"/>
      <c r="G335" s="28"/>
      <c r="H335" s="28"/>
      <c r="I335" s="28"/>
      <c r="J335" s="28"/>
      <c r="K335" s="28"/>
      <c r="L335" s="28" t="s">
        <v>303</v>
      </c>
      <c r="M335" s="360" t="str">
        <f>IF(M334&lt;M321,"yes","no")</f>
        <v>no</v>
      </c>
      <c r="N335" s="360" t="str">
        <f>IF(N334&lt;M321,"yes","no")</f>
        <v>no</v>
      </c>
      <c r="O335" s="28"/>
    </row>
    <row r="336" spans="1:15" ht="21" customHeight="1" x14ac:dyDescent="0.25">
      <c r="A336" s="28"/>
      <c r="B336" s="28"/>
      <c r="C336" s="28"/>
      <c r="D336" s="28"/>
      <c r="E336" s="28"/>
      <c r="F336" s="28"/>
      <c r="G336" s="28"/>
      <c r="H336" s="28"/>
      <c r="I336" s="28"/>
      <c r="J336" s="28"/>
      <c r="K336" s="28"/>
      <c r="L336" s="28"/>
      <c r="M336" s="28"/>
      <c r="N336" s="28"/>
      <c r="O336" s="28"/>
    </row>
    <row r="337" spans="1:15" ht="21" customHeight="1" x14ac:dyDescent="0.25">
      <c r="A337" s="28"/>
      <c r="B337" s="28"/>
      <c r="C337" s="28"/>
      <c r="D337" s="28"/>
      <c r="E337" s="28"/>
      <c r="F337" s="28"/>
      <c r="G337" s="28"/>
      <c r="H337" s="28"/>
      <c r="I337" s="28"/>
      <c r="J337" s="28"/>
      <c r="K337" s="28"/>
      <c r="L337" s="28"/>
      <c r="M337" s="28"/>
      <c r="N337" s="28"/>
      <c r="O337" s="28"/>
    </row>
    <row r="338" spans="1:15" ht="21" customHeight="1" x14ac:dyDescent="0.25">
      <c r="A338" s="28"/>
      <c r="B338" s="28"/>
      <c r="C338" s="28"/>
      <c r="D338" s="28"/>
      <c r="E338" s="28"/>
      <c r="F338" s="28"/>
      <c r="G338" s="28"/>
      <c r="H338" s="28"/>
      <c r="I338" s="28"/>
      <c r="J338" s="28"/>
      <c r="K338" s="28"/>
      <c r="L338" s="28"/>
      <c r="M338" s="28"/>
      <c r="N338" s="28"/>
      <c r="O338" s="28"/>
    </row>
    <row r="339" spans="1:15" ht="21" customHeight="1" x14ac:dyDescent="0.25">
      <c r="A339" s="28"/>
      <c r="B339" s="28"/>
      <c r="C339" s="28"/>
      <c r="D339" s="28"/>
      <c r="E339" s="28"/>
      <c r="F339" s="28"/>
      <c r="G339" s="28"/>
      <c r="H339" s="28"/>
      <c r="I339" s="28"/>
      <c r="J339" s="28"/>
      <c r="K339" s="28"/>
      <c r="L339" s="28"/>
      <c r="M339" s="28"/>
      <c r="N339" s="28"/>
      <c r="O339" s="28"/>
    </row>
    <row r="340" spans="1:15" ht="21" customHeight="1" x14ac:dyDescent="0.25">
      <c r="A340" s="349" t="s">
        <v>316</v>
      </c>
      <c r="B340" s="28"/>
      <c r="C340" s="28"/>
      <c r="D340" s="28"/>
      <c r="E340" s="28"/>
      <c r="F340" s="28"/>
      <c r="G340" s="28"/>
      <c r="H340" s="28"/>
      <c r="I340" s="28"/>
      <c r="J340" s="28"/>
      <c r="K340" s="28"/>
      <c r="L340" s="28"/>
      <c r="M340" s="28"/>
      <c r="N340" s="28"/>
      <c r="O340" s="28"/>
    </row>
    <row r="341" spans="1:15" ht="21" customHeight="1" x14ac:dyDescent="0.25">
      <c r="A341" s="28" t="s">
        <v>263</v>
      </c>
      <c r="B341" s="28"/>
      <c r="C341" s="28"/>
      <c r="D341" s="28"/>
      <c r="E341" s="28"/>
      <c r="F341" s="28"/>
      <c r="G341" s="28"/>
      <c r="H341" s="28"/>
      <c r="I341" s="28"/>
      <c r="J341" s="28"/>
      <c r="K341" s="28"/>
      <c r="L341" s="28" t="s">
        <v>288</v>
      </c>
      <c r="M341" s="28"/>
      <c r="N341" s="28"/>
      <c r="O341" s="28"/>
    </row>
    <row r="342" spans="1:15" ht="21" customHeight="1" x14ac:dyDescent="0.25">
      <c r="A342" s="28"/>
      <c r="B342" s="28"/>
      <c r="C342" s="28"/>
      <c r="D342" s="28"/>
      <c r="E342" s="28"/>
      <c r="F342" s="28"/>
      <c r="G342" s="28"/>
      <c r="H342" s="28"/>
      <c r="I342" s="28"/>
      <c r="J342" s="28"/>
      <c r="K342" s="28"/>
      <c r="L342" s="28"/>
      <c r="M342" s="28"/>
      <c r="N342" s="28"/>
      <c r="O342" s="28"/>
    </row>
    <row r="343" spans="1:15" ht="21" customHeight="1" thickBot="1" x14ac:dyDescent="0.3">
      <c r="A343" s="28" t="s">
        <v>264</v>
      </c>
      <c r="B343" s="28"/>
      <c r="C343" s="28"/>
      <c r="D343" s="28" t="s">
        <v>265</v>
      </c>
      <c r="E343" s="28">
        <v>0</v>
      </c>
      <c r="F343" s="28"/>
      <c r="G343" s="28"/>
      <c r="H343" s="28"/>
      <c r="I343" s="28"/>
      <c r="J343" s="28"/>
      <c r="K343" s="28"/>
      <c r="L343" s="28"/>
      <c r="M343" s="28">
        <f>O40</f>
        <v>2.1461280356782382</v>
      </c>
      <c r="N343" s="28">
        <f>O60</f>
        <v>2.7641761323903307</v>
      </c>
      <c r="O343" s="28"/>
    </row>
    <row r="344" spans="1:15" ht="21" customHeight="1" thickTop="1" x14ac:dyDescent="0.25">
      <c r="A344" s="350" t="s">
        <v>266</v>
      </c>
      <c r="B344" s="350" t="s">
        <v>267</v>
      </c>
      <c r="C344" s="350" t="s">
        <v>117</v>
      </c>
      <c r="D344" s="350" t="s">
        <v>268</v>
      </c>
      <c r="E344" s="350" t="s">
        <v>269</v>
      </c>
      <c r="F344" s="28"/>
      <c r="G344" s="28"/>
      <c r="H344" s="28"/>
      <c r="I344" s="28"/>
      <c r="J344" s="28"/>
      <c r="K344" s="28"/>
      <c r="L344" s="28" t="s">
        <v>291</v>
      </c>
      <c r="M344" s="351">
        <f>COUNT(O41:O47)</f>
        <v>7</v>
      </c>
      <c r="N344" s="352">
        <f>COUNT(O61:O64)</f>
        <v>4</v>
      </c>
      <c r="O344" s="28"/>
    </row>
    <row r="345" spans="1:15" ht="21" customHeight="1" x14ac:dyDescent="0.25">
      <c r="A345" s="28">
        <f>O40</f>
        <v>2.1461280356782382</v>
      </c>
      <c r="B345" s="28">
        <f>COUNT(O41:O47)</f>
        <v>7</v>
      </c>
      <c r="C345" s="28">
        <f>AVERAGE(O41:O47)</f>
        <v>2.6764653869475485</v>
      </c>
      <c r="D345" s="28">
        <f>VAR(O41:O47)</f>
        <v>0.38310943951900472</v>
      </c>
      <c r="E345" s="28"/>
      <c r="F345" s="28"/>
      <c r="G345" s="28"/>
      <c r="H345" s="28"/>
      <c r="I345" s="28"/>
      <c r="J345" s="28"/>
      <c r="K345" s="28"/>
      <c r="L345" s="28" t="s">
        <v>292</v>
      </c>
      <c r="M345" s="353">
        <f>MEDIAN(O41:O47)</f>
        <v>2.6901960800285138</v>
      </c>
      <c r="N345" s="339">
        <f>MEDIAN(O61:O64)</f>
        <v>2.6850992017795536</v>
      </c>
      <c r="O345" s="28"/>
    </row>
    <row r="346" spans="1:15" ht="21" customHeight="1" x14ac:dyDescent="0.25">
      <c r="A346" s="28">
        <f>O60</f>
        <v>2.7641761323903307</v>
      </c>
      <c r="B346" s="28">
        <f>COUNT(O61:O64)</f>
        <v>4</v>
      </c>
      <c r="C346" s="28">
        <f>AVERAGE(O61:O64)</f>
        <v>2.6449672196054812</v>
      </c>
      <c r="D346" s="28">
        <f>VAR(O61:O64)</f>
        <v>1.3382359006597233E-2</v>
      </c>
      <c r="E346" s="28"/>
      <c r="F346" s="28"/>
      <c r="G346" s="28"/>
      <c r="H346" s="28"/>
      <c r="I346" s="28"/>
      <c r="J346" s="28"/>
      <c r="K346" s="28"/>
      <c r="L346" s="28" t="s">
        <v>293</v>
      </c>
      <c r="M346" s="353">
        <v>43</v>
      </c>
      <c r="N346" s="339">
        <v>23</v>
      </c>
      <c r="O346" s="28"/>
    </row>
    <row r="347" spans="1:15" ht="21" customHeight="1" x14ac:dyDescent="0.25">
      <c r="A347" s="354" t="s">
        <v>272</v>
      </c>
      <c r="B347" s="354"/>
      <c r="C347" s="354"/>
      <c r="D347" s="354">
        <f>((B345-1)*D345+(B346-1)*D346)/(B345+B346-2)</f>
        <v>0.25986707934820225</v>
      </c>
      <c r="E347" s="354">
        <f>ABS(C345-C346-E343)/SQRT(D347)</f>
        <v>6.1788784691185102E-2</v>
      </c>
      <c r="F347" s="28"/>
      <c r="G347" s="28"/>
      <c r="H347" s="28"/>
      <c r="I347" s="28"/>
      <c r="J347" s="28"/>
      <c r="K347" s="28"/>
      <c r="L347" s="28" t="s">
        <v>294</v>
      </c>
      <c r="M347" s="355">
        <f>M344*N344+M344*(M344+1)/2-M346</f>
        <v>13</v>
      </c>
      <c r="N347" s="356">
        <f>M344*N344+N344*(N344+1)/2-N346</f>
        <v>15</v>
      </c>
      <c r="O347" s="28"/>
    </row>
    <row r="348" spans="1:15" ht="21" customHeight="1" x14ac:dyDescent="0.25">
      <c r="A348" s="28"/>
      <c r="B348" s="28"/>
      <c r="C348" s="28"/>
      <c r="D348" s="28"/>
      <c r="E348" s="28"/>
      <c r="F348" s="28"/>
      <c r="G348" s="28"/>
      <c r="H348" s="28"/>
      <c r="I348" s="28"/>
      <c r="J348" s="28"/>
      <c r="K348" s="28"/>
      <c r="L348" s="28"/>
      <c r="M348" s="28"/>
      <c r="N348" s="28"/>
      <c r="O348" s="28"/>
    </row>
    <row r="349" spans="1:15" ht="21" customHeight="1" thickBot="1" x14ac:dyDescent="0.3">
      <c r="A349" s="28" t="s">
        <v>273</v>
      </c>
      <c r="B349" s="28"/>
      <c r="C349" s="28"/>
      <c r="D349" s="28"/>
      <c r="E349" s="28" t="s">
        <v>274</v>
      </c>
      <c r="F349" s="28">
        <v>0.05</v>
      </c>
      <c r="G349" s="28"/>
      <c r="H349" s="28"/>
      <c r="I349" s="28"/>
      <c r="J349" s="28"/>
      <c r="K349" s="28"/>
      <c r="L349" s="28"/>
      <c r="M349" s="357" t="s">
        <v>295</v>
      </c>
      <c r="N349" s="357" t="s">
        <v>296</v>
      </c>
      <c r="O349" s="28"/>
    </row>
    <row r="350" spans="1:15" ht="21" customHeight="1" thickTop="1" x14ac:dyDescent="0.25">
      <c r="A350" s="350" t="s">
        <v>275</v>
      </c>
      <c r="B350" s="350" t="s">
        <v>276</v>
      </c>
      <c r="C350" s="350" t="s">
        <v>277</v>
      </c>
      <c r="D350" s="350" t="s">
        <v>278</v>
      </c>
      <c r="E350" s="350" t="s">
        <v>279</v>
      </c>
      <c r="F350" s="350" t="s">
        <v>280</v>
      </c>
      <c r="G350" s="350" t="s">
        <v>281</v>
      </c>
      <c r="H350" s="350" t="s">
        <v>282</v>
      </c>
      <c r="I350" s="350" t="s">
        <v>283</v>
      </c>
      <c r="J350" s="350" t="s">
        <v>284</v>
      </c>
      <c r="K350" s="28"/>
      <c r="L350" s="28" t="s">
        <v>297</v>
      </c>
      <c r="M350" s="358">
        <v>0.05</v>
      </c>
      <c r="N350" s="28"/>
      <c r="O350" s="28"/>
    </row>
    <row r="351" spans="1:15" ht="21" customHeight="1" x14ac:dyDescent="0.25">
      <c r="A351" s="28" t="s">
        <v>285</v>
      </c>
      <c r="B351" s="28">
        <f>SQRT(D347*(1/B345+1/B346))</f>
        <v>0.31951625673096068</v>
      </c>
      <c r="C351" s="28">
        <f>(ABS(C345-C346-E343))/B351</f>
        <v>9.8580797310070675E-2</v>
      </c>
      <c r="D351" s="28">
        <f>B345+B346-2</f>
        <v>9</v>
      </c>
      <c r="E351" s="28">
        <f>TDIST(C351,D351,1)</f>
        <v>0.4618159178211263</v>
      </c>
      <c r="F351" s="28">
        <f>TINV(F349*2,D351)</f>
        <v>1.8331129326562374</v>
      </c>
      <c r="G351" s="28"/>
      <c r="H351" s="28"/>
      <c r="I351" s="28" t="str">
        <f>IF(E351&lt;F349,"yes","no")</f>
        <v>no</v>
      </c>
      <c r="J351" s="28">
        <f>SQRT(C351^2/(C351^2+D351))</f>
        <v>3.2842538915495531E-2</v>
      </c>
      <c r="K351" s="28"/>
      <c r="L351" s="28" t="s">
        <v>294</v>
      </c>
      <c r="M351" s="359">
        <f>MIN(M347,N347)</f>
        <v>13</v>
      </c>
      <c r="N351" s="28"/>
      <c r="O351" s="28"/>
    </row>
    <row r="352" spans="1:15" ht="21" customHeight="1" x14ac:dyDescent="0.25">
      <c r="A352" s="28" t="s">
        <v>286</v>
      </c>
      <c r="B352" s="28">
        <f>B351</f>
        <v>0.31951625673096068</v>
      </c>
      <c r="C352" s="28">
        <f t="shared" ref="C352:D352" si="66">C351</f>
        <v>9.8580797310070675E-2</v>
      </c>
      <c r="D352" s="28">
        <f t="shared" si="66"/>
        <v>9</v>
      </c>
      <c r="E352" s="28">
        <f>TDIST(C352,D352,2)</f>
        <v>0.9236318356422526</v>
      </c>
      <c r="F352" s="28">
        <f>TINV(F349,D352)</f>
        <v>2.2621571627982053</v>
      </c>
      <c r="G352" s="28">
        <f>(C345-C346)-F352*B352</f>
        <v>-0.69129782145234564</v>
      </c>
      <c r="H352" s="28">
        <f>(C345-C346)+F352*B352</f>
        <v>0.75429415613648032</v>
      </c>
      <c r="I352" s="28" t="str">
        <f>IF(E352&lt;F349,"yes","no")</f>
        <v>no</v>
      </c>
      <c r="J352" s="28">
        <f>J351</f>
        <v>3.2842538915495531E-2</v>
      </c>
      <c r="K352" s="28"/>
      <c r="L352" s="28" t="s">
        <v>298</v>
      </c>
      <c r="M352" s="359">
        <f>M344*N344/2</f>
        <v>14</v>
      </c>
      <c r="N352" s="28"/>
      <c r="O352" s="28"/>
    </row>
    <row r="353" spans="1:15" ht="21" customHeight="1" x14ac:dyDescent="0.25">
      <c r="A353" s="354"/>
      <c r="B353" s="354"/>
      <c r="C353" s="354"/>
      <c r="D353" s="354"/>
      <c r="E353" s="354"/>
      <c r="F353" s="354"/>
      <c r="G353" s="354"/>
      <c r="H353" s="354"/>
      <c r="I353" s="354"/>
      <c r="J353" s="354"/>
      <c r="K353" s="28"/>
      <c r="L353" s="28" t="s">
        <v>299</v>
      </c>
      <c r="M353" s="359">
        <v>5.2915026221291814</v>
      </c>
      <c r="N353" s="28" t="s">
        <v>300</v>
      </c>
      <c r="O353" s="28"/>
    </row>
    <row r="354" spans="1:15" ht="21" customHeight="1" thickBot="1" x14ac:dyDescent="0.3">
      <c r="A354" s="28" t="s">
        <v>287</v>
      </c>
      <c r="B354" s="28"/>
      <c r="C354" s="28"/>
      <c r="D354" s="28"/>
      <c r="E354" s="28" t="s">
        <v>274</v>
      </c>
      <c r="F354" s="28">
        <f>F349</f>
        <v>0.05</v>
      </c>
      <c r="G354" s="28"/>
      <c r="H354" s="28"/>
      <c r="I354" s="28"/>
      <c r="J354" s="28"/>
      <c r="K354" s="28"/>
      <c r="L354" s="28" t="s">
        <v>19</v>
      </c>
      <c r="M354" s="359">
        <f>ABS(STANDARDIZE(M351,M352,M353))</f>
        <v>0.1889822365046136</v>
      </c>
      <c r="N354" s="28"/>
      <c r="O354" s="28"/>
    </row>
    <row r="355" spans="1:15" ht="21" customHeight="1" thickTop="1" x14ac:dyDescent="0.25">
      <c r="A355" s="350" t="s">
        <v>275</v>
      </c>
      <c r="B355" s="350" t="s">
        <v>276</v>
      </c>
      <c r="C355" s="350" t="s">
        <v>277</v>
      </c>
      <c r="D355" s="350" t="s">
        <v>278</v>
      </c>
      <c r="E355" s="350" t="s">
        <v>279</v>
      </c>
      <c r="F355" s="350" t="s">
        <v>280</v>
      </c>
      <c r="G355" s="350" t="s">
        <v>281</v>
      </c>
      <c r="H355" s="350" t="s">
        <v>282</v>
      </c>
      <c r="I355" s="350" t="s">
        <v>283</v>
      </c>
      <c r="J355" s="350" t="s">
        <v>284</v>
      </c>
      <c r="K355" s="28"/>
      <c r="L355" s="28" t="s">
        <v>284</v>
      </c>
      <c r="M355" s="359">
        <f>M354/SQRT(M344+N344)</f>
        <v>5.6980288229818973E-2</v>
      </c>
      <c r="N355" s="28"/>
      <c r="O355" s="28"/>
    </row>
    <row r="356" spans="1:15" ht="21" customHeight="1" x14ac:dyDescent="0.25">
      <c r="A356" s="28" t="s">
        <v>285</v>
      </c>
      <c r="B356" s="28">
        <f>SQRT(D345/B345+D346/B346)</f>
        <v>0.24098860903149696</v>
      </c>
      <c r="C356" s="28">
        <f>(ABS(C345-C346-E343))/B356</f>
        <v>0.13070396758027084</v>
      </c>
      <c r="D356" s="28">
        <f>(D345/B345+D346/B346)^2/((D345/B345)^2/(B345-1)+(D346/B346)^2/(B346-1))</f>
        <v>6.7058531791956755</v>
      </c>
      <c r="E356" s="28">
        <f>TDIST(C356,ROUND(D356,0),1)</f>
        <v>0.44984323380555435</v>
      </c>
      <c r="F356" s="28">
        <f>TINV(F354*2,ROUND(D356,0))</f>
        <v>1.8945786050900073</v>
      </c>
      <c r="G356" s="28"/>
      <c r="H356" s="28"/>
      <c r="I356" s="28" t="str">
        <f>IF(E356&lt;F354,"yes","no")</f>
        <v>no</v>
      </c>
      <c r="J356" s="28">
        <f>SQRT(C356^2/(C356^2+D356))</f>
        <v>5.0409136685371184E-2</v>
      </c>
      <c r="K356" s="28"/>
      <c r="L356" s="28" t="s">
        <v>301</v>
      </c>
      <c r="M356" s="358">
        <f>M352+M353*NORMSINV(M350)</f>
        <v>5.2962527199675886</v>
      </c>
      <c r="N356" s="352">
        <f>M352+M353*NORMSINV(M350/2)</f>
        <v>3.6288454365275467</v>
      </c>
      <c r="O356" s="28"/>
    </row>
    <row r="357" spans="1:15" ht="21" customHeight="1" x14ac:dyDescent="0.25">
      <c r="A357" s="28" t="s">
        <v>286</v>
      </c>
      <c r="B357" s="28">
        <f>B356</f>
        <v>0.24098860903149696</v>
      </c>
      <c r="C357" s="28">
        <f t="shared" ref="C357:D357" si="67">C356</f>
        <v>0.13070396758027084</v>
      </c>
      <c r="D357" s="28">
        <f t="shared" si="67"/>
        <v>6.7058531791956755</v>
      </c>
      <c r="E357" s="28">
        <f>TDIST(C357,ROUND(D357,0),2)</f>
        <v>0.89968646761110871</v>
      </c>
      <c r="F357" s="28">
        <f>TINV(F354,ROUND(D357,0))</f>
        <v>2.3646242515927849</v>
      </c>
      <c r="G357" s="28">
        <f>(C345-C346)-F357*B357</f>
        <v>-0.53834934193142236</v>
      </c>
      <c r="H357" s="28">
        <f>(C345-C346)+F357*B357</f>
        <v>0.60134567661555705</v>
      </c>
      <c r="I357" s="28" t="str">
        <f>IF(E357&lt;F354,"yes","no")</f>
        <v>no</v>
      </c>
      <c r="J357" s="28">
        <f>J356</f>
        <v>5.0409136685371184E-2</v>
      </c>
      <c r="K357" s="28"/>
      <c r="L357" s="28" t="s">
        <v>279</v>
      </c>
      <c r="M357" s="359">
        <f>1-NORMSDIST(M354)</f>
        <v>0.42505336956926287</v>
      </c>
      <c r="N357" s="339">
        <f>2*M357</f>
        <v>0.85010673913852575</v>
      </c>
      <c r="O357" s="28"/>
    </row>
    <row r="358" spans="1:15" ht="21" customHeight="1" x14ac:dyDescent="0.25">
      <c r="A358" s="354"/>
      <c r="B358" s="354"/>
      <c r="C358" s="354"/>
      <c r="D358" s="354"/>
      <c r="E358" s="354"/>
      <c r="F358" s="354"/>
      <c r="G358" s="354"/>
      <c r="H358" s="354"/>
      <c r="I358" s="354"/>
      <c r="J358" s="354"/>
      <c r="K358" s="28"/>
      <c r="L358" s="28" t="s">
        <v>302</v>
      </c>
      <c r="M358" s="360" t="str">
        <f>IF(M357&lt;M350,"yes","no")</f>
        <v>no</v>
      </c>
      <c r="N358" s="361" t="str">
        <f>IF(N357&lt;M350,"yes","no")</f>
        <v>no</v>
      </c>
      <c r="O358" s="28"/>
    </row>
    <row r="359" spans="1:15" ht="21" customHeight="1" x14ac:dyDescent="0.25">
      <c r="A359" s="28"/>
      <c r="B359" s="28"/>
      <c r="C359" s="28"/>
      <c r="D359" s="28"/>
      <c r="E359" s="28"/>
      <c r="F359" s="28"/>
      <c r="G359" s="28"/>
      <c r="H359" s="28"/>
      <c r="I359" s="28"/>
      <c r="J359" s="28"/>
      <c r="K359" s="28"/>
      <c r="L359" s="28"/>
      <c r="M359" s="28"/>
      <c r="N359" s="28"/>
      <c r="O359" s="28"/>
    </row>
    <row r="360" spans="1:15" ht="21" customHeight="1" x14ac:dyDescent="0.25">
      <c r="A360" s="28"/>
      <c r="B360" s="28"/>
      <c r="C360" s="28"/>
      <c r="D360" s="28"/>
      <c r="E360" s="28"/>
      <c r="F360" s="28"/>
      <c r="G360" s="28"/>
      <c r="H360" s="28"/>
      <c r="I360" s="28"/>
      <c r="J360" s="28"/>
      <c r="K360" s="28"/>
      <c r="L360" s="28" t="s">
        <v>301</v>
      </c>
      <c r="M360" s="358">
        <f>[1]!MCRIT(M344,N344,M350,1)</f>
        <v>4</v>
      </c>
      <c r="N360" s="358">
        <f>[1]!MCRIT(M344,N344,M350,2)</f>
        <v>3</v>
      </c>
      <c r="O360" s="28"/>
    </row>
    <row r="361" spans="1:15" ht="21" customHeight="1" x14ac:dyDescent="0.25">
      <c r="A361" s="28"/>
      <c r="B361" s="28"/>
      <c r="C361" s="28"/>
      <c r="D361" s="28"/>
      <c r="E361" s="28"/>
      <c r="F361" s="28"/>
      <c r="G361" s="28"/>
      <c r="H361" s="28"/>
      <c r="I361" s="28"/>
      <c r="J361" s="28"/>
      <c r="K361" s="28"/>
      <c r="L361" s="28" t="s">
        <v>311</v>
      </c>
      <c r="M361" s="360" t="str">
        <f>IF(ISNUMBER(M360),IF(M351&lt;M360,"yes","no"),"no")</f>
        <v>no</v>
      </c>
      <c r="N361" s="360" t="str">
        <f>IF(ISNUMBER(N360),IF(M351&lt;N360,"yes","no"),"no")</f>
        <v>no</v>
      </c>
      <c r="O361" s="28"/>
    </row>
    <row r="362" spans="1:15" ht="21" customHeight="1" x14ac:dyDescent="0.25">
      <c r="A362" s="28"/>
      <c r="B362" s="28"/>
      <c r="C362" s="28"/>
      <c r="D362" s="28"/>
      <c r="E362" s="28"/>
      <c r="F362" s="28"/>
      <c r="G362" s="28"/>
      <c r="H362" s="28"/>
      <c r="I362" s="28"/>
      <c r="J362" s="28"/>
      <c r="K362" s="28"/>
      <c r="L362" s="28"/>
      <c r="M362" s="28"/>
      <c r="N362" s="28"/>
      <c r="O362" s="28"/>
    </row>
    <row r="363" spans="1:15" ht="21" customHeight="1" x14ac:dyDescent="0.25">
      <c r="A363" s="28"/>
      <c r="B363" s="28"/>
      <c r="C363" s="28"/>
      <c r="D363" s="28"/>
      <c r="E363" s="28"/>
      <c r="F363" s="28"/>
      <c r="G363" s="28"/>
      <c r="H363" s="28"/>
      <c r="I363" s="28"/>
      <c r="J363" s="28"/>
      <c r="K363" s="28"/>
      <c r="L363" s="28" t="s">
        <v>279</v>
      </c>
      <c r="M363" s="358">
        <f>[1]!MANN_EXACT(O41:O47,O61:O64,1)</f>
        <v>0.46363636363636362</v>
      </c>
      <c r="N363" s="358">
        <f>2*M363</f>
        <v>0.92727272727272725</v>
      </c>
      <c r="O363" s="28"/>
    </row>
    <row r="364" spans="1:15" ht="21" customHeight="1" x14ac:dyDescent="0.25">
      <c r="A364" s="28"/>
      <c r="B364" s="28"/>
      <c r="C364" s="28"/>
      <c r="D364" s="28"/>
      <c r="E364" s="28"/>
      <c r="F364" s="28"/>
      <c r="G364" s="28"/>
      <c r="H364" s="28"/>
      <c r="I364" s="28"/>
      <c r="J364" s="28"/>
      <c r="K364" s="28"/>
      <c r="L364" s="28" t="s">
        <v>303</v>
      </c>
      <c r="M364" s="360" t="str">
        <f>IF(M363&lt;M350,"yes","no")</f>
        <v>no</v>
      </c>
      <c r="N364" s="360" t="str">
        <f>IF(N363&lt;M350,"yes","no")</f>
        <v>no</v>
      </c>
      <c r="O364" s="28"/>
    </row>
    <row r="365" spans="1:15" ht="21" customHeight="1" x14ac:dyDescent="0.25">
      <c r="A365" s="28"/>
      <c r="B365" s="28"/>
      <c r="C365" s="28"/>
      <c r="D365" s="28"/>
      <c r="E365" s="28"/>
      <c r="F365" s="28"/>
      <c r="G365" s="28"/>
      <c r="H365" s="28"/>
      <c r="I365" s="28"/>
      <c r="J365" s="28"/>
      <c r="K365" s="28"/>
      <c r="L365" s="28"/>
      <c r="M365" s="28"/>
      <c r="N365" s="28"/>
      <c r="O365" s="28"/>
    </row>
    <row r="366" spans="1:15" ht="21" customHeight="1" x14ac:dyDescent="0.25">
      <c r="A366" s="28"/>
      <c r="B366" s="28"/>
      <c r="C366" s="28"/>
      <c r="D366" s="28"/>
      <c r="E366" s="28"/>
      <c r="F366" s="28"/>
      <c r="G366" s="28"/>
      <c r="H366" s="28"/>
      <c r="I366" s="28"/>
      <c r="J366" s="28"/>
      <c r="K366" s="28"/>
      <c r="L366" s="28"/>
      <c r="M366" s="28"/>
      <c r="N366" s="28"/>
      <c r="O366" s="28"/>
    </row>
    <row r="367" spans="1:15" ht="21" customHeight="1" x14ac:dyDescent="0.25">
      <c r="A367" s="349" t="s">
        <v>317</v>
      </c>
      <c r="B367" s="28"/>
      <c r="C367" s="28"/>
      <c r="D367" s="28"/>
      <c r="E367" s="28"/>
      <c r="F367" s="28"/>
      <c r="G367" s="28"/>
      <c r="H367" s="28"/>
      <c r="I367" s="28"/>
      <c r="J367" s="28"/>
      <c r="K367" s="28"/>
      <c r="L367" s="28"/>
      <c r="M367" s="28"/>
      <c r="N367" s="28"/>
      <c r="O367" s="28"/>
    </row>
    <row r="368" spans="1:15" ht="21" customHeight="1" x14ac:dyDescent="0.25">
      <c r="A368" s="28" t="s">
        <v>263</v>
      </c>
      <c r="B368" s="28"/>
      <c r="C368" s="28"/>
      <c r="D368" s="28"/>
      <c r="E368" s="28"/>
      <c r="F368" s="28"/>
      <c r="G368" s="28"/>
      <c r="H368" s="28"/>
      <c r="I368" s="28"/>
      <c r="J368" s="28"/>
      <c r="K368" s="28"/>
      <c r="L368" s="28" t="s">
        <v>288</v>
      </c>
      <c r="M368" s="28"/>
      <c r="N368" s="28"/>
      <c r="O368" s="28"/>
    </row>
    <row r="369" spans="1:15" ht="21" customHeight="1" x14ac:dyDescent="0.25">
      <c r="A369" s="28"/>
      <c r="B369" s="28"/>
      <c r="C369" s="28"/>
      <c r="D369" s="28"/>
      <c r="E369" s="28"/>
      <c r="F369" s="28"/>
      <c r="G369" s="28"/>
      <c r="H369" s="28"/>
      <c r="I369" s="28"/>
      <c r="J369" s="28"/>
      <c r="K369" s="28"/>
      <c r="L369" s="28"/>
      <c r="M369" s="28"/>
      <c r="N369" s="28"/>
      <c r="O369" s="28"/>
    </row>
    <row r="370" spans="1:15" ht="21" customHeight="1" thickBot="1" x14ac:dyDescent="0.3">
      <c r="A370" s="28" t="s">
        <v>264</v>
      </c>
      <c r="B370" s="28"/>
      <c r="C370" s="28"/>
      <c r="D370" s="28" t="s">
        <v>265</v>
      </c>
      <c r="E370" s="28">
        <v>0</v>
      </c>
      <c r="F370" s="28"/>
      <c r="G370" s="28"/>
      <c r="H370" s="28"/>
      <c r="I370" s="28"/>
      <c r="J370" s="28"/>
      <c r="K370" s="28"/>
      <c r="L370" s="28"/>
      <c r="M370" s="28" t="s">
        <v>289</v>
      </c>
      <c r="N370" s="28" t="s">
        <v>290</v>
      </c>
      <c r="O370" s="28"/>
    </row>
    <row r="371" spans="1:15" ht="21" customHeight="1" thickTop="1" x14ac:dyDescent="0.25">
      <c r="A371" s="350" t="s">
        <v>266</v>
      </c>
      <c r="B371" s="350" t="s">
        <v>267</v>
      </c>
      <c r="C371" s="350" t="s">
        <v>117</v>
      </c>
      <c r="D371" s="350" t="s">
        <v>268</v>
      </c>
      <c r="E371" s="350" t="s">
        <v>269</v>
      </c>
      <c r="F371" s="28"/>
      <c r="G371" s="28"/>
      <c r="H371" s="28"/>
      <c r="I371" s="28"/>
      <c r="J371" s="28"/>
      <c r="K371" s="28"/>
      <c r="L371" s="28" t="s">
        <v>291</v>
      </c>
      <c r="M371" s="351">
        <f>COUNT(P40:P47)</f>
        <v>8</v>
      </c>
      <c r="N371" s="352">
        <f>COUNT(P60:P64)</f>
        <v>5</v>
      </c>
      <c r="O371" s="28"/>
    </row>
    <row r="372" spans="1:15" ht="21" customHeight="1" x14ac:dyDescent="0.25">
      <c r="A372" s="28" t="s">
        <v>270</v>
      </c>
      <c r="B372" s="28">
        <f>COUNT(P40:P47)</f>
        <v>8</v>
      </c>
      <c r="C372" s="28">
        <f>AVERAGE(P40:P47)</f>
        <v>3.2220404170046728</v>
      </c>
      <c r="D372" s="28">
        <f>VAR(P40:P47)</f>
        <v>0.13515026772221411</v>
      </c>
      <c r="E372" s="28"/>
      <c r="F372" s="28"/>
      <c r="G372" s="28"/>
      <c r="H372" s="28"/>
      <c r="I372" s="28"/>
      <c r="J372" s="28"/>
      <c r="K372" s="28"/>
      <c r="L372" s="28" t="s">
        <v>292</v>
      </c>
      <c r="M372" s="353">
        <f>MEDIAN(P40:P47)</f>
        <v>3.3802112417116059</v>
      </c>
      <c r="N372" s="339">
        <f>MEDIAN(P60:P64)</f>
        <v>3.2329961103921536</v>
      </c>
      <c r="O372" s="28"/>
    </row>
    <row r="373" spans="1:15" ht="21" customHeight="1" x14ac:dyDescent="0.25">
      <c r="A373" s="28" t="s">
        <v>271</v>
      </c>
      <c r="B373" s="28">
        <f>COUNT(P60:P64)</f>
        <v>5</v>
      </c>
      <c r="C373" s="28">
        <f>AVERAGE(P60:P64)</f>
        <v>3.2895094046746882</v>
      </c>
      <c r="D373" s="28">
        <f>VAR(P60:P64)</f>
        <v>3.4997366157192469E-2</v>
      </c>
      <c r="E373" s="28"/>
      <c r="F373" s="28"/>
      <c r="G373" s="28"/>
      <c r="H373" s="28"/>
      <c r="I373" s="28"/>
      <c r="J373" s="28"/>
      <c r="K373" s="28"/>
      <c r="L373" s="28" t="s">
        <v>293</v>
      </c>
      <c r="M373" s="353">
        <v>55</v>
      </c>
      <c r="N373" s="339">
        <v>36</v>
      </c>
      <c r="O373" s="28"/>
    </row>
    <row r="374" spans="1:15" ht="21" customHeight="1" x14ac:dyDescent="0.25">
      <c r="A374" s="354" t="s">
        <v>272</v>
      </c>
      <c r="B374" s="354"/>
      <c r="C374" s="354"/>
      <c r="D374" s="354">
        <f>((B372-1)*D372+(B373-1)*D373)/(B372+B373-2)</f>
        <v>9.8731030789478966E-2</v>
      </c>
      <c r="E374" s="354">
        <f>ABS(C372-C373-E370)/SQRT(D374)</f>
        <v>0.21472240274223114</v>
      </c>
      <c r="F374" s="28"/>
      <c r="G374" s="28"/>
      <c r="H374" s="28"/>
      <c r="I374" s="28"/>
      <c r="J374" s="28"/>
      <c r="K374" s="28"/>
      <c r="L374" s="28" t="s">
        <v>294</v>
      </c>
      <c r="M374" s="355">
        <f>M371*N371+M371*(M371+1)/2-M373</f>
        <v>21</v>
      </c>
      <c r="N374" s="356">
        <f>M371*N371+N371*(N371+1)/2-N373</f>
        <v>19</v>
      </c>
      <c r="O374" s="28"/>
    </row>
    <row r="375" spans="1:15" ht="21" customHeight="1" x14ac:dyDescent="0.25">
      <c r="A375" s="28"/>
      <c r="B375" s="28"/>
      <c r="C375" s="28"/>
      <c r="D375" s="28"/>
      <c r="E375" s="28"/>
      <c r="F375" s="28"/>
      <c r="G375" s="28"/>
      <c r="H375" s="28"/>
      <c r="I375" s="28"/>
      <c r="J375" s="28"/>
      <c r="K375" s="28"/>
      <c r="L375" s="28"/>
      <c r="M375" s="28"/>
      <c r="N375" s="28"/>
      <c r="O375" s="28"/>
    </row>
    <row r="376" spans="1:15" ht="21" customHeight="1" thickBot="1" x14ac:dyDescent="0.3">
      <c r="A376" s="28" t="s">
        <v>273</v>
      </c>
      <c r="B376" s="28"/>
      <c r="C376" s="28"/>
      <c r="D376" s="28"/>
      <c r="E376" s="28" t="s">
        <v>274</v>
      </c>
      <c r="F376" s="28">
        <v>0.05</v>
      </c>
      <c r="G376" s="28"/>
      <c r="H376" s="28"/>
      <c r="I376" s="28"/>
      <c r="J376" s="28"/>
      <c r="K376" s="28"/>
      <c r="L376" s="28"/>
      <c r="M376" s="357" t="s">
        <v>295</v>
      </c>
      <c r="N376" s="357" t="s">
        <v>296</v>
      </c>
      <c r="O376" s="28"/>
    </row>
    <row r="377" spans="1:15" ht="21" customHeight="1" thickTop="1" x14ac:dyDescent="0.25">
      <c r="A377" s="350" t="s">
        <v>275</v>
      </c>
      <c r="B377" s="350" t="s">
        <v>276</v>
      </c>
      <c r="C377" s="350" t="s">
        <v>277</v>
      </c>
      <c r="D377" s="350" t="s">
        <v>278</v>
      </c>
      <c r="E377" s="350" t="s">
        <v>279</v>
      </c>
      <c r="F377" s="350" t="s">
        <v>280</v>
      </c>
      <c r="G377" s="350" t="s">
        <v>281</v>
      </c>
      <c r="H377" s="350" t="s">
        <v>282</v>
      </c>
      <c r="I377" s="350" t="s">
        <v>283</v>
      </c>
      <c r="J377" s="350" t="s">
        <v>284</v>
      </c>
      <c r="K377" s="28"/>
      <c r="L377" s="28" t="s">
        <v>297</v>
      </c>
      <c r="M377" s="358">
        <v>0.05</v>
      </c>
      <c r="N377" s="28"/>
      <c r="O377" s="28"/>
    </row>
    <row r="378" spans="1:15" ht="21" customHeight="1" x14ac:dyDescent="0.25">
      <c r="A378" s="28" t="s">
        <v>285</v>
      </c>
      <c r="B378" s="28">
        <f>SQRT(D374*(1/B372+1/B373))</f>
        <v>0.17913007845300763</v>
      </c>
      <c r="C378" s="28">
        <f>(ABS(C372-C373-E370))/B378</f>
        <v>0.37664801049989488</v>
      </c>
      <c r="D378" s="28">
        <f>B372+B373-2</f>
        <v>11</v>
      </c>
      <c r="E378" s="28">
        <f>TDIST(C378,D378,1)</f>
        <v>0.35679975137993986</v>
      </c>
      <c r="F378" s="28">
        <f>TINV(F376*2,D378)</f>
        <v>1.7958848187040437</v>
      </c>
      <c r="G378" s="28"/>
      <c r="H378" s="28"/>
      <c r="I378" s="28" t="str">
        <f>IF(E378&lt;F376,"yes","no")</f>
        <v>no</v>
      </c>
      <c r="J378" s="28">
        <f>SQRT(C378^2/(C378^2+D378))</f>
        <v>0.11283835770441659</v>
      </c>
      <c r="K378" s="28"/>
      <c r="L378" s="28" t="s">
        <v>294</v>
      </c>
      <c r="M378" s="359">
        <f>MIN(M374,N374)</f>
        <v>19</v>
      </c>
      <c r="N378" s="28"/>
      <c r="O378" s="28"/>
    </row>
    <row r="379" spans="1:15" ht="21" customHeight="1" x14ac:dyDescent="0.25">
      <c r="A379" s="28" t="s">
        <v>286</v>
      </c>
      <c r="B379" s="28">
        <f>B378</f>
        <v>0.17913007845300763</v>
      </c>
      <c r="C379" s="28">
        <f t="shared" ref="C379:D379" si="68">C378</f>
        <v>0.37664801049989488</v>
      </c>
      <c r="D379" s="28">
        <f t="shared" si="68"/>
        <v>11</v>
      </c>
      <c r="E379" s="28">
        <f>TDIST(C379,D379,2)</f>
        <v>0.71359950275987971</v>
      </c>
      <c r="F379" s="28">
        <f>TINV(F376,D379)</f>
        <v>2.2009851600916384</v>
      </c>
      <c r="G379" s="28">
        <f>(C372-C373)-F379*B379</f>
        <v>-0.46173163207113616</v>
      </c>
      <c r="H379" s="28">
        <f>(C372-C373)+F379*B379</f>
        <v>0.32679365673110533</v>
      </c>
      <c r="I379" s="28" t="str">
        <f>IF(E379&lt;F376,"yes","no")</f>
        <v>no</v>
      </c>
      <c r="J379" s="28">
        <f>J378</f>
        <v>0.11283835770441659</v>
      </c>
      <c r="K379" s="28"/>
      <c r="L379" s="28" t="s">
        <v>298</v>
      </c>
      <c r="M379" s="359">
        <f>M371*N371/2</f>
        <v>20</v>
      </c>
      <c r="N379" s="28"/>
      <c r="O379" s="28"/>
    </row>
    <row r="380" spans="1:15" ht="21" customHeight="1" x14ac:dyDescent="0.25">
      <c r="A380" s="354"/>
      <c r="B380" s="354"/>
      <c r="C380" s="354"/>
      <c r="D380" s="354"/>
      <c r="E380" s="354"/>
      <c r="F380" s="354"/>
      <c r="G380" s="354"/>
      <c r="H380" s="354"/>
      <c r="I380" s="354"/>
      <c r="J380" s="354"/>
      <c r="K380" s="28"/>
      <c r="L380" s="28" t="s">
        <v>299</v>
      </c>
      <c r="M380" s="359">
        <v>6.8125073512075129</v>
      </c>
      <c r="N380" s="28" t="s">
        <v>300</v>
      </c>
      <c r="O380" s="28"/>
    </row>
    <row r="381" spans="1:15" ht="21" customHeight="1" thickBot="1" x14ac:dyDescent="0.3">
      <c r="A381" s="28" t="s">
        <v>287</v>
      </c>
      <c r="B381" s="28"/>
      <c r="C381" s="28"/>
      <c r="D381" s="28"/>
      <c r="E381" s="28" t="s">
        <v>274</v>
      </c>
      <c r="F381" s="28">
        <f>F376</f>
        <v>0.05</v>
      </c>
      <c r="G381" s="28"/>
      <c r="H381" s="28"/>
      <c r="I381" s="28"/>
      <c r="J381" s="28"/>
      <c r="K381" s="28"/>
      <c r="L381" s="28" t="s">
        <v>19</v>
      </c>
      <c r="M381" s="359">
        <f>ABS(STANDARDIZE(M378,M379,M380))</f>
        <v>0.14678883242933316</v>
      </c>
      <c r="N381" s="28"/>
      <c r="O381" s="28"/>
    </row>
    <row r="382" spans="1:15" ht="21" customHeight="1" thickTop="1" x14ac:dyDescent="0.25">
      <c r="A382" s="350" t="s">
        <v>275</v>
      </c>
      <c r="B382" s="350" t="s">
        <v>276</v>
      </c>
      <c r="C382" s="350" t="s">
        <v>277</v>
      </c>
      <c r="D382" s="350" t="s">
        <v>278</v>
      </c>
      <c r="E382" s="350" t="s">
        <v>279</v>
      </c>
      <c r="F382" s="350" t="s">
        <v>280</v>
      </c>
      <c r="G382" s="350" t="s">
        <v>281</v>
      </c>
      <c r="H382" s="350" t="s">
        <v>282</v>
      </c>
      <c r="I382" s="350" t="s">
        <v>283</v>
      </c>
      <c r="J382" s="350" t="s">
        <v>284</v>
      </c>
      <c r="K382" s="28"/>
      <c r="L382" s="28" t="s">
        <v>284</v>
      </c>
      <c r="M382" s="359">
        <f>M381/SQRT(M371+N371)</f>
        <v>4.071189707611169E-2</v>
      </c>
      <c r="N382" s="28"/>
      <c r="O382" s="28"/>
    </row>
    <row r="383" spans="1:15" ht="21" customHeight="1" x14ac:dyDescent="0.25">
      <c r="A383" s="28" t="s">
        <v>285</v>
      </c>
      <c r="B383" s="28">
        <f>SQRT(D372/B372+D373/B373)</f>
        <v>0.15457443739737581</v>
      </c>
      <c r="C383" s="28">
        <f>(ABS(C372-C373-E370))/B383</f>
        <v>0.43648218169843928</v>
      </c>
      <c r="D383" s="28">
        <f>(D372/B372+D373/B373)^2/((D372/B372)^2/(B372-1)+(D373/B373)^2/(B373-1))</f>
        <v>10.767489777839268</v>
      </c>
      <c r="E383" s="28">
        <f>TDIST(C383,ROUND(D383,0),1)</f>
        <v>0.33546526738055493</v>
      </c>
      <c r="F383" s="28">
        <f>TINV(F381*2,ROUND(D383,0))</f>
        <v>1.7958848187040437</v>
      </c>
      <c r="G383" s="28"/>
      <c r="H383" s="28"/>
      <c r="I383" s="28" t="str">
        <f>IF(E383&lt;F381,"yes","no")</f>
        <v>no</v>
      </c>
      <c r="J383" s="28">
        <f>SQRT(C383^2/(C383^2+D383))</f>
        <v>0.13185625694424707</v>
      </c>
      <c r="K383" s="28"/>
      <c r="L383" s="28" t="s">
        <v>301</v>
      </c>
      <c r="M383" s="358">
        <f>M379+M380*NORMSINV(M377)</f>
        <v>8.7944225747327529</v>
      </c>
      <c r="N383" s="352">
        <f>M379+M380*NORMSINV(M377/2)</f>
        <v>6.6477309472189159</v>
      </c>
      <c r="O383" s="28"/>
    </row>
    <row r="384" spans="1:15" ht="21" customHeight="1" x14ac:dyDescent="0.25">
      <c r="A384" s="28" t="s">
        <v>286</v>
      </c>
      <c r="B384" s="28">
        <f>B383</f>
        <v>0.15457443739737581</v>
      </c>
      <c r="C384" s="28">
        <f t="shared" ref="C384:D384" si="69">C383</f>
        <v>0.43648218169843928</v>
      </c>
      <c r="D384" s="28">
        <f t="shared" si="69"/>
        <v>10.767489777839268</v>
      </c>
      <c r="E384" s="28">
        <f>TDIST(C384,ROUND(D384,0),2)</f>
        <v>0.67093053476110986</v>
      </c>
      <c r="F384" s="28">
        <f>TINV(F381,ROUND(D384,0))</f>
        <v>2.2009851600916384</v>
      </c>
      <c r="G384" s="28">
        <f>(C372-C373)-F384*B384</f>
        <v>-0.40768503051115351</v>
      </c>
      <c r="H384" s="28">
        <f>(C372-C373)+F384*B384</f>
        <v>0.27274705517112269</v>
      </c>
      <c r="I384" s="28" t="str">
        <f>IF(E384&lt;F381,"yes","no")</f>
        <v>no</v>
      </c>
      <c r="J384" s="28">
        <f>J383</f>
        <v>0.13185625694424707</v>
      </c>
      <c r="K384" s="28"/>
      <c r="L384" s="28" t="s">
        <v>279</v>
      </c>
      <c r="M384" s="359">
        <f>1-NORMSDIST(M381)</f>
        <v>0.44164934981405168</v>
      </c>
      <c r="N384" s="339">
        <f>2*M384</f>
        <v>0.88329869962810337</v>
      </c>
      <c r="O384" s="28"/>
    </row>
    <row r="385" spans="1:15" ht="21" customHeight="1" x14ac:dyDescent="0.25">
      <c r="A385" s="354"/>
      <c r="B385" s="354"/>
      <c r="C385" s="354"/>
      <c r="D385" s="354"/>
      <c r="E385" s="354"/>
      <c r="F385" s="354"/>
      <c r="G385" s="354"/>
      <c r="H385" s="354"/>
      <c r="I385" s="354"/>
      <c r="J385" s="354"/>
      <c r="K385" s="28"/>
      <c r="L385" s="28" t="s">
        <v>302</v>
      </c>
      <c r="M385" s="360" t="str">
        <f>IF(M384&lt;M377,"yes","no")</f>
        <v>no</v>
      </c>
      <c r="N385" s="361" t="str">
        <f>IF(N384&lt;M377,"yes","no")</f>
        <v>no</v>
      </c>
      <c r="O385" s="28"/>
    </row>
    <row r="386" spans="1:15" ht="21" customHeight="1" x14ac:dyDescent="0.25">
      <c r="A386" s="28"/>
      <c r="B386" s="28"/>
      <c r="C386" s="28"/>
      <c r="D386" s="28"/>
      <c r="E386" s="28"/>
      <c r="F386" s="28"/>
      <c r="G386" s="28"/>
      <c r="H386" s="28"/>
      <c r="I386" s="28"/>
      <c r="J386" s="28"/>
      <c r="K386" s="28"/>
      <c r="L386" s="28"/>
      <c r="M386" s="28"/>
      <c r="N386" s="28"/>
      <c r="O386" s="28"/>
    </row>
    <row r="387" spans="1:15" ht="21" customHeight="1" x14ac:dyDescent="0.25">
      <c r="A387" s="28"/>
      <c r="B387" s="28"/>
      <c r="C387" s="28"/>
      <c r="D387" s="28"/>
      <c r="E387" s="28"/>
      <c r="F387" s="28"/>
      <c r="G387" s="28"/>
      <c r="H387" s="28"/>
      <c r="I387" s="28"/>
      <c r="J387" s="28"/>
      <c r="K387" s="28"/>
      <c r="L387" s="28" t="s">
        <v>301</v>
      </c>
      <c r="M387" s="358">
        <f>[1]!MCRIT(M371,N371,M377,1)</f>
        <v>8</v>
      </c>
      <c r="N387" s="358">
        <f>[1]!MCRIT(M371,N371,M377,2)</f>
        <v>6</v>
      </c>
      <c r="O387" s="28"/>
    </row>
    <row r="388" spans="1:15" ht="21" customHeight="1" x14ac:dyDescent="0.25">
      <c r="A388" s="28"/>
      <c r="B388" s="28"/>
      <c r="C388" s="28"/>
      <c r="D388" s="28"/>
      <c r="E388" s="28"/>
      <c r="F388" s="28"/>
      <c r="G388" s="28"/>
      <c r="H388" s="28"/>
      <c r="I388" s="28"/>
      <c r="J388" s="28"/>
      <c r="K388" s="28"/>
      <c r="L388" s="28" t="s">
        <v>311</v>
      </c>
      <c r="M388" s="360" t="str">
        <f>IF(ISNUMBER(M387),IF(M378&lt;M387,"yes","no"),"no")</f>
        <v>no</v>
      </c>
      <c r="N388" s="360" t="str">
        <f>IF(ISNUMBER(N387),IF(M378&lt;N387,"yes","no"),"no")</f>
        <v>no</v>
      </c>
      <c r="O388" s="28"/>
    </row>
    <row r="389" spans="1:15" ht="21" customHeight="1" x14ac:dyDescent="0.25">
      <c r="A389" s="28"/>
      <c r="B389" s="28"/>
      <c r="C389" s="28"/>
      <c r="D389" s="28"/>
      <c r="E389" s="28"/>
      <c r="F389" s="28"/>
      <c r="G389" s="28"/>
      <c r="H389" s="28"/>
      <c r="I389" s="28"/>
      <c r="J389" s="28"/>
      <c r="K389" s="28"/>
      <c r="L389" s="28"/>
      <c r="M389" s="28"/>
      <c r="N389" s="28"/>
      <c r="O389" s="28"/>
    </row>
    <row r="390" spans="1:15" ht="21" customHeight="1" x14ac:dyDescent="0.25">
      <c r="A390" s="28"/>
      <c r="B390" s="28"/>
      <c r="C390" s="28"/>
      <c r="D390" s="28"/>
      <c r="E390" s="28"/>
      <c r="F390" s="28"/>
      <c r="G390" s="28"/>
      <c r="H390" s="28"/>
      <c r="I390" s="28"/>
      <c r="J390" s="28"/>
      <c r="K390" s="28"/>
      <c r="L390" s="28" t="s">
        <v>279</v>
      </c>
      <c r="M390" s="358">
        <f>[1]!MANN_EXACT(P40:P47,P60:P64,1)</f>
        <v>0.47163947163947162</v>
      </c>
      <c r="N390" s="358">
        <f>2*M390</f>
        <v>0.94327894327894324</v>
      </c>
      <c r="O390" s="28"/>
    </row>
    <row r="391" spans="1:15" ht="21" customHeight="1" x14ac:dyDescent="0.25">
      <c r="A391" s="28"/>
      <c r="B391" s="28"/>
      <c r="C391" s="28"/>
      <c r="D391" s="28"/>
      <c r="E391" s="28"/>
      <c r="F391" s="28"/>
      <c r="G391" s="28"/>
      <c r="H391" s="28"/>
      <c r="I391" s="28"/>
      <c r="J391" s="28"/>
      <c r="K391" s="28"/>
      <c r="L391" s="28" t="s">
        <v>303</v>
      </c>
      <c r="M391" s="360" t="str">
        <f>IF(M390&lt;M377,"yes","no")</f>
        <v>no</v>
      </c>
      <c r="N391" s="360" t="str">
        <f>IF(N390&lt;M377,"yes","no")</f>
        <v>no</v>
      </c>
      <c r="O391" s="28"/>
    </row>
    <row r="392" spans="1:15" ht="21" customHeight="1" x14ac:dyDescent="0.25">
      <c r="A392" s="28"/>
      <c r="B392" s="28"/>
      <c r="C392" s="28"/>
      <c r="D392" s="28"/>
      <c r="E392" s="28"/>
      <c r="F392" s="28"/>
      <c r="G392" s="28"/>
      <c r="H392" s="28"/>
      <c r="I392" s="28"/>
      <c r="J392" s="28"/>
      <c r="K392" s="28"/>
      <c r="L392" s="28"/>
      <c r="M392" s="28"/>
      <c r="N392" s="28"/>
      <c r="O392" s="28"/>
    </row>
    <row r="393" spans="1:15" ht="21" customHeight="1" x14ac:dyDescent="0.25">
      <c r="A393" s="28"/>
      <c r="B393" s="28"/>
      <c r="C393" s="28"/>
      <c r="D393" s="28"/>
      <c r="E393" s="28"/>
      <c r="F393" s="28"/>
      <c r="G393" s="28"/>
      <c r="H393" s="28"/>
      <c r="I393" s="28"/>
      <c r="J393" s="28"/>
      <c r="K393" s="28"/>
      <c r="L393" s="28"/>
      <c r="M393" s="28"/>
      <c r="N393" s="28"/>
      <c r="O393" s="28"/>
    </row>
    <row r="394" spans="1:15" ht="21" customHeight="1" x14ac:dyDescent="0.25">
      <c r="A394" s="28"/>
      <c r="B394" s="28"/>
      <c r="C394" s="28"/>
      <c r="D394" s="28"/>
      <c r="E394" s="28"/>
      <c r="F394" s="28"/>
      <c r="G394" s="28"/>
      <c r="H394" s="28"/>
      <c r="I394" s="28"/>
      <c r="J394" s="28"/>
      <c r="K394" s="28"/>
      <c r="L394" s="28"/>
      <c r="M394" s="28"/>
      <c r="N394" s="28"/>
      <c r="O394" s="28"/>
    </row>
    <row r="395" spans="1:15" ht="21" customHeight="1" x14ac:dyDescent="0.25">
      <c r="A395" s="349" t="s">
        <v>318</v>
      </c>
      <c r="B395" s="28"/>
      <c r="C395" s="28"/>
      <c r="D395" s="28"/>
      <c r="E395" s="28"/>
      <c r="F395" s="28"/>
      <c r="G395" s="28"/>
      <c r="H395" s="28"/>
      <c r="I395" s="28"/>
      <c r="J395" s="28"/>
      <c r="K395" s="28"/>
      <c r="L395" s="28"/>
      <c r="M395" s="28"/>
      <c r="N395" s="28"/>
      <c r="O395" s="28"/>
    </row>
    <row r="396" spans="1:15" ht="21" customHeight="1" x14ac:dyDescent="0.25">
      <c r="A396" s="28" t="s">
        <v>263</v>
      </c>
      <c r="B396" s="28"/>
      <c r="C396" s="28"/>
      <c r="D396" s="28"/>
      <c r="E396" s="28"/>
      <c r="F396" s="28"/>
      <c r="G396" s="28"/>
      <c r="H396" s="28"/>
      <c r="I396" s="28"/>
      <c r="J396" s="28"/>
      <c r="K396" s="28"/>
      <c r="L396" s="28" t="s">
        <v>288</v>
      </c>
      <c r="M396" s="28"/>
      <c r="N396" s="28"/>
      <c r="O396" s="28"/>
    </row>
    <row r="397" spans="1:15" ht="21" customHeight="1" x14ac:dyDescent="0.25">
      <c r="A397" s="28"/>
      <c r="B397" s="28"/>
      <c r="C397" s="28"/>
      <c r="D397" s="28"/>
      <c r="E397" s="28"/>
      <c r="F397" s="28"/>
      <c r="G397" s="28"/>
      <c r="H397" s="28"/>
      <c r="I397" s="28"/>
      <c r="J397" s="28"/>
      <c r="K397" s="28"/>
      <c r="L397" s="28"/>
      <c r="M397" s="28"/>
      <c r="N397" s="28"/>
      <c r="O397" s="28"/>
    </row>
    <row r="398" spans="1:15" ht="21" customHeight="1" thickBot="1" x14ac:dyDescent="0.3">
      <c r="A398" s="28" t="s">
        <v>264</v>
      </c>
      <c r="B398" s="28"/>
      <c r="C398" s="28"/>
      <c r="D398" s="28" t="s">
        <v>265</v>
      </c>
      <c r="E398" s="28">
        <v>0</v>
      </c>
      <c r="F398" s="28"/>
      <c r="G398" s="28"/>
      <c r="H398" s="28"/>
      <c r="I398" s="28"/>
      <c r="J398" s="28"/>
      <c r="K398" s="28"/>
      <c r="L398" s="28"/>
      <c r="M398" s="28" t="s">
        <v>289</v>
      </c>
      <c r="N398" s="28" t="s">
        <v>290</v>
      </c>
      <c r="O398" s="28"/>
    </row>
    <row r="399" spans="1:15" ht="21" customHeight="1" thickTop="1" x14ac:dyDescent="0.25">
      <c r="A399" s="350" t="s">
        <v>266</v>
      </c>
      <c r="B399" s="350" t="s">
        <v>267</v>
      </c>
      <c r="C399" s="350" t="s">
        <v>117</v>
      </c>
      <c r="D399" s="350" t="s">
        <v>268</v>
      </c>
      <c r="E399" s="350" t="s">
        <v>269</v>
      </c>
      <c r="F399" s="28"/>
      <c r="G399" s="28"/>
      <c r="H399" s="28"/>
      <c r="I399" s="28"/>
      <c r="J399" s="28"/>
      <c r="K399" s="28"/>
      <c r="L399" s="28" t="s">
        <v>291</v>
      </c>
      <c r="M399" s="351">
        <f>COUNT(Q40:Q47)</f>
        <v>8</v>
      </c>
      <c r="N399" s="352">
        <f>COUNT(Q60:Q64)</f>
        <v>5</v>
      </c>
      <c r="O399" s="28"/>
    </row>
    <row r="400" spans="1:15" ht="21" customHeight="1" x14ac:dyDescent="0.25">
      <c r="A400" s="28" t="s">
        <v>270</v>
      </c>
      <c r="B400" s="28">
        <f>COUNT(Q40:Q47)</f>
        <v>8</v>
      </c>
      <c r="C400" s="28">
        <f>AVERAGE(Q40:Q47)</f>
        <v>2.6577531125112981</v>
      </c>
      <c r="D400" s="28">
        <f>VAR(Q40:Q47)</f>
        <v>0.11418040864153259</v>
      </c>
      <c r="E400" s="28"/>
      <c r="F400" s="28"/>
      <c r="G400" s="28"/>
      <c r="H400" s="28"/>
      <c r="I400" s="28"/>
      <c r="J400" s="28"/>
      <c r="K400" s="28"/>
      <c r="L400" s="28" t="s">
        <v>292</v>
      </c>
      <c r="M400" s="353">
        <f>MEDIAN(Q40:Q47)</f>
        <v>2.72396643279609</v>
      </c>
      <c r="N400" s="339">
        <f>MEDIAN(Q60:Q64)</f>
        <v>2.8102325179950842</v>
      </c>
      <c r="O400" s="28"/>
    </row>
    <row r="401" spans="1:15" ht="21" customHeight="1" x14ac:dyDescent="0.25">
      <c r="A401" s="28" t="s">
        <v>271</v>
      </c>
      <c r="B401" s="28">
        <f>COUNT(Q60:Q64)</f>
        <v>5</v>
      </c>
      <c r="C401" s="28">
        <f>AVERAGE(Q60:Q64)</f>
        <v>2.7987578841088867</v>
      </c>
      <c r="D401" s="28">
        <f>VAR(Q60:Q64)</f>
        <v>1.7257708108868858E-2</v>
      </c>
      <c r="E401" s="28"/>
      <c r="F401" s="28"/>
      <c r="G401" s="28"/>
      <c r="H401" s="28"/>
      <c r="I401" s="28"/>
      <c r="J401" s="28"/>
      <c r="K401" s="28"/>
      <c r="L401" s="28" t="s">
        <v>293</v>
      </c>
      <c r="M401" s="353">
        <v>52</v>
      </c>
      <c r="N401" s="339">
        <v>39</v>
      </c>
      <c r="O401" s="28"/>
    </row>
    <row r="402" spans="1:15" ht="21" customHeight="1" x14ac:dyDescent="0.25">
      <c r="A402" s="354" t="s">
        <v>272</v>
      </c>
      <c r="B402" s="354"/>
      <c r="C402" s="354"/>
      <c r="D402" s="354">
        <f>((B400-1)*D400+(B401-1)*D401)/(B400+B401-2)</f>
        <v>7.8935790266018505E-2</v>
      </c>
      <c r="E402" s="354">
        <f>ABS(C400-C401-E398)/SQRT(D402)</f>
        <v>0.5018764631906486</v>
      </c>
      <c r="F402" s="28"/>
      <c r="G402" s="28"/>
      <c r="H402" s="28"/>
      <c r="I402" s="28"/>
      <c r="J402" s="28"/>
      <c r="K402" s="28"/>
      <c r="L402" s="28" t="s">
        <v>294</v>
      </c>
      <c r="M402" s="355">
        <f>M399*N399+M399*(M399+1)/2-M401</f>
        <v>24</v>
      </c>
      <c r="N402" s="356">
        <f>M399*N399+N399*(N399+1)/2-N401</f>
        <v>16</v>
      </c>
      <c r="O402" s="28"/>
    </row>
    <row r="403" spans="1:15" ht="21" customHeight="1" x14ac:dyDescent="0.25">
      <c r="A403" s="28"/>
      <c r="B403" s="28"/>
      <c r="C403" s="28"/>
      <c r="D403" s="28"/>
      <c r="E403" s="28"/>
      <c r="F403" s="28"/>
      <c r="G403" s="28"/>
      <c r="H403" s="28"/>
      <c r="I403" s="28"/>
      <c r="J403" s="28"/>
      <c r="K403" s="28"/>
      <c r="L403" s="28"/>
      <c r="M403" s="28"/>
      <c r="N403" s="28"/>
      <c r="O403" s="28"/>
    </row>
    <row r="404" spans="1:15" ht="21" customHeight="1" thickBot="1" x14ac:dyDescent="0.3">
      <c r="A404" s="28" t="s">
        <v>273</v>
      </c>
      <c r="B404" s="28"/>
      <c r="C404" s="28"/>
      <c r="D404" s="28"/>
      <c r="E404" s="28" t="s">
        <v>274</v>
      </c>
      <c r="F404" s="28">
        <v>0.05</v>
      </c>
      <c r="G404" s="28"/>
      <c r="H404" s="28"/>
      <c r="I404" s="28"/>
      <c r="J404" s="28"/>
      <c r="K404" s="28"/>
      <c r="L404" s="28"/>
      <c r="M404" s="357" t="s">
        <v>295</v>
      </c>
      <c r="N404" s="357" t="s">
        <v>296</v>
      </c>
      <c r="O404" s="28"/>
    </row>
    <row r="405" spans="1:15" ht="21" customHeight="1" thickTop="1" x14ac:dyDescent="0.25">
      <c r="A405" s="350" t="s">
        <v>275</v>
      </c>
      <c r="B405" s="350" t="s">
        <v>276</v>
      </c>
      <c r="C405" s="350" t="s">
        <v>277</v>
      </c>
      <c r="D405" s="350" t="s">
        <v>278</v>
      </c>
      <c r="E405" s="350" t="s">
        <v>279</v>
      </c>
      <c r="F405" s="350" t="s">
        <v>280</v>
      </c>
      <c r="G405" s="350" t="s">
        <v>281</v>
      </c>
      <c r="H405" s="350" t="s">
        <v>282</v>
      </c>
      <c r="I405" s="350" t="s">
        <v>283</v>
      </c>
      <c r="J405" s="350" t="s">
        <v>284</v>
      </c>
      <c r="K405" s="28"/>
      <c r="L405" s="28" t="s">
        <v>297</v>
      </c>
      <c r="M405" s="358">
        <v>0.05</v>
      </c>
      <c r="N405" s="28"/>
      <c r="O405" s="28"/>
    </row>
    <row r="406" spans="1:15" ht="21" customHeight="1" x14ac:dyDescent="0.25">
      <c r="A406" s="28" t="s">
        <v>285</v>
      </c>
      <c r="B406" s="28">
        <f>SQRT(D402*(1/B400+1/B401))</f>
        <v>0.16016907265903743</v>
      </c>
      <c r="C406" s="28">
        <f>(ABS(C400-C401-E398))/B406</f>
        <v>0.88034955348561494</v>
      </c>
      <c r="D406" s="28">
        <f>B400+B401-2</f>
        <v>11</v>
      </c>
      <c r="E406" s="28">
        <f>TDIST(C406,D406,1)</f>
        <v>0.19874804998052525</v>
      </c>
      <c r="F406" s="28">
        <f>TINV(F404*2,D406)</f>
        <v>1.7958848187040437</v>
      </c>
      <c r="G406" s="28"/>
      <c r="H406" s="28"/>
      <c r="I406" s="28" t="str">
        <f>IF(E406&lt;F404,"yes","no")</f>
        <v>no</v>
      </c>
      <c r="J406" s="28">
        <f>SQRT(C406^2/(C406^2+D406))</f>
        <v>0.25655141100545042</v>
      </c>
      <c r="K406" s="28"/>
      <c r="L406" s="28" t="s">
        <v>294</v>
      </c>
      <c r="M406" s="359">
        <f>MIN(M402,N402)</f>
        <v>16</v>
      </c>
      <c r="N406" s="28"/>
      <c r="O406" s="28"/>
    </row>
    <row r="407" spans="1:15" ht="21" customHeight="1" x14ac:dyDescent="0.25">
      <c r="A407" s="28" t="s">
        <v>286</v>
      </c>
      <c r="B407" s="28">
        <f>B406</f>
        <v>0.16016907265903743</v>
      </c>
      <c r="C407" s="28">
        <f t="shared" ref="C407:D407" si="70">C406</f>
        <v>0.88034955348561494</v>
      </c>
      <c r="D407" s="28">
        <f t="shared" si="70"/>
        <v>11</v>
      </c>
      <c r="E407" s="28">
        <f>TDIST(C407,D407,2)</f>
        <v>0.39749609996105051</v>
      </c>
      <c r="F407" s="28">
        <f>TINV(F404,D407)</f>
        <v>2.2009851600916384</v>
      </c>
      <c r="G407" s="28">
        <f>(C400-C401)-F407*B407</f>
        <v>-0.49353452362576938</v>
      </c>
      <c r="H407" s="28">
        <f>(C400-C401)+F407*B407</f>
        <v>0.21152498043059215</v>
      </c>
      <c r="I407" s="28" t="str">
        <f>IF(E407&lt;F404,"yes","no")</f>
        <v>no</v>
      </c>
      <c r="J407" s="28">
        <f>J406</f>
        <v>0.25655141100545042</v>
      </c>
      <c r="K407" s="28"/>
      <c r="L407" s="28" t="s">
        <v>298</v>
      </c>
      <c r="M407" s="359">
        <f>M399*N399/2</f>
        <v>20</v>
      </c>
      <c r="N407" s="28"/>
      <c r="O407" s="28"/>
    </row>
    <row r="408" spans="1:15" ht="21" customHeight="1" x14ac:dyDescent="0.25">
      <c r="A408" s="354"/>
      <c r="B408" s="354"/>
      <c r="C408" s="354"/>
      <c r="D408" s="354"/>
      <c r="E408" s="354"/>
      <c r="F408" s="354"/>
      <c r="G408" s="354"/>
      <c r="H408" s="354"/>
      <c r="I408" s="354"/>
      <c r="J408" s="354"/>
      <c r="K408" s="28"/>
      <c r="L408" s="28" t="s">
        <v>299</v>
      </c>
      <c r="M408" s="359">
        <v>6.831300510639732</v>
      </c>
      <c r="N408" s="28" t="s">
        <v>300</v>
      </c>
      <c r="O408" s="28"/>
    </row>
    <row r="409" spans="1:15" ht="21" customHeight="1" thickBot="1" x14ac:dyDescent="0.3">
      <c r="A409" s="28" t="s">
        <v>287</v>
      </c>
      <c r="B409" s="28"/>
      <c r="C409" s="28"/>
      <c r="D409" s="28"/>
      <c r="E409" s="28" t="s">
        <v>274</v>
      </c>
      <c r="F409" s="28">
        <f>F404</f>
        <v>0.05</v>
      </c>
      <c r="G409" s="28"/>
      <c r="H409" s="28"/>
      <c r="I409" s="28"/>
      <c r="J409" s="28"/>
      <c r="K409" s="28"/>
      <c r="L409" s="28" t="s">
        <v>19</v>
      </c>
      <c r="M409" s="359">
        <f>ABS(STANDARDIZE(M406,M407,M408))</f>
        <v>0.58554004376911994</v>
      </c>
      <c r="N409" s="28"/>
      <c r="O409" s="28"/>
    </row>
    <row r="410" spans="1:15" ht="21" customHeight="1" thickTop="1" x14ac:dyDescent="0.25">
      <c r="A410" s="350" t="s">
        <v>275</v>
      </c>
      <c r="B410" s="350" t="s">
        <v>276</v>
      </c>
      <c r="C410" s="350" t="s">
        <v>277</v>
      </c>
      <c r="D410" s="350" t="s">
        <v>278</v>
      </c>
      <c r="E410" s="350" t="s">
        <v>279</v>
      </c>
      <c r="F410" s="350" t="s">
        <v>280</v>
      </c>
      <c r="G410" s="350" t="s">
        <v>281</v>
      </c>
      <c r="H410" s="350" t="s">
        <v>282</v>
      </c>
      <c r="I410" s="350" t="s">
        <v>283</v>
      </c>
      <c r="J410" s="350" t="s">
        <v>284</v>
      </c>
      <c r="K410" s="28"/>
      <c r="L410" s="28" t="s">
        <v>284</v>
      </c>
      <c r="M410" s="359">
        <f>M409/SQRT(M399+N399)</f>
        <v>0.16239958858823006</v>
      </c>
      <c r="N410" s="28"/>
      <c r="O410" s="28"/>
    </row>
    <row r="411" spans="1:15" ht="21" customHeight="1" x14ac:dyDescent="0.25">
      <c r="A411" s="28" t="s">
        <v>285</v>
      </c>
      <c r="B411" s="28">
        <f>SQRT(D400/B400+D401/B401)</f>
        <v>0.13313186208404562</v>
      </c>
      <c r="C411" s="28">
        <f>(ABS(C400-C401-E398))/B411</f>
        <v>1.0591361781492461</v>
      </c>
      <c r="D411" s="28">
        <f>(D400/B400+D401/B401)^2/((D400/B400)^2/(B400-1)+(D401/B401)^2/(B401-1))</f>
        <v>9.7927762969227707</v>
      </c>
      <c r="E411" s="28">
        <f>TDIST(C411,ROUND(D411,0),1)</f>
        <v>0.15722497098936794</v>
      </c>
      <c r="F411" s="28">
        <f>TINV(F409*2,ROUND(D411,0))</f>
        <v>1.812461122811676</v>
      </c>
      <c r="G411" s="28"/>
      <c r="H411" s="28"/>
      <c r="I411" s="28" t="str">
        <f>IF(E411&lt;F409,"yes","no")</f>
        <v>no</v>
      </c>
      <c r="J411" s="28">
        <f>SQRT(C411^2/(C411^2+D411))</f>
        <v>0.32058926097687496</v>
      </c>
      <c r="K411" s="28"/>
      <c r="L411" s="28" t="s">
        <v>301</v>
      </c>
      <c r="M411" s="358">
        <f>M407+M408*NORMSINV(M405)</f>
        <v>8.7635105782787903</v>
      </c>
      <c r="N411" s="352">
        <f>M407+M408*NORMSINV(M405/2)</f>
        <v>6.6108970315760462</v>
      </c>
      <c r="O411" s="28"/>
    </row>
    <row r="412" spans="1:15" ht="21" customHeight="1" x14ac:dyDescent="0.25">
      <c r="A412" s="28" t="s">
        <v>286</v>
      </c>
      <c r="B412" s="28">
        <f>B411</f>
        <v>0.13313186208404562</v>
      </c>
      <c r="C412" s="28">
        <f t="shared" ref="C412:D412" si="71">C411</f>
        <v>1.0591361781492461</v>
      </c>
      <c r="D412" s="28">
        <f t="shared" si="71"/>
        <v>9.7927762969227707</v>
      </c>
      <c r="E412" s="28">
        <f>TDIST(C412,ROUND(D412,0),2)</f>
        <v>0.31444994197873588</v>
      </c>
      <c r="F412" s="28">
        <f>TINV(F409,ROUND(D412,0))</f>
        <v>2.2281388519862744</v>
      </c>
      <c r="G412" s="28">
        <f>(C400-C401)-F412*B412</f>
        <v>-0.43764104594432907</v>
      </c>
      <c r="H412" s="28">
        <f>(C400-C401)+F412*B412</f>
        <v>0.15563150274915183</v>
      </c>
      <c r="I412" s="28" t="str">
        <f>IF(E412&lt;F409,"yes","no")</f>
        <v>no</v>
      </c>
      <c r="J412" s="28">
        <f>J411</f>
        <v>0.32058926097687496</v>
      </c>
      <c r="K412" s="28"/>
      <c r="L412" s="28" t="s">
        <v>279</v>
      </c>
      <c r="M412" s="359">
        <f>1-NORMSDIST(M409)</f>
        <v>0.27909232471132861</v>
      </c>
      <c r="N412" s="339">
        <f>2*M412</f>
        <v>0.55818464942265722</v>
      </c>
      <c r="O412" s="28"/>
    </row>
    <row r="413" spans="1:15" ht="21" customHeight="1" x14ac:dyDescent="0.25">
      <c r="A413" s="354"/>
      <c r="B413" s="354"/>
      <c r="C413" s="354"/>
      <c r="D413" s="354"/>
      <c r="E413" s="354"/>
      <c r="F413" s="354"/>
      <c r="G413" s="354"/>
      <c r="H413" s="354"/>
      <c r="I413" s="354"/>
      <c r="J413" s="354"/>
      <c r="K413" s="28"/>
      <c r="L413" s="28" t="s">
        <v>302</v>
      </c>
      <c r="M413" s="360" t="str">
        <f>IF(M412&lt;M405,"yes","no")</f>
        <v>no</v>
      </c>
      <c r="N413" s="361" t="str">
        <f>IF(N412&lt;M405,"yes","no")</f>
        <v>no</v>
      </c>
      <c r="O413" s="28"/>
    </row>
    <row r="414" spans="1:15" ht="21" customHeight="1" x14ac:dyDescent="0.25">
      <c r="A414" s="28"/>
      <c r="B414" s="28"/>
      <c r="C414" s="28"/>
      <c r="D414" s="28"/>
      <c r="E414" s="28"/>
      <c r="F414" s="28"/>
      <c r="G414" s="28"/>
      <c r="H414" s="28"/>
      <c r="I414" s="28"/>
      <c r="J414" s="28"/>
      <c r="K414" s="28"/>
      <c r="L414" s="28"/>
      <c r="M414" s="28"/>
      <c r="N414" s="28"/>
      <c r="O414" s="28"/>
    </row>
    <row r="415" spans="1:15" ht="21" customHeight="1" x14ac:dyDescent="0.25">
      <c r="A415" s="28"/>
      <c r="B415" s="28"/>
      <c r="C415" s="28"/>
      <c r="D415" s="28"/>
      <c r="E415" s="28"/>
      <c r="F415" s="28"/>
      <c r="G415" s="28"/>
      <c r="H415" s="28"/>
      <c r="I415" s="28"/>
      <c r="J415" s="28"/>
      <c r="K415" s="28"/>
      <c r="L415" s="28" t="s">
        <v>301</v>
      </c>
      <c r="M415" s="358">
        <f>[1]!MCRIT(M399,N399,M405,1)</f>
        <v>8</v>
      </c>
      <c r="N415" s="358">
        <f>[1]!MCRIT(M399,N399,M405,2)</f>
        <v>6</v>
      </c>
      <c r="O415" s="28"/>
    </row>
    <row r="416" spans="1:15" ht="21" customHeight="1" x14ac:dyDescent="0.25">
      <c r="A416" s="28"/>
      <c r="B416" s="28"/>
      <c r="C416" s="28"/>
      <c r="D416" s="28"/>
      <c r="E416" s="28"/>
      <c r="F416" s="28"/>
      <c r="G416" s="28"/>
      <c r="H416" s="28"/>
      <c r="I416" s="28"/>
      <c r="J416" s="28"/>
      <c r="K416" s="28"/>
      <c r="L416" s="28" t="s">
        <v>311</v>
      </c>
      <c r="M416" s="360" t="str">
        <f>IF(ISNUMBER(M415),IF(M406&lt;M415,"yes","no"),"no")</f>
        <v>no</v>
      </c>
      <c r="N416" s="360" t="str">
        <f>IF(ISNUMBER(N415),IF(M406&lt;N415,"yes","no"),"no")</f>
        <v>no</v>
      </c>
      <c r="O416" s="28"/>
    </row>
    <row r="417" spans="1:15" ht="21" customHeight="1" x14ac:dyDescent="0.25">
      <c r="A417" s="28"/>
      <c r="B417" s="28"/>
      <c r="C417" s="28"/>
      <c r="D417" s="28"/>
      <c r="E417" s="28"/>
      <c r="F417" s="28"/>
      <c r="G417" s="28"/>
      <c r="H417" s="28"/>
      <c r="I417" s="28"/>
      <c r="J417" s="28"/>
      <c r="K417" s="28"/>
      <c r="L417" s="28"/>
      <c r="M417" s="28"/>
      <c r="N417" s="28"/>
      <c r="O417" s="28"/>
    </row>
    <row r="418" spans="1:15" ht="21" customHeight="1" x14ac:dyDescent="0.25">
      <c r="A418" s="28"/>
      <c r="B418" s="28"/>
      <c r="C418" s="28"/>
      <c r="D418" s="28"/>
      <c r="E418" s="28"/>
      <c r="F418" s="28"/>
      <c r="G418" s="28"/>
      <c r="H418" s="28"/>
      <c r="I418" s="28"/>
      <c r="J418" s="28"/>
      <c r="K418" s="28"/>
      <c r="L418" s="28" t="s">
        <v>279</v>
      </c>
      <c r="M418" s="358">
        <f>[1]!MANN_EXACT(Q40:Q47,Q60:Q64,1)</f>
        <v>0.31080031080031079</v>
      </c>
      <c r="N418" s="358">
        <f>2*M418</f>
        <v>0.62160062160062157</v>
      </c>
      <c r="O418" s="28"/>
    </row>
    <row r="419" spans="1:15" ht="21" customHeight="1" x14ac:dyDescent="0.25">
      <c r="A419" s="28"/>
      <c r="B419" s="28"/>
      <c r="C419" s="28"/>
      <c r="D419" s="28"/>
      <c r="E419" s="28"/>
      <c r="F419" s="28"/>
      <c r="G419" s="28"/>
      <c r="H419" s="28"/>
      <c r="I419" s="28"/>
      <c r="J419" s="28"/>
      <c r="K419" s="28"/>
      <c r="L419" s="28" t="s">
        <v>303</v>
      </c>
      <c r="M419" s="360" t="str">
        <f>IF(M418&lt;M405,"yes","no")</f>
        <v>no</v>
      </c>
      <c r="N419" s="360" t="str">
        <f>IF(N418&lt;M405,"yes","no")</f>
        <v>no</v>
      </c>
      <c r="O419" s="28"/>
    </row>
    <row r="420" spans="1:15" ht="21" customHeight="1" x14ac:dyDescent="0.25">
      <c r="A420" s="28"/>
      <c r="B420" s="28"/>
      <c r="C420" s="28"/>
      <c r="D420" s="28"/>
      <c r="E420" s="28"/>
      <c r="F420" s="28"/>
      <c r="G420" s="28"/>
      <c r="H420" s="28"/>
      <c r="I420" s="28"/>
      <c r="J420" s="28"/>
      <c r="K420" s="28"/>
      <c r="L420" s="28"/>
      <c r="M420" s="28"/>
      <c r="N420" s="28"/>
      <c r="O420" s="28"/>
    </row>
    <row r="421" spans="1:15" ht="21" customHeight="1" x14ac:dyDescent="0.25">
      <c r="A421" s="28"/>
      <c r="B421" s="28"/>
      <c r="C421" s="28"/>
      <c r="D421" s="28"/>
      <c r="E421" s="28"/>
      <c r="F421" s="28"/>
      <c r="G421" s="28"/>
      <c r="H421" s="28"/>
      <c r="I421" s="28"/>
      <c r="J421" s="28"/>
      <c r="K421" s="28"/>
      <c r="L421" s="28"/>
      <c r="M421" s="28"/>
      <c r="N421" s="28"/>
      <c r="O421" s="28"/>
    </row>
  </sheetData>
  <sheetProtection algorithmName="SHA-512" hashValue="wHuS1OZ8N/Hzyd9aT6PTiZrXwKtvEPvjouRAg1zeF2oSqaDSh1g7GmedPTUXFzlwkpMGKEwJf72IuPfjOV9qBw==" saltValue="Ia+hEDeTlCWpz4ujm69kfA==" spinCount="100000" sheet="1" scenarios="1"/>
  <mergeCells count="21">
    <mergeCell ref="A73:Q73"/>
    <mergeCell ref="A3:Q3"/>
    <mergeCell ref="A37:Q37"/>
    <mergeCell ref="A57:Q57"/>
    <mergeCell ref="C38:I38"/>
    <mergeCell ref="K38:Q38"/>
    <mergeCell ref="C49:I49"/>
    <mergeCell ref="K49:Q49"/>
    <mergeCell ref="A29:A34"/>
    <mergeCell ref="A49:A54"/>
    <mergeCell ref="C4:I4"/>
    <mergeCell ref="K4:Q4"/>
    <mergeCell ref="C29:I29"/>
    <mergeCell ref="K29:Q29"/>
    <mergeCell ref="AD5:AJ5"/>
    <mergeCell ref="AB4:AJ4"/>
    <mergeCell ref="C58:I58"/>
    <mergeCell ref="K58:Q58"/>
    <mergeCell ref="A66:A71"/>
    <mergeCell ref="C66:I66"/>
    <mergeCell ref="K66:Q66"/>
  </mergeCells>
  <pageMargins left="0.7" right="0.7" top="0.75" bottom="0.75" header="0.3" footer="0.3"/>
  <pageSetup paperSize="3" scale="34" orientation="landscape" verticalDpi="597" r:id="rId1"/>
  <headerFooter>
    <oddFooter>&amp;L&amp;Z&amp;F&amp;R&amp;D &amp;T</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AP794"/>
  <sheetViews>
    <sheetView showGridLines="0" topLeftCell="M8" workbookViewId="0">
      <selection activeCell="U33" sqref="U33"/>
    </sheetView>
  </sheetViews>
  <sheetFormatPr defaultRowHeight="21" customHeight="1" x14ac:dyDescent="0.25"/>
  <cols>
    <col min="1" max="1" width="13.7109375" style="1" customWidth="1"/>
    <col min="2" max="2" width="17.7109375" style="3" customWidth="1"/>
    <col min="3" max="9" width="9.42578125" style="1" customWidth="1"/>
    <col min="10" max="10" width="11.140625" style="1" customWidth="1"/>
    <col min="11" max="17" width="9.42578125" style="1" customWidth="1"/>
    <col min="18" max="18" width="5.85546875" style="1" customWidth="1"/>
    <col min="19" max="19" width="6.42578125" style="1" customWidth="1"/>
    <col min="20" max="20" width="9.140625" style="1"/>
    <col min="21" max="21" width="16.140625" style="1" customWidth="1"/>
    <col min="22" max="22" width="14.28515625" style="1" customWidth="1"/>
    <col min="23" max="23" width="13.7109375" style="1" customWidth="1"/>
    <col min="24" max="24" width="12.5703125" style="1" customWidth="1"/>
    <col min="25" max="25" width="8.7109375" style="1" customWidth="1"/>
    <col min="26" max="26" width="14.7109375" style="1" customWidth="1"/>
    <col min="27" max="27" width="15.5703125" style="1" customWidth="1"/>
    <col min="28" max="28" width="14.42578125" style="1" customWidth="1"/>
    <col min="29" max="29" width="12" style="1" customWidth="1"/>
    <col min="30" max="30" width="11.140625" style="1" customWidth="1"/>
    <col min="31" max="31" width="12.85546875" style="1" customWidth="1"/>
    <col min="32" max="16384" width="9.140625" style="1"/>
  </cols>
  <sheetData>
    <row r="1" spans="1:38" ht="36" customHeight="1" x14ac:dyDescent="0.25">
      <c r="A1" s="269" t="s">
        <v>206</v>
      </c>
      <c r="B1" s="288"/>
      <c r="C1" s="2"/>
      <c r="D1" s="2"/>
      <c r="E1" s="2"/>
      <c r="F1" s="289"/>
      <c r="G1" s="2"/>
      <c r="H1" s="2"/>
      <c r="I1" s="2"/>
      <c r="J1" s="2"/>
      <c r="K1" s="2"/>
      <c r="L1" s="2"/>
      <c r="M1" s="264" t="s">
        <v>199</v>
      </c>
      <c r="N1" s="2"/>
      <c r="O1" s="2"/>
      <c r="P1" s="2"/>
      <c r="Q1" s="2"/>
      <c r="R1" s="2"/>
      <c r="S1" s="2"/>
    </row>
    <row r="2" spans="1:38" ht="13.5" customHeight="1" x14ac:dyDescent="0.25">
      <c r="B2" s="288"/>
      <c r="C2" s="2"/>
      <c r="D2" s="2"/>
      <c r="E2" s="2"/>
      <c r="F2" s="289"/>
      <c r="G2" s="2"/>
      <c r="H2" s="2"/>
      <c r="I2" s="2"/>
      <c r="J2" s="2"/>
      <c r="K2" s="2"/>
      <c r="L2" s="2"/>
      <c r="M2" s="46"/>
      <c r="N2" s="2"/>
      <c r="O2" s="2"/>
      <c r="P2" s="2"/>
      <c r="Q2" s="2"/>
      <c r="R2" s="2"/>
      <c r="S2" s="2"/>
    </row>
    <row r="3" spans="1:38" ht="36" customHeight="1" x14ac:dyDescent="0.25">
      <c r="A3" s="432" t="s">
        <v>183</v>
      </c>
      <c r="B3" s="432"/>
      <c r="C3" s="432"/>
      <c r="D3" s="432"/>
      <c r="E3" s="432"/>
      <c r="F3" s="432"/>
      <c r="G3" s="432"/>
      <c r="H3" s="432"/>
      <c r="I3" s="432"/>
      <c r="J3" s="432"/>
      <c r="K3" s="432"/>
      <c r="L3" s="432"/>
      <c r="M3" s="432"/>
      <c r="N3" s="432"/>
      <c r="O3" s="432"/>
      <c r="P3" s="432"/>
      <c r="Q3" s="432"/>
      <c r="R3" s="292"/>
      <c r="S3" s="292"/>
      <c r="U3" s="286" t="s">
        <v>198</v>
      </c>
      <c r="AD3" s="425" t="s">
        <v>191</v>
      </c>
      <c r="AE3" s="425"/>
      <c r="AF3" s="425"/>
      <c r="AG3" s="425"/>
      <c r="AH3" s="425"/>
      <c r="AI3" s="425"/>
      <c r="AJ3" s="425"/>
      <c r="AK3" s="425"/>
      <c r="AL3" s="425"/>
    </row>
    <row r="4" spans="1:38" ht="36" customHeight="1" x14ac:dyDescent="0.25">
      <c r="A4" s="224"/>
      <c r="B4" s="265"/>
      <c r="C4" s="421" t="s">
        <v>187</v>
      </c>
      <c r="D4" s="421"/>
      <c r="E4" s="421"/>
      <c r="F4" s="421"/>
      <c r="G4" s="421"/>
      <c r="H4" s="421"/>
      <c r="I4" s="421"/>
      <c r="K4" s="421" t="s">
        <v>188</v>
      </c>
      <c r="L4" s="421"/>
      <c r="M4" s="421"/>
      <c r="N4" s="421"/>
      <c r="O4" s="421"/>
      <c r="P4" s="421"/>
      <c r="Q4" s="421"/>
      <c r="R4" s="41"/>
      <c r="S4" s="41"/>
      <c r="AD4" s="224"/>
      <c r="AE4" s="265"/>
      <c r="AF4" s="421" t="s">
        <v>187</v>
      </c>
      <c r="AG4" s="421"/>
      <c r="AH4" s="421"/>
      <c r="AI4" s="421"/>
      <c r="AJ4" s="421"/>
      <c r="AK4" s="421"/>
      <c r="AL4" s="421"/>
    </row>
    <row r="5" spans="1:38" ht="21" customHeight="1" x14ac:dyDescent="0.25">
      <c r="A5" s="1" t="s">
        <v>140</v>
      </c>
      <c r="B5" s="3" t="s">
        <v>138</v>
      </c>
      <c r="C5" s="1" t="s">
        <v>7</v>
      </c>
      <c r="D5" s="1" t="s">
        <v>1</v>
      </c>
      <c r="E5" s="1" t="s">
        <v>2</v>
      </c>
      <c r="F5" s="1" t="s">
        <v>3</v>
      </c>
      <c r="G5" s="1" t="s">
        <v>4</v>
      </c>
      <c r="H5" s="1" t="s">
        <v>5</v>
      </c>
      <c r="I5" s="1" t="s">
        <v>6</v>
      </c>
      <c r="K5" s="1" t="s">
        <v>7</v>
      </c>
      <c r="L5" s="1" t="s">
        <v>1</v>
      </c>
      <c r="M5" s="1" t="s">
        <v>2</v>
      </c>
      <c r="N5" s="1" t="s">
        <v>3</v>
      </c>
      <c r="O5" s="1" t="s">
        <v>4</v>
      </c>
      <c r="P5" s="1" t="s">
        <v>5</v>
      </c>
      <c r="Q5" s="1" t="s">
        <v>6</v>
      </c>
      <c r="AD5" s="1" t="s">
        <v>140</v>
      </c>
      <c r="AE5" s="3" t="s">
        <v>138</v>
      </c>
      <c r="AF5" s="1" t="s">
        <v>7</v>
      </c>
      <c r="AG5" s="1" t="s">
        <v>1</v>
      </c>
      <c r="AH5" s="1" t="s">
        <v>2</v>
      </c>
      <c r="AI5" s="1" t="s">
        <v>3</v>
      </c>
      <c r="AJ5" s="1" t="s">
        <v>4</v>
      </c>
      <c r="AK5" s="1" t="s">
        <v>5</v>
      </c>
      <c r="AL5" s="1" t="s">
        <v>6</v>
      </c>
    </row>
    <row r="6" spans="1:38" ht="30.75" customHeight="1" x14ac:dyDescent="0.25">
      <c r="A6" s="18" t="s">
        <v>101</v>
      </c>
      <c r="B6" s="250">
        <v>42227.513888888891</v>
      </c>
      <c r="C6" s="15">
        <v>6310</v>
      </c>
      <c r="D6" s="15">
        <v>2.08</v>
      </c>
      <c r="E6" s="15">
        <v>118</v>
      </c>
      <c r="F6" s="15">
        <v>34700</v>
      </c>
      <c r="G6" s="15">
        <v>496</v>
      </c>
      <c r="H6" s="15">
        <v>2180</v>
      </c>
      <c r="I6" s="15">
        <v>738</v>
      </c>
      <c r="J6" s="15"/>
      <c r="K6" s="228">
        <f>LOG(C6)</f>
        <v>3.8000293592441343</v>
      </c>
      <c r="L6" s="228">
        <f t="shared" ref="L6:Q21" si="0">LOG(D6)</f>
        <v>0.31806333496276157</v>
      </c>
      <c r="M6" s="228">
        <f t="shared" si="0"/>
        <v>2.0718820073061255</v>
      </c>
      <c r="N6" s="228">
        <f t="shared" si="0"/>
        <v>4.540329474790874</v>
      </c>
      <c r="O6" s="228">
        <f t="shared" si="0"/>
        <v>2.6954816764901977</v>
      </c>
      <c r="P6" s="228">
        <f t="shared" si="0"/>
        <v>3.3384564936046046</v>
      </c>
      <c r="Q6" s="228">
        <f t="shared" si="0"/>
        <v>2.8680563618230415</v>
      </c>
      <c r="R6" s="228"/>
      <c r="S6" s="228"/>
      <c r="AB6" s="82"/>
      <c r="AC6" s="82"/>
      <c r="AD6" s="18" t="s">
        <v>101</v>
      </c>
      <c r="AE6" s="250">
        <v>42227.513888888891</v>
      </c>
      <c r="AF6" s="15">
        <v>6310</v>
      </c>
      <c r="AG6" s="15">
        <v>2.08</v>
      </c>
      <c r="AH6" s="15">
        <v>118</v>
      </c>
      <c r="AI6" s="15">
        <v>34700</v>
      </c>
      <c r="AJ6" s="15">
        <v>496</v>
      </c>
      <c r="AK6" s="15">
        <v>2180</v>
      </c>
      <c r="AL6" s="15">
        <v>738</v>
      </c>
    </row>
    <row r="7" spans="1:38" ht="18" customHeight="1" x14ac:dyDescent="0.25">
      <c r="A7" s="18" t="s">
        <v>101</v>
      </c>
      <c r="B7" s="250">
        <v>42227.513888888891</v>
      </c>
      <c r="C7" s="15">
        <v>6310</v>
      </c>
      <c r="D7" s="15">
        <v>2.08</v>
      </c>
      <c r="E7" s="15">
        <v>118</v>
      </c>
      <c r="F7" s="15">
        <v>34700</v>
      </c>
      <c r="G7" s="15">
        <v>496</v>
      </c>
      <c r="H7" s="15">
        <v>2180</v>
      </c>
      <c r="I7" s="15">
        <v>738</v>
      </c>
      <c r="J7" s="15"/>
      <c r="K7" s="228">
        <f t="shared" ref="K7:Q23" si="1">LOG(C7)</f>
        <v>3.8000293592441343</v>
      </c>
      <c r="L7" s="228">
        <f t="shared" si="0"/>
        <v>0.31806333496276157</v>
      </c>
      <c r="M7" s="228">
        <f t="shared" si="0"/>
        <v>2.0718820073061255</v>
      </c>
      <c r="N7" s="228">
        <f t="shared" si="0"/>
        <v>4.540329474790874</v>
      </c>
      <c r="O7" s="228">
        <f t="shared" si="0"/>
        <v>2.6954816764901977</v>
      </c>
      <c r="P7" s="228">
        <f t="shared" si="0"/>
        <v>3.3384564936046046</v>
      </c>
      <c r="Q7" s="228">
        <f t="shared" si="0"/>
        <v>2.8680563618230415</v>
      </c>
      <c r="R7" s="228"/>
      <c r="S7" s="228"/>
      <c r="AB7" s="81"/>
      <c r="AC7" s="68"/>
      <c r="AD7" s="18" t="s">
        <v>101</v>
      </c>
      <c r="AE7" s="250">
        <v>42227.513888888891</v>
      </c>
      <c r="AF7" s="15">
        <v>6310</v>
      </c>
      <c r="AG7" s="15">
        <v>2.08</v>
      </c>
      <c r="AH7" s="15">
        <v>118</v>
      </c>
      <c r="AI7" s="15">
        <v>34700</v>
      </c>
      <c r="AJ7" s="15">
        <v>496</v>
      </c>
      <c r="AK7" s="15">
        <v>2180</v>
      </c>
      <c r="AL7" s="15">
        <v>738</v>
      </c>
    </row>
    <row r="8" spans="1:38" ht="18" customHeight="1" x14ac:dyDescent="0.25">
      <c r="A8" s="18" t="s">
        <v>101</v>
      </c>
      <c r="B8" s="250">
        <v>42228.580555555556</v>
      </c>
      <c r="C8" s="15">
        <v>5600</v>
      </c>
      <c r="D8" s="15">
        <v>2.6</v>
      </c>
      <c r="E8" s="15">
        <v>92</v>
      </c>
      <c r="F8" s="15"/>
      <c r="G8" s="15">
        <v>360</v>
      </c>
      <c r="H8" s="15">
        <v>1900</v>
      </c>
      <c r="I8" s="15">
        <v>580</v>
      </c>
      <c r="J8" s="15"/>
      <c r="K8" s="228">
        <f t="shared" si="1"/>
        <v>3.7481880270062002</v>
      </c>
      <c r="L8" s="228">
        <f t="shared" si="0"/>
        <v>0.41497334797081797</v>
      </c>
      <c r="M8" s="228">
        <f t="shared" si="0"/>
        <v>1.9637878273455553</v>
      </c>
      <c r="N8" s="228"/>
      <c r="O8" s="228">
        <f t="shared" si="0"/>
        <v>2.5563025007672873</v>
      </c>
      <c r="P8" s="228">
        <f t="shared" si="0"/>
        <v>3.2787536009528289</v>
      </c>
      <c r="Q8" s="228">
        <f t="shared" si="0"/>
        <v>2.7634279935629373</v>
      </c>
      <c r="R8" s="228"/>
      <c r="S8" s="228"/>
      <c r="X8" s="132" t="s">
        <v>114</v>
      </c>
      <c r="AB8" s="81"/>
      <c r="AC8" s="68"/>
      <c r="AD8" s="18" t="s">
        <v>101</v>
      </c>
      <c r="AE8" s="250">
        <v>42228.580555555556</v>
      </c>
      <c r="AF8" s="15">
        <v>5600</v>
      </c>
      <c r="AG8" s="15">
        <v>2.6</v>
      </c>
      <c r="AH8" s="15">
        <v>92</v>
      </c>
      <c r="AI8" s="15"/>
      <c r="AJ8" s="15">
        <v>360</v>
      </c>
      <c r="AK8" s="15">
        <v>1900</v>
      </c>
      <c r="AL8" s="15">
        <v>580</v>
      </c>
    </row>
    <row r="9" spans="1:38" ht="18" customHeight="1" x14ac:dyDescent="0.25">
      <c r="A9" s="18" t="s">
        <v>101</v>
      </c>
      <c r="B9" s="250">
        <v>42234.597222222219</v>
      </c>
      <c r="C9" s="15">
        <v>21000</v>
      </c>
      <c r="D9" s="15">
        <v>4</v>
      </c>
      <c r="E9" s="15">
        <v>490</v>
      </c>
      <c r="F9" s="15"/>
      <c r="G9" s="15">
        <v>3500</v>
      </c>
      <c r="H9" s="15">
        <v>890</v>
      </c>
      <c r="I9" s="15">
        <v>370</v>
      </c>
      <c r="J9" s="15"/>
      <c r="K9" s="228">
        <f t="shared" si="1"/>
        <v>4.3222192947339195</v>
      </c>
      <c r="L9" s="228">
        <f t="shared" si="0"/>
        <v>0.6020599913279624</v>
      </c>
      <c r="M9" s="228">
        <f t="shared" si="0"/>
        <v>2.6901960800285138</v>
      </c>
      <c r="N9" s="228"/>
      <c r="O9" s="228">
        <f t="shared" si="0"/>
        <v>3.5440680443502757</v>
      </c>
      <c r="P9" s="228">
        <f t="shared" si="0"/>
        <v>2.9493900066449128</v>
      </c>
      <c r="Q9" s="228">
        <f t="shared" si="0"/>
        <v>2.568201724066995</v>
      </c>
      <c r="R9" s="228"/>
      <c r="S9" s="228"/>
      <c r="U9" s="47" t="s">
        <v>113</v>
      </c>
      <c r="W9" s="40" t="s">
        <v>101</v>
      </c>
      <c r="Y9" s="2"/>
      <c r="AB9" s="81"/>
      <c r="AC9" s="68"/>
      <c r="AD9" s="18" t="s">
        <v>101</v>
      </c>
      <c r="AE9" s="250">
        <v>42234.597222222219</v>
      </c>
      <c r="AF9" s="15">
        <v>21000</v>
      </c>
      <c r="AG9" s="15">
        <v>4</v>
      </c>
      <c r="AH9" s="15">
        <v>490</v>
      </c>
      <c r="AI9" s="15"/>
      <c r="AJ9" s="15">
        <v>3500</v>
      </c>
      <c r="AK9" s="15">
        <v>890</v>
      </c>
      <c r="AL9" s="15">
        <v>370</v>
      </c>
    </row>
    <row r="10" spans="1:38" ht="30" customHeight="1" x14ac:dyDescent="0.25">
      <c r="A10" s="18" t="s">
        <v>101</v>
      </c>
      <c r="B10" s="250">
        <v>42243.684027777781</v>
      </c>
      <c r="C10" s="15">
        <v>11000</v>
      </c>
      <c r="D10" s="15">
        <v>6.4</v>
      </c>
      <c r="E10" s="15">
        <v>200</v>
      </c>
      <c r="F10" s="15">
        <v>26000</v>
      </c>
      <c r="G10" s="15">
        <v>280</v>
      </c>
      <c r="H10" s="15">
        <v>5000</v>
      </c>
      <c r="I10" s="15">
        <v>1900</v>
      </c>
      <c r="J10" s="15"/>
      <c r="K10" s="228">
        <f t="shared" si="1"/>
        <v>4.0413926851582254</v>
      </c>
      <c r="L10" s="228">
        <f t="shared" si="0"/>
        <v>0.80617997398388719</v>
      </c>
      <c r="M10" s="228">
        <f t="shared" si="0"/>
        <v>2.3010299956639813</v>
      </c>
      <c r="N10" s="228">
        <f t="shared" si="0"/>
        <v>4.4149733479708182</v>
      </c>
      <c r="O10" s="228">
        <f t="shared" si="0"/>
        <v>2.4471580313422194</v>
      </c>
      <c r="P10" s="228">
        <f t="shared" si="0"/>
        <v>3.6989700043360187</v>
      </c>
      <c r="Q10" s="228">
        <f t="shared" si="0"/>
        <v>3.2787536009528289</v>
      </c>
      <c r="R10" s="228"/>
      <c r="S10" s="228"/>
      <c r="U10" s="42" t="s">
        <v>8</v>
      </c>
      <c r="V10" s="39" t="s">
        <v>27</v>
      </c>
      <c r="W10" s="39" t="s">
        <v>116</v>
      </c>
      <c r="X10" s="39" t="s">
        <v>189</v>
      </c>
      <c r="Y10" s="39" t="s">
        <v>116</v>
      </c>
      <c r="Z10" s="39" t="s">
        <v>12</v>
      </c>
      <c r="AA10" s="39" t="s">
        <v>13</v>
      </c>
      <c r="AB10" s="81"/>
      <c r="AC10" s="68"/>
      <c r="AD10" s="18" t="s">
        <v>101</v>
      </c>
      <c r="AE10" s="250">
        <v>42243.684027777781</v>
      </c>
      <c r="AF10" s="15">
        <v>11000</v>
      </c>
      <c r="AG10" s="15">
        <v>6.4</v>
      </c>
      <c r="AH10" s="15">
        <v>200</v>
      </c>
      <c r="AI10" s="15">
        <v>26000</v>
      </c>
      <c r="AJ10" s="15">
        <v>280</v>
      </c>
      <c r="AK10" s="15">
        <v>5000</v>
      </c>
      <c r="AL10" s="15">
        <v>1900</v>
      </c>
    </row>
    <row r="11" spans="1:38" ht="20.25" customHeight="1" x14ac:dyDescent="0.25">
      <c r="A11" s="18" t="s">
        <v>101</v>
      </c>
      <c r="B11" s="250">
        <v>42243.684027777781</v>
      </c>
      <c r="C11" s="15">
        <v>14000</v>
      </c>
      <c r="D11" s="15">
        <v>6.8</v>
      </c>
      <c r="E11" s="15">
        <v>210</v>
      </c>
      <c r="F11" s="15">
        <v>35000</v>
      </c>
      <c r="G11" s="15">
        <v>280</v>
      </c>
      <c r="H11" s="15">
        <v>5200</v>
      </c>
      <c r="I11" s="15">
        <v>2200</v>
      </c>
      <c r="J11" s="15"/>
      <c r="K11" s="228">
        <f t="shared" si="1"/>
        <v>4.1461280356782382</v>
      </c>
      <c r="L11" s="228">
        <f t="shared" si="0"/>
        <v>0.83250891270623628</v>
      </c>
      <c r="M11" s="228">
        <f t="shared" si="0"/>
        <v>2.3222192947339191</v>
      </c>
      <c r="N11" s="228">
        <f t="shared" si="0"/>
        <v>4.5440680443502757</v>
      </c>
      <c r="O11" s="228">
        <f t="shared" si="0"/>
        <v>2.4471580313422194</v>
      </c>
      <c r="P11" s="228">
        <f t="shared" si="0"/>
        <v>3.716003343634799</v>
      </c>
      <c r="Q11" s="228">
        <f t="shared" si="0"/>
        <v>3.3424226808222062</v>
      </c>
      <c r="R11" s="228"/>
      <c r="S11" s="228"/>
      <c r="U11" s="48" t="s">
        <v>7</v>
      </c>
      <c r="V11" s="51">
        <f>C63</f>
        <v>15678.049383727635</v>
      </c>
      <c r="W11" s="51">
        <f>C65</f>
        <v>7409.7835101078808</v>
      </c>
      <c r="X11" s="51">
        <f>C27</f>
        <v>9457.5888182831568</v>
      </c>
      <c r="Y11" s="51">
        <f>C29</f>
        <v>920.89076260944455</v>
      </c>
      <c r="Z11" s="61">
        <v>0.32</v>
      </c>
      <c r="AA11" s="61">
        <v>0.35</v>
      </c>
      <c r="AB11" s="81"/>
      <c r="AC11" s="68"/>
      <c r="AD11" s="18" t="s">
        <v>101</v>
      </c>
      <c r="AE11" s="250">
        <v>42243.684027777781</v>
      </c>
      <c r="AF11" s="15">
        <v>14000</v>
      </c>
      <c r="AG11" s="15">
        <v>6.8</v>
      </c>
      <c r="AH11" s="15">
        <v>210</v>
      </c>
      <c r="AI11" s="15">
        <v>35000</v>
      </c>
      <c r="AJ11" s="15">
        <v>280</v>
      </c>
      <c r="AK11" s="15">
        <v>5200</v>
      </c>
      <c r="AL11" s="15">
        <v>2200</v>
      </c>
    </row>
    <row r="12" spans="1:38" ht="20.25" customHeight="1" x14ac:dyDescent="0.25">
      <c r="A12" s="18" t="s">
        <v>101</v>
      </c>
      <c r="B12" s="250">
        <v>42247.663194444445</v>
      </c>
      <c r="C12" s="15">
        <v>7600</v>
      </c>
      <c r="D12" s="15">
        <v>3.5</v>
      </c>
      <c r="E12" s="15">
        <v>100</v>
      </c>
      <c r="F12" s="15">
        <v>27000</v>
      </c>
      <c r="G12" s="15">
        <v>300</v>
      </c>
      <c r="H12" s="15">
        <v>2900</v>
      </c>
      <c r="I12" s="15">
        <v>1000</v>
      </c>
      <c r="J12" s="15"/>
      <c r="K12" s="228">
        <f t="shared" si="1"/>
        <v>3.8808135922807914</v>
      </c>
      <c r="L12" s="228">
        <f t="shared" si="0"/>
        <v>0.54406804435027567</v>
      </c>
      <c r="M12" s="228">
        <f t="shared" si="0"/>
        <v>2</v>
      </c>
      <c r="N12" s="228">
        <f t="shared" si="0"/>
        <v>4.4313637641589869</v>
      </c>
      <c r="O12" s="228">
        <f t="shared" si="0"/>
        <v>2.4771212547196626</v>
      </c>
      <c r="P12" s="228">
        <f t="shared" si="0"/>
        <v>3.4623979978989561</v>
      </c>
      <c r="Q12" s="228">
        <f t="shared" si="0"/>
        <v>3</v>
      </c>
      <c r="R12" s="228"/>
      <c r="S12" s="228"/>
      <c r="U12" s="49" t="s">
        <v>1</v>
      </c>
      <c r="V12" s="86">
        <f>D63</f>
        <v>7.4575379920486196</v>
      </c>
      <c r="W12" s="86">
        <f>D65</f>
        <v>3.8814459827062722</v>
      </c>
      <c r="X12" s="86">
        <f>D27</f>
        <v>3.7902672289807899</v>
      </c>
      <c r="Y12" s="62">
        <f>D29</f>
        <v>0.38429140480288415</v>
      </c>
      <c r="Z12" s="62">
        <v>0.26</v>
      </c>
      <c r="AA12" s="62">
        <v>0.2</v>
      </c>
      <c r="AB12" s="81"/>
      <c r="AC12" s="68"/>
      <c r="AD12" s="18" t="s">
        <v>101</v>
      </c>
      <c r="AE12" s="250">
        <v>42247.663194444445</v>
      </c>
      <c r="AF12" s="15">
        <v>7600</v>
      </c>
      <c r="AG12" s="15">
        <v>3.5</v>
      </c>
      <c r="AH12" s="15">
        <v>100</v>
      </c>
      <c r="AI12" s="15">
        <v>27000</v>
      </c>
      <c r="AJ12" s="15">
        <v>300</v>
      </c>
      <c r="AK12" s="15">
        <v>2900</v>
      </c>
      <c r="AL12" s="15">
        <v>1000</v>
      </c>
    </row>
    <row r="13" spans="1:38" ht="20.25" customHeight="1" x14ac:dyDescent="0.25">
      <c r="A13" s="18" t="s">
        <v>101</v>
      </c>
      <c r="B13" s="250">
        <v>42265.409722222219</v>
      </c>
      <c r="C13" s="15">
        <v>13000</v>
      </c>
      <c r="D13" s="15">
        <v>6.9</v>
      </c>
      <c r="E13" s="15">
        <v>190</v>
      </c>
      <c r="F13" s="15">
        <v>35000</v>
      </c>
      <c r="G13" s="15">
        <v>270</v>
      </c>
      <c r="H13" s="15">
        <v>7000</v>
      </c>
      <c r="I13" s="15">
        <v>3300</v>
      </c>
      <c r="J13" s="15"/>
      <c r="K13" s="228">
        <f t="shared" si="1"/>
        <v>4.1139433523068369</v>
      </c>
      <c r="L13" s="228">
        <f t="shared" si="0"/>
        <v>0.83884909073725533</v>
      </c>
      <c r="M13" s="228">
        <f t="shared" si="0"/>
        <v>2.2787536009528289</v>
      </c>
      <c r="N13" s="228">
        <f t="shared" si="0"/>
        <v>4.5440680443502757</v>
      </c>
      <c r="O13" s="228">
        <f t="shared" si="0"/>
        <v>2.4313637641589874</v>
      </c>
      <c r="P13" s="228">
        <f t="shared" si="0"/>
        <v>3.8450980400142569</v>
      </c>
      <c r="Q13" s="228">
        <f t="shared" si="0"/>
        <v>3.5185139398778875</v>
      </c>
      <c r="R13" s="228"/>
      <c r="S13" s="228"/>
      <c r="U13" s="49" t="s">
        <v>2</v>
      </c>
      <c r="V13" s="53">
        <f>E63</f>
        <v>165.9364433513019</v>
      </c>
      <c r="W13" s="53">
        <f>E65</f>
        <v>59.892960076011157</v>
      </c>
      <c r="X13" s="53">
        <f>E27</f>
        <v>134.57256560541038</v>
      </c>
      <c r="Y13" s="53">
        <f>E29</f>
        <v>22.139929326631453</v>
      </c>
      <c r="Z13" s="62">
        <v>0.55000000000000004</v>
      </c>
      <c r="AA13" s="62">
        <v>0.77</v>
      </c>
      <c r="AB13" s="83"/>
      <c r="AC13" s="68"/>
      <c r="AD13" s="18" t="s">
        <v>101</v>
      </c>
      <c r="AE13" s="250">
        <v>42265.409722222219</v>
      </c>
      <c r="AF13" s="15">
        <v>13000</v>
      </c>
      <c r="AG13" s="15">
        <v>6.9</v>
      </c>
      <c r="AH13" s="15">
        <v>190</v>
      </c>
      <c r="AI13" s="15">
        <v>35000</v>
      </c>
      <c r="AJ13" s="15">
        <v>270</v>
      </c>
      <c r="AK13" s="15">
        <v>7000</v>
      </c>
      <c r="AL13" s="15">
        <v>3300</v>
      </c>
    </row>
    <row r="14" spans="1:38" ht="20.25" customHeight="1" x14ac:dyDescent="0.25">
      <c r="A14" s="18" t="s">
        <v>101</v>
      </c>
      <c r="B14" s="250">
        <v>42265.409722222219</v>
      </c>
      <c r="C14" s="15">
        <v>13000</v>
      </c>
      <c r="D14" s="15">
        <v>6.9</v>
      </c>
      <c r="E14" s="15">
        <v>190</v>
      </c>
      <c r="F14" s="15">
        <v>35000</v>
      </c>
      <c r="G14" s="15">
        <v>270</v>
      </c>
      <c r="H14" s="15">
        <v>7000</v>
      </c>
      <c r="I14" s="15">
        <v>3300</v>
      </c>
      <c r="J14" s="15"/>
      <c r="K14" s="228">
        <f t="shared" si="1"/>
        <v>4.1139433523068369</v>
      </c>
      <c r="L14" s="228">
        <f t="shared" si="0"/>
        <v>0.83884909073725533</v>
      </c>
      <c r="M14" s="228">
        <f t="shared" si="0"/>
        <v>2.2787536009528289</v>
      </c>
      <c r="N14" s="228">
        <f t="shared" si="0"/>
        <v>4.5440680443502757</v>
      </c>
      <c r="O14" s="228">
        <f t="shared" si="0"/>
        <v>2.4313637641589874</v>
      </c>
      <c r="P14" s="228">
        <f t="shared" si="0"/>
        <v>3.8450980400142569</v>
      </c>
      <c r="Q14" s="228">
        <f t="shared" si="0"/>
        <v>3.5185139398778875</v>
      </c>
      <c r="R14" s="228"/>
      <c r="S14" s="228"/>
      <c r="U14" s="49" t="s">
        <v>3</v>
      </c>
      <c r="V14" s="53">
        <f>F63</f>
        <v>42485.567975054677</v>
      </c>
      <c r="W14" s="53">
        <f>F65</f>
        <v>10917.674889828877</v>
      </c>
      <c r="X14" s="53">
        <f>F27</f>
        <v>28461.074564931536</v>
      </c>
      <c r="Y14" s="53">
        <f>F29</f>
        <v>1316.2763134438503</v>
      </c>
      <c r="Z14" s="62">
        <v>0.21</v>
      </c>
      <c r="AA14" s="62">
        <v>0.06</v>
      </c>
      <c r="AB14" s="138"/>
      <c r="AC14" s="138"/>
      <c r="AD14" s="18" t="s">
        <v>101</v>
      </c>
      <c r="AE14" s="250">
        <v>42265.409722222219</v>
      </c>
      <c r="AF14" s="15">
        <v>13000</v>
      </c>
      <c r="AG14" s="15">
        <v>6.9</v>
      </c>
      <c r="AH14" s="15">
        <v>190</v>
      </c>
      <c r="AI14" s="15">
        <v>35000</v>
      </c>
      <c r="AJ14" s="15">
        <v>270</v>
      </c>
      <c r="AK14" s="15">
        <v>7000</v>
      </c>
      <c r="AL14" s="15">
        <v>3300</v>
      </c>
    </row>
    <row r="15" spans="1:38" ht="20.25" customHeight="1" x14ac:dyDescent="0.25">
      <c r="A15" s="18" t="s">
        <v>101</v>
      </c>
      <c r="B15" s="250">
        <v>42267.454861111109</v>
      </c>
      <c r="C15" s="15">
        <v>8100</v>
      </c>
      <c r="D15" s="15">
        <v>4</v>
      </c>
      <c r="E15" s="15">
        <v>120</v>
      </c>
      <c r="F15" s="15">
        <v>25000</v>
      </c>
      <c r="G15" s="15">
        <v>310</v>
      </c>
      <c r="H15" s="15">
        <v>3600</v>
      </c>
      <c r="I15" s="15">
        <v>1500</v>
      </c>
      <c r="J15" s="15"/>
      <c r="K15" s="228">
        <f t="shared" si="1"/>
        <v>3.90848501887865</v>
      </c>
      <c r="L15" s="228">
        <f t="shared" si="0"/>
        <v>0.6020599913279624</v>
      </c>
      <c r="M15" s="228">
        <f t="shared" si="0"/>
        <v>2.0791812460476247</v>
      </c>
      <c r="N15" s="228">
        <f t="shared" si="0"/>
        <v>4.3979400086720375</v>
      </c>
      <c r="O15" s="228">
        <f t="shared" si="0"/>
        <v>2.4913616938342726</v>
      </c>
      <c r="P15" s="228">
        <f t="shared" si="0"/>
        <v>3.5563025007672873</v>
      </c>
      <c r="Q15" s="228">
        <f t="shared" si="0"/>
        <v>3.1760912590556813</v>
      </c>
      <c r="R15" s="228"/>
      <c r="S15" s="228"/>
      <c r="T15" s="2"/>
      <c r="U15" s="49" t="s">
        <v>4</v>
      </c>
      <c r="V15" s="53">
        <f>G63</f>
        <v>294.30781042128552</v>
      </c>
      <c r="W15" s="53">
        <f>G65</f>
        <v>32.540999779765016</v>
      </c>
      <c r="X15" s="53">
        <f>G27</f>
        <v>368.75882985118443</v>
      </c>
      <c r="Y15" s="53">
        <f>G29</f>
        <v>176.91578809826831</v>
      </c>
      <c r="Z15" s="62">
        <v>0.22</v>
      </c>
      <c r="AA15" s="62">
        <v>0.43</v>
      </c>
      <c r="AB15" s="2"/>
      <c r="AC15" s="2"/>
      <c r="AD15" s="18" t="s">
        <v>101</v>
      </c>
      <c r="AE15" s="250">
        <v>42267.454861111109</v>
      </c>
      <c r="AF15" s="15">
        <v>8100</v>
      </c>
      <c r="AG15" s="15">
        <v>4</v>
      </c>
      <c r="AH15" s="15">
        <v>120</v>
      </c>
      <c r="AI15" s="15">
        <v>25000</v>
      </c>
      <c r="AJ15" s="15">
        <v>310</v>
      </c>
      <c r="AK15" s="15">
        <v>3600</v>
      </c>
      <c r="AL15" s="15">
        <v>1500</v>
      </c>
    </row>
    <row r="16" spans="1:38" ht="20.25" customHeight="1" x14ac:dyDescent="0.25">
      <c r="A16" s="18" t="s">
        <v>101</v>
      </c>
      <c r="B16" s="250">
        <v>42267.454861111109</v>
      </c>
      <c r="C16" s="15">
        <v>8100</v>
      </c>
      <c r="D16" s="15">
        <v>4</v>
      </c>
      <c r="E16" s="15">
        <v>120</v>
      </c>
      <c r="F16" s="15">
        <v>25000</v>
      </c>
      <c r="G16" s="15">
        <v>310</v>
      </c>
      <c r="H16" s="15">
        <v>3600</v>
      </c>
      <c r="I16" s="15">
        <v>1500</v>
      </c>
      <c r="J16" s="15"/>
      <c r="K16" s="228">
        <f t="shared" si="1"/>
        <v>3.90848501887865</v>
      </c>
      <c r="L16" s="228">
        <f t="shared" si="0"/>
        <v>0.6020599913279624</v>
      </c>
      <c r="M16" s="228">
        <f t="shared" si="0"/>
        <v>2.0791812460476247</v>
      </c>
      <c r="N16" s="228">
        <f t="shared" si="0"/>
        <v>4.3979400086720375</v>
      </c>
      <c r="O16" s="228">
        <f t="shared" si="0"/>
        <v>2.4913616938342726</v>
      </c>
      <c r="P16" s="228">
        <f t="shared" si="0"/>
        <v>3.5563025007672873</v>
      </c>
      <c r="Q16" s="228">
        <f t="shared" si="0"/>
        <v>3.1760912590556813</v>
      </c>
      <c r="R16" s="228"/>
      <c r="S16" s="228"/>
      <c r="T16" s="2"/>
      <c r="U16" s="49" t="s">
        <v>5</v>
      </c>
      <c r="V16" s="53">
        <f>H63</f>
        <v>5839.9304670824349</v>
      </c>
      <c r="W16" s="53">
        <f>H65</f>
        <v>2608.244939929275</v>
      </c>
      <c r="X16" s="53">
        <f>H27</f>
        <v>3565.6271482174857</v>
      </c>
      <c r="Y16" s="53">
        <f>H29</f>
        <v>415.48234736644355</v>
      </c>
      <c r="Z16" s="62">
        <v>0.33</v>
      </c>
      <c r="AA16" s="62">
        <v>0.3</v>
      </c>
      <c r="AB16" s="124"/>
      <c r="AD16" s="18" t="s">
        <v>101</v>
      </c>
      <c r="AE16" s="250">
        <v>42267.454861111109</v>
      </c>
      <c r="AF16" s="15">
        <v>8100</v>
      </c>
      <c r="AG16" s="15">
        <v>4</v>
      </c>
      <c r="AH16" s="15">
        <v>120</v>
      </c>
      <c r="AI16" s="15">
        <v>25000</v>
      </c>
      <c r="AJ16" s="15">
        <v>310</v>
      </c>
      <c r="AK16" s="15">
        <v>3600</v>
      </c>
      <c r="AL16" s="15">
        <v>1500</v>
      </c>
    </row>
    <row r="17" spans="1:42" ht="20.25" customHeight="1" x14ac:dyDescent="0.25">
      <c r="A17" s="18" t="s">
        <v>101</v>
      </c>
      <c r="B17" s="250">
        <v>42268.402777777781</v>
      </c>
      <c r="C17" s="15">
        <v>12000</v>
      </c>
      <c r="D17" s="15">
        <v>3.8</v>
      </c>
      <c r="E17" s="15">
        <v>100</v>
      </c>
      <c r="F17" s="15">
        <v>26000</v>
      </c>
      <c r="G17" s="15">
        <v>370</v>
      </c>
      <c r="H17" s="15">
        <v>5100</v>
      </c>
      <c r="I17" s="15">
        <v>2100</v>
      </c>
      <c r="J17" s="15"/>
      <c r="K17" s="228">
        <f t="shared" si="1"/>
        <v>4.0791812460476251</v>
      </c>
      <c r="L17" s="228">
        <f t="shared" si="0"/>
        <v>0.57978359661681012</v>
      </c>
      <c r="M17" s="228">
        <f t="shared" si="0"/>
        <v>2</v>
      </c>
      <c r="N17" s="228">
        <f t="shared" si="0"/>
        <v>4.4149733479708182</v>
      </c>
      <c r="O17" s="228">
        <f t="shared" si="0"/>
        <v>2.568201724066995</v>
      </c>
      <c r="P17" s="228">
        <f t="shared" si="0"/>
        <v>3.7075701760979363</v>
      </c>
      <c r="Q17" s="228">
        <f t="shared" si="0"/>
        <v>3.3222192947339191</v>
      </c>
      <c r="R17" s="228"/>
      <c r="S17" s="228"/>
      <c r="T17" s="2"/>
      <c r="U17" s="50" t="s">
        <v>6</v>
      </c>
      <c r="V17" s="56">
        <f>I63</f>
        <v>3687.331355715075</v>
      </c>
      <c r="W17" s="56">
        <f>I65</f>
        <v>1667.5481002557817</v>
      </c>
      <c r="X17" s="56">
        <f>I27</f>
        <v>1410.7080346801358</v>
      </c>
      <c r="Y17" s="56">
        <f>I29</f>
        <v>204.68456522617936</v>
      </c>
      <c r="Z17" s="63">
        <v>0.08</v>
      </c>
      <c r="AA17" s="363">
        <v>5.2999999999999999E-2</v>
      </c>
      <c r="AD17" s="18" t="s">
        <v>101</v>
      </c>
      <c r="AE17" s="250">
        <v>42268.402777777781</v>
      </c>
      <c r="AF17" s="15">
        <v>12000</v>
      </c>
      <c r="AG17" s="15">
        <v>3.8</v>
      </c>
      <c r="AH17" s="15">
        <v>100</v>
      </c>
      <c r="AI17" s="15">
        <v>26000</v>
      </c>
      <c r="AJ17" s="15">
        <v>370</v>
      </c>
      <c r="AK17" s="15">
        <v>5100</v>
      </c>
      <c r="AL17" s="15">
        <v>2100</v>
      </c>
    </row>
    <row r="18" spans="1:42" ht="17.25" customHeight="1" x14ac:dyDescent="0.25">
      <c r="A18" s="18" t="s">
        <v>101</v>
      </c>
      <c r="B18" s="250">
        <v>42268.402777777781</v>
      </c>
      <c r="C18" s="15">
        <v>12000</v>
      </c>
      <c r="D18" s="15">
        <v>3.8</v>
      </c>
      <c r="E18" s="15">
        <v>100</v>
      </c>
      <c r="F18" s="15">
        <v>26000</v>
      </c>
      <c r="G18" s="15">
        <v>370</v>
      </c>
      <c r="H18" s="15">
        <v>5100</v>
      </c>
      <c r="I18" s="15">
        <v>2100</v>
      </c>
      <c r="J18" s="15"/>
      <c r="K18" s="228">
        <f t="shared" si="1"/>
        <v>4.0791812460476251</v>
      </c>
      <c r="L18" s="228">
        <f t="shared" si="0"/>
        <v>0.57978359661681012</v>
      </c>
      <c r="M18" s="228">
        <f t="shared" si="0"/>
        <v>2</v>
      </c>
      <c r="N18" s="228">
        <f t="shared" si="0"/>
        <v>4.4149733479708182</v>
      </c>
      <c r="O18" s="228">
        <f t="shared" si="0"/>
        <v>2.568201724066995</v>
      </c>
      <c r="P18" s="228">
        <f t="shared" si="0"/>
        <v>3.7075701760979363</v>
      </c>
      <c r="Q18" s="228">
        <f t="shared" si="0"/>
        <v>3.3222192947339191</v>
      </c>
      <c r="R18" s="228"/>
      <c r="S18" s="228"/>
      <c r="T18" s="2"/>
      <c r="U18" s="43" t="s">
        <v>108</v>
      </c>
      <c r="V18" s="44">
        <v>4</v>
      </c>
      <c r="W18" s="44"/>
      <c r="X18" s="44" t="s">
        <v>137</v>
      </c>
      <c r="Y18" s="44"/>
      <c r="AD18" s="18" t="s">
        <v>101</v>
      </c>
      <c r="AE18" s="250">
        <v>42268.402777777781</v>
      </c>
      <c r="AF18" s="15">
        <v>12000</v>
      </c>
      <c r="AG18" s="15">
        <v>3.8</v>
      </c>
      <c r="AH18" s="15">
        <v>100</v>
      </c>
      <c r="AI18" s="15">
        <v>26000</v>
      </c>
      <c r="AJ18" s="15">
        <v>370</v>
      </c>
      <c r="AK18" s="15">
        <v>5100</v>
      </c>
      <c r="AL18" s="15">
        <v>2100</v>
      </c>
      <c r="AO18" s="293"/>
      <c r="AP18" s="293" t="s">
        <v>200</v>
      </c>
    </row>
    <row r="19" spans="1:42" ht="17.25" customHeight="1" x14ac:dyDescent="0.25">
      <c r="A19" s="18" t="s">
        <v>101</v>
      </c>
      <c r="B19" s="250">
        <v>42271.454861111109</v>
      </c>
      <c r="C19" s="15">
        <v>8600</v>
      </c>
      <c r="D19" s="15">
        <v>4.2</v>
      </c>
      <c r="E19" s="15">
        <v>140</v>
      </c>
      <c r="F19" s="15">
        <v>26000</v>
      </c>
      <c r="G19" s="15">
        <v>260</v>
      </c>
      <c r="H19" s="15">
        <v>3500</v>
      </c>
      <c r="I19" s="15">
        <v>1400</v>
      </c>
      <c r="J19" s="15"/>
      <c r="K19" s="228">
        <f t="shared" si="1"/>
        <v>3.9344984512435679</v>
      </c>
      <c r="L19" s="228">
        <f t="shared" si="0"/>
        <v>0.62324929039790045</v>
      </c>
      <c r="M19" s="228">
        <f t="shared" si="0"/>
        <v>2.1461280356782382</v>
      </c>
      <c r="N19" s="228">
        <f t="shared" si="0"/>
        <v>4.4149733479708182</v>
      </c>
      <c r="O19" s="228">
        <f t="shared" si="0"/>
        <v>2.4149733479708178</v>
      </c>
      <c r="P19" s="228">
        <f t="shared" si="0"/>
        <v>3.5440680443502757</v>
      </c>
      <c r="Q19" s="228">
        <f t="shared" si="0"/>
        <v>3.1461280356782382</v>
      </c>
      <c r="R19" s="228"/>
      <c r="S19" s="228"/>
      <c r="T19" s="2"/>
      <c r="U19" s="43"/>
      <c r="V19" s="44"/>
      <c r="W19" s="44"/>
      <c r="X19" s="44"/>
      <c r="Y19" s="44"/>
      <c r="AD19" s="18" t="s">
        <v>101</v>
      </c>
      <c r="AE19" s="250">
        <v>42271.454861111109</v>
      </c>
      <c r="AF19" s="15">
        <v>8600</v>
      </c>
      <c r="AG19" s="15">
        <v>4.2</v>
      </c>
      <c r="AH19" s="15">
        <v>140</v>
      </c>
      <c r="AI19" s="15">
        <v>26000</v>
      </c>
      <c r="AJ19" s="15">
        <v>260</v>
      </c>
      <c r="AK19" s="15">
        <v>3500</v>
      </c>
      <c r="AL19" s="15">
        <v>1400</v>
      </c>
    </row>
    <row r="20" spans="1:42" ht="17.25" customHeight="1" x14ac:dyDescent="0.25">
      <c r="A20" s="18" t="s">
        <v>101</v>
      </c>
      <c r="B20" s="250">
        <v>42271.454861111109</v>
      </c>
      <c r="C20" s="15">
        <v>8600</v>
      </c>
      <c r="D20" s="15">
        <v>4.2</v>
      </c>
      <c r="E20" s="15">
        <v>140</v>
      </c>
      <c r="F20" s="15">
        <v>26000</v>
      </c>
      <c r="G20" s="15">
        <v>260</v>
      </c>
      <c r="H20" s="15">
        <v>3500</v>
      </c>
      <c r="I20" s="15">
        <v>1400</v>
      </c>
      <c r="J20" s="15"/>
      <c r="K20" s="228">
        <f t="shared" si="1"/>
        <v>3.9344984512435679</v>
      </c>
      <c r="L20" s="228">
        <f t="shared" si="0"/>
        <v>0.62324929039790045</v>
      </c>
      <c r="M20" s="228">
        <f t="shared" si="0"/>
        <v>2.1461280356782382</v>
      </c>
      <c r="N20" s="228">
        <f t="shared" si="0"/>
        <v>4.4149733479708182</v>
      </c>
      <c r="O20" s="228">
        <f t="shared" si="0"/>
        <v>2.4149733479708178</v>
      </c>
      <c r="P20" s="228">
        <f t="shared" si="0"/>
        <v>3.5440680443502757</v>
      </c>
      <c r="Q20" s="228">
        <f t="shared" si="0"/>
        <v>3.1461280356782382</v>
      </c>
      <c r="R20" s="228"/>
      <c r="S20" s="228"/>
      <c r="T20" s="2"/>
      <c r="U20" s="47" t="s">
        <v>127</v>
      </c>
      <c r="V20" s="2"/>
      <c r="W20" s="2"/>
      <c r="X20" s="2"/>
      <c r="Y20" s="2"/>
      <c r="Z20" s="2"/>
      <c r="AA20" s="2"/>
      <c r="AD20" s="18" t="s">
        <v>101</v>
      </c>
      <c r="AE20" s="250">
        <v>42271.454861111109</v>
      </c>
      <c r="AF20" s="15">
        <v>8600</v>
      </c>
      <c r="AG20" s="15">
        <v>4.2</v>
      </c>
      <c r="AH20" s="15">
        <v>140</v>
      </c>
      <c r="AI20" s="15">
        <v>26000</v>
      </c>
      <c r="AJ20" s="15">
        <v>260</v>
      </c>
      <c r="AK20" s="15">
        <v>3500</v>
      </c>
      <c r="AL20" s="15">
        <v>1400</v>
      </c>
    </row>
    <row r="21" spans="1:42" ht="40.5" customHeight="1" x14ac:dyDescent="0.25">
      <c r="A21" s="18" t="s">
        <v>101</v>
      </c>
      <c r="B21" s="250">
        <v>42275.465277777781</v>
      </c>
      <c r="C21" s="15">
        <v>6600</v>
      </c>
      <c r="D21" s="15">
        <v>2.8</v>
      </c>
      <c r="E21" s="15">
        <v>100</v>
      </c>
      <c r="F21" s="15">
        <v>22000</v>
      </c>
      <c r="G21" s="15">
        <v>310</v>
      </c>
      <c r="H21" s="15">
        <v>3300</v>
      </c>
      <c r="I21" s="15">
        <v>1300</v>
      </c>
      <c r="J21" s="15"/>
      <c r="K21" s="228">
        <f t="shared" si="1"/>
        <v>3.8195439355418688</v>
      </c>
      <c r="L21" s="228">
        <f t="shared" si="0"/>
        <v>0.44715803134221921</v>
      </c>
      <c r="M21" s="228">
        <f t="shared" si="0"/>
        <v>2</v>
      </c>
      <c r="N21" s="228">
        <f t="shared" si="0"/>
        <v>4.3424226808222066</v>
      </c>
      <c r="O21" s="228">
        <f t="shared" si="0"/>
        <v>2.4913616938342726</v>
      </c>
      <c r="P21" s="228">
        <f t="shared" si="0"/>
        <v>3.5185139398778875</v>
      </c>
      <c r="Q21" s="228">
        <f t="shared" si="0"/>
        <v>3.1139433523068369</v>
      </c>
      <c r="R21" s="228"/>
      <c r="S21" s="228"/>
      <c r="T21" s="2"/>
      <c r="U21" s="42" t="s">
        <v>8</v>
      </c>
      <c r="V21" s="39" t="s">
        <v>27</v>
      </c>
      <c r="W21" s="39" t="s">
        <v>116</v>
      </c>
      <c r="X21" s="39" t="s">
        <v>181</v>
      </c>
      <c r="Y21" s="39" t="s">
        <v>116</v>
      </c>
      <c r="Z21" s="42" t="s">
        <v>12</v>
      </c>
      <c r="AA21" s="42" t="s">
        <v>13</v>
      </c>
      <c r="AD21" s="18" t="s">
        <v>101</v>
      </c>
      <c r="AE21" s="250">
        <v>42275.465277777781</v>
      </c>
      <c r="AF21" s="15">
        <v>6600</v>
      </c>
      <c r="AG21" s="15">
        <v>2.8</v>
      </c>
      <c r="AH21" s="15">
        <v>100</v>
      </c>
      <c r="AI21" s="15">
        <v>22000</v>
      </c>
      <c r="AJ21" s="15">
        <v>310</v>
      </c>
      <c r="AK21" s="15">
        <v>3300</v>
      </c>
      <c r="AL21" s="15">
        <v>1300</v>
      </c>
    </row>
    <row r="22" spans="1:42" ht="18.75" customHeight="1" x14ac:dyDescent="0.25">
      <c r="A22" s="18" t="s">
        <v>101</v>
      </c>
      <c r="B22" s="250">
        <v>42275.465277777781</v>
      </c>
      <c r="C22" s="15">
        <v>6600</v>
      </c>
      <c r="D22" s="15">
        <v>2.8</v>
      </c>
      <c r="E22" s="15">
        <v>100</v>
      </c>
      <c r="F22" s="15">
        <v>22000</v>
      </c>
      <c r="G22" s="15">
        <v>310</v>
      </c>
      <c r="H22" s="15">
        <v>3300</v>
      </c>
      <c r="I22" s="15">
        <v>1300</v>
      </c>
      <c r="J22" s="15"/>
      <c r="K22" s="228">
        <f t="shared" si="1"/>
        <v>3.8195439355418688</v>
      </c>
      <c r="L22" s="228">
        <f t="shared" si="1"/>
        <v>0.44715803134221921</v>
      </c>
      <c r="M22" s="228">
        <f t="shared" si="1"/>
        <v>2</v>
      </c>
      <c r="N22" s="228">
        <f t="shared" si="1"/>
        <v>4.3424226808222066</v>
      </c>
      <c r="O22" s="228">
        <f t="shared" si="1"/>
        <v>2.4913616938342726</v>
      </c>
      <c r="P22" s="228">
        <f t="shared" si="1"/>
        <v>3.5185139398778875</v>
      </c>
      <c r="Q22" s="228">
        <f t="shared" si="1"/>
        <v>3.1139433523068369</v>
      </c>
      <c r="R22" s="228"/>
      <c r="S22" s="228"/>
      <c r="T22" s="2"/>
      <c r="U22" s="84" t="s">
        <v>7</v>
      </c>
      <c r="V22" s="51">
        <f>C63</f>
        <v>15678.049383727635</v>
      </c>
      <c r="W22" s="51">
        <f>C65</f>
        <v>7409.7835101078808</v>
      </c>
      <c r="X22" s="51">
        <f>C47</f>
        <v>10835.263603899213</v>
      </c>
      <c r="Y22" s="51">
        <f>C49</f>
        <v>3178.8362650504664</v>
      </c>
      <c r="Z22" s="61">
        <v>0.47</v>
      </c>
      <c r="AA22" s="364">
        <v>0.5</v>
      </c>
      <c r="AD22" s="18" t="s">
        <v>101</v>
      </c>
      <c r="AE22" s="250">
        <v>42275.465277777781</v>
      </c>
      <c r="AF22" s="15">
        <v>6600</v>
      </c>
      <c r="AG22" s="15">
        <v>2.8</v>
      </c>
      <c r="AH22" s="15">
        <v>100</v>
      </c>
      <c r="AI22" s="15">
        <v>22000</v>
      </c>
      <c r="AJ22" s="15">
        <v>310</v>
      </c>
      <c r="AK22" s="15">
        <v>3300</v>
      </c>
      <c r="AL22" s="15">
        <v>1300</v>
      </c>
    </row>
    <row r="23" spans="1:42" ht="18.75" customHeight="1" x14ac:dyDescent="0.25">
      <c r="A23" s="18" t="s">
        <v>101</v>
      </c>
      <c r="B23" s="250">
        <v>42303.652083333334</v>
      </c>
      <c r="C23" s="15">
        <v>13000</v>
      </c>
      <c r="D23" s="15">
        <v>2.5</v>
      </c>
      <c r="E23" s="15">
        <v>78</v>
      </c>
      <c r="F23" s="15">
        <v>37000</v>
      </c>
      <c r="G23" s="15">
        <v>350</v>
      </c>
      <c r="H23" s="15">
        <v>6500</v>
      </c>
      <c r="I23" s="15">
        <v>2800</v>
      </c>
      <c r="J23" s="15"/>
      <c r="K23" s="228">
        <f t="shared" si="1"/>
        <v>4.1139433523068369</v>
      </c>
      <c r="L23" s="228">
        <f t="shared" si="1"/>
        <v>0.3979400086720376</v>
      </c>
      <c r="M23" s="228">
        <f t="shared" si="1"/>
        <v>1.8920946026904804</v>
      </c>
      <c r="N23" s="228">
        <f t="shared" si="1"/>
        <v>4.568201724066995</v>
      </c>
      <c r="O23" s="228">
        <f t="shared" si="1"/>
        <v>2.5440680443502757</v>
      </c>
      <c r="P23" s="228">
        <f t="shared" si="1"/>
        <v>3.8129133566428557</v>
      </c>
      <c r="Q23" s="228">
        <f t="shared" si="1"/>
        <v>3.4471580313422194</v>
      </c>
      <c r="R23" s="228"/>
      <c r="S23" s="228"/>
      <c r="T23" s="2"/>
      <c r="U23" s="77" t="s">
        <v>1</v>
      </c>
      <c r="V23" s="86">
        <f>D63</f>
        <v>7.4575379920486196</v>
      </c>
      <c r="W23" s="86">
        <f>D65</f>
        <v>3.8814459827062722</v>
      </c>
      <c r="X23" s="86">
        <f>D47</f>
        <v>4.2325088921274867</v>
      </c>
      <c r="Y23" s="86">
        <f>D49</f>
        <v>1.2325115907887323</v>
      </c>
      <c r="Z23" s="62">
        <v>0.33</v>
      </c>
      <c r="AA23" s="55">
        <v>0.37</v>
      </c>
      <c r="AD23" s="18" t="s">
        <v>101</v>
      </c>
      <c r="AE23" s="250">
        <v>42303.652083333334</v>
      </c>
      <c r="AF23" s="15">
        <v>13000</v>
      </c>
      <c r="AG23" s="15">
        <v>2.5</v>
      </c>
      <c r="AH23" s="15">
        <v>78</v>
      </c>
      <c r="AI23" s="15">
        <v>37000</v>
      </c>
      <c r="AJ23" s="15">
        <v>350</v>
      </c>
      <c r="AK23" s="15">
        <v>6500</v>
      </c>
      <c r="AL23" s="15">
        <v>2800</v>
      </c>
    </row>
    <row r="24" spans="1:42" ht="18.75" customHeight="1" thickBot="1" x14ac:dyDescent="0.3">
      <c r="A24" s="15"/>
      <c r="B24" s="250"/>
      <c r="C24" s="15"/>
      <c r="D24" s="15"/>
      <c r="E24" s="15"/>
      <c r="F24" s="15"/>
      <c r="G24" s="15"/>
      <c r="H24" s="15"/>
      <c r="I24" s="15"/>
      <c r="J24" s="15"/>
      <c r="K24" s="228"/>
      <c r="L24" s="228"/>
      <c r="M24" s="228"/>
      <c r="N24" s="228"/>
      <c r="O24" s="228"/>
      <c r="P24" s="228"/>
      <c r="Q24" s="228"/>
      <c r="T24" s="2"/>
      <c r="U24" s="77" t="s">
        <v>2</v>
      </c>
      <c r="V24" s="53">
        <f>E63</f>
        <v>165.9364433513019</v>
      </c>
      <c r="W24" s="53">
        <f>E65</f>
        <v>59.892960076011157</v>
      </c>
      <c r="X24" s="53">
        <f>E47</f>
        <v>160.02591771750667</v>
      </c>
      <c r="Y24" s="53">
        <f>E49</f>
        <v>49.621333977577486</v>
      </c>
      <c r="Z24" s="62">
        <v>0.92</v>
      </c>
      <c r="AA24" s="55">
        <v>0.93</v>
      </c>
      <c r="AB24" s="5"/>
      <c r="AD24" s="17" t="s">
        <v>22</v>
      </c>
      <c r="AE24" s="210">
        <v>42493.618055555555</v>
      </c>
      <c r="AF24" s="15">
        <v>33000</v>
      </c>
      <c r="AG24" s="15">
        <v>13</v>
      </c>
      <c r="AH24" s="15">
        <v>510</v>
      </c>
      <c r="AI24" s="15">
        <v>79000</v>
      </c>
      <c r="AJ24" s="15">
        <v>400</v>
      </c>
      <c r="AK24" s="15">
        <v>12000</v>
      </c>
      <c r="AL24" s="15">
        <v>5200</v>
      </c>
    </row>
    <row r="25" spans="1:42" ht="18.75" customHeight="1" x14ac:dyDescent="0.25">
      <c r="A25" s="426" t="s">
        <v>155</v>
      </c>
      <c r="B25" s="429" t="s">
        <v>187</v>
      </c>
      <c r="C25" s="429"/>
      <c r="D25" s="429"/>
      <c r="E25" s="429"/>
      <c r="F25" s="429"/>
      <c r="G25" s="429"/>
      <c r="H25" s="429"/>
      <c r="I25" s="429"/>
      <c r="J25" s="429" t="s">
        <v>188</v>
      </c>
      <c r="K25" s="429"/>
      <c r="L25" s="429"/>
      <c r="M25" s="429"/>
      <c r="N25" s="429"/>
      <c r="O25" s="429"/>
      <c r="P25" s="429"/>
      <c r="Q25" s="430"/>
      <c r="R25" s="228"/>
      <c r="S25" s="228"/>
      <c r="T25" s="2"/>
      <c r="U25" s="84" t="s">
        <v>3</v>
      </c>
      <c r="V25" s="51">
        <f>F63</f>
        <v>42485.567975054677</v>
      </c>
      <c r="W25" s="51">
        <f>F65</f>
        <v>10917.674889828877</v>
      </c>
      <c r="X25" s="51">
        <f>F47</f>
        <v>39379.433529753849</v>
      </c>
      <c r="Y25" s="51">
        <f>F49</f>
        <v>5894.7237303492739</v>
      </c>
      <c r="Z25" s="61">
        <v>0.8</v>
      </c>
      <c r="AA25" s="52">
        <v>0.93</v>
      </c>
      <c r="AD25" s="17" t="s">
        <v>22</v>
      </c>
      <c r="AE25" s="210">
        <v>42501.469444444447</v>
      </c>
      <c r="AF25" s="15">
        <v>18000</v>
      </c>
      <c r="AG25" s="15">
        <v>6.6</v>
      </c>
      <c r="AH25" s="15">
        <v>270</v>
      </c>
      <c r="AI25" s="15">
        <v>51000</v>
      </c>
      <c r="AJ25" s="15">
        <v>340</v>
      </c>
      <c r="AK25" s="15">
        <v>6900</v>
      </c>
      <c r="AL25" s="15">
        <v>2200</v>
      </c>
    </row>
    <row r="26" spans="1:42" ht="18.75" customHeight="1" x14ac:dyDescent="0.25">
      <c r="A26" s="427"/>
      <c r="B26" s="274" t="s">
        <v>211</v>
      </c>
      <c r="C26" s="2" t="s">
        <v>7</v>
      </c>
      <c r="D26" s="2" t="s">
        <v>1</v>
      </c>
      <c r="E26" s="2" t="s">
        <v>2</v>
      </c>
      <c r="F26" s="2" t="s">
        <v>3</v>
      </c>
      <c r="G26" s="2" t="s">
        <v>4</v>
      </c>
      <c r="H26" s="2" t="s">
        <v>5</v>
      </c>
      <c r="I26" s="2" t="s">
        <v>6</v>
      </c>
      <c r="J26" s="274" t="s">
        <v>211</v>
      </c>
      <c r="K26" s="2" t="s">
        <v>7</v>
      </c>
      <c r="L26" s="2" t="s">
        <v>1</v>
      </c>
      <c r="M26" s="2" t="s">
        <v>2</v>
      </c>
      <c r="N26" s="2" t="s">
        <v>3</v>
      </c>
      <c r="O26" s="2" t="s">
        <v>4</v>
      </c>
      <c r="P26" s="2" t="s">
        <v>5</v>
      </c>
      <c r="Q26" s="243" t="s">
        <v>6</v>
      </c>
      <c r="R26" s="228"/>
      <c r="S26" s="228"/>
      <c r="T26" s="2"/>
      <c r="U26" s="84" t="s">
        <v>4</v>
      </c>
      <c r="V26" s="51">
        <f>G63</f>
        <v>294.30781042128552</v>
      </c>
      <c r="W26" s="51">
        <f>G65</f>
        <v>32.540999779765016</v>
      </c>
      <c r="X26" s="51">
        <f>G47</f>
        <v>353.79186844794901</v>
      </c>
      <c r="Y26" s="51">
        <f>G49</f>
        <v>11.180339887498947</v>
      </c>
      <c r="Z26" s="61">
        <v>0.18</v>
      </c>
      <c r="AA26" s="52">
        <v>0.21</v>
      </c>
      <c r="AD26" s="17" t="s">
        <v>22</v>
      </c>
      <c r="AE26" s="210">
        <v>42509.559027777781</v>
      </c>
      <c r="AF26" s="15">
        <v>9100</v>
      </c>
      <c r="AG26" s="15">
        <v>3.9</v>
      </c>
      <c r="AH26" s="15">
        <v>130</v>
      </c>
      <c r="AI26" s="15">
        <v>35000</v>
      </c>
      <c r="AJ26" s="15">
        <v>360</v>
      </c>
      <c r="AK26" s="15">
        <v>4300</v>
      </c>
      <c r="AL26" s="15">
        <v>1300</v>
      </c>
    </row>
    <row r="27" spans="1:42" ht="18.75" customHeight="1" x14ac:dyDescent="0.25">
      <c r="A27" s="427"/>
      <c r="B27" s="274" t="s">
        <v>174</v>
      </c>
      <c r="C27" s="276">
        <f t="shared" ref="C27:I27" si="2">GEOMEAN(C6:C23)</f>
        <v>9457.5888182831568</v>
      </c>
      <c r="D27" s="276">
        <f t="shared" si="2"/>
        <v>3.7902672289807899</v>
      </c>
      <c r="E27" s="276">
        <f t="shared" si="2"/>
        <v>134.57256560541038</v>
      </c>
      <c r="F27" s="276">
        <f t="shared" si="2"/>
        <v>28461.074564931536</v>
      </c>
      <c r="G27" s="276">
        <f t="shared" si="2"/>
        <v>368.75882985118443</v>
      </c>
      <c r="H27" s="276">
        <f t="shared" si="2"/>
        <v>3565.6271482174857</v>
      </c>
      <c r="I27" s="276">
        <f t="shared" si="2"/>
        <v>1410.7080346801358</v>
      </c>
      <c r="J27" s="221" t="s">
        <v>117</v>
      </c>
      <c r="K27" s="216">
        <f t="shared" ref="K27:Q27" si="3">AVERAGE(K6:K23)</f>
        <v>3.9757804285383096</v>
      </c>
      <c r="L27" s="216">
        <f t="shared" si="3"/>
        <v>0.57866983054339094</v>
      </c>
      <c r="M27" s="216">
        <f t="shared" si="3"/>
        <v>2.1289565322462267</v>
      </c>
      <c r="N27" s="216">
        <f t="shared" si="3"/>
        <v>4.4542512931063207</v>
      </c>
      <c r="O27" s="216">
        <f t="shared" si="3"/>
        <v>2.5667424281990563</v>
      </c>
      <c r="P27" s="216">
        <f t="shared" si="3"/>
        <v>3.5521359277519369</v>
      </c>
      <c r="Q27" s="275">
        <f t="shared" si="3"/>
        <v>3.1494371398721328</v>
      </c>
      <c r="R27" s="228"/>
      <c r="S27" s="228"/>
      <c r="T27" s="2"/>
      <c r="U27" s="84" t="s">
        <v>5</v>
      </c>
      <c r="V27" s="51">
        <f>H63</f>
        <v>5839.9304670824349</v>
      </c>
      <c r="W27" s="51">
        <f>H65</f>
        <v>2608.244939929275</v>
      </c>
      <c r="X27" s="51">
        <f>H47</f>
        <v>4138.7253020161343</v>
      </c>
      <c r="Y27" s="51">
        <f>H49</f>
        <v>1143.9963630062066</v>
      </c>
      <c r="Z27" s="61">
        <v>0.5</v>
      </c>
      <c r="AA27" s="52">
        <v>0.46</v>
      </c>
      <c r="AB27"/>
      <c r="AC27"/>
      <c r="AD27" s="17" t="s">
        <v>22</v>
      </c>
      <c r="AE27" s="210">
        <v>42516.538194444445</v>
      </c>
      <c r="AF27" s="15">
        <v>9700</v>
      </c>
      <c r="AG27" s="15">
        <v>3.4</v>
      </c>
      <c r="AH27" s="15">
        <v>130</v>
      </c>
      <c r="AI27" s="15">
        <v>39000</v>
      </c>
      <c r="AJ27" s="15">
        <v>340</v>
      </c>
      <c r="AK27" s="15">
        <v>3400</v>
      </c>
      <c r="AL27" s="15">
        <v>1100</v>
      </c>
    </row>
    <row r="28" spans="1:42" ht="18.75" customHeight="1" x14ac:dyDescent="0.25">
      <c r="A28" s="427"/>
      <c r="B28" s="274" t="s">
        <v>172</v>
      </c>
      <c r="C28" s="216">
        <f t="shared" ref="C28:I28" si="4">STDEV(C6:C23)</f>
        <v>3907.0086178391361</v>
      </c>
      <c r="D28" s="216">
        <f t="shared" si="4"/>
        <v>1.6304103497269435</v>
      </c>
      <c r="E28" s="216">
        <f t="shared" si="4"/>
        <v>93.931764971112074</v>
      </c>
      <c r="F28" s="216">
        <f t="shared" si="4"/>
        <v>5265.1052537754013</v>
      </c>
      <c r="G28" s="216">
        <f t="shared" si="4"/>
        <v>750.59012077948682</v>
      </c>
      <c r="H28" s="216">
        <f t="shared" si="4"/>
        <v>1762.7423117167014</v>
      </c>
      <c r="I28" s="216">
        <f t="shared" si="4"/>
        <v>868.40306445390968</v>
      </c>
      <c r="J28" s="221" t="s">
        <v>10</v>
      </c>
      <c r="K28" s="216">
        <f t="shared" ref="K28:Q28" si="5">STDEV(K6:K23)</f>
        <v>0.15640688099291858</v>
      </c>
      <c r="L28" s="216">
        <f t="shared" si="5"/>
        <v>0.16947659294075823</v>
      </c>
      <c r="M28" s="216">
        <f t="shared" si="5"/>
        <v>0.18871407233308288</v>
      </c>
      <c r="N28" s="216">
        <f t="shared" si="5"/>
        <v>7.8143277068100342E-2</v>
      </c>
      <c r="O28" s="216">
        <f t="shared" si="5"/>
        <v>0.25793576843593369</v>
      </c>
      <c r="P28" s="216">
        <f t="shared" si="5"/>
        <v>0.22703042948726296</v>
      </c>
      <c r="Q28" s="275">
        <f t="shared" si="5"/>
        <v>0.25966363143367727</v>
      </c>
      <c r="R28" s="228"/>
      <c r="S28" s="228"/>
      <c r="T28" s="2"/>
      <c r="U28" s="365" t="s">
        <v>6</v>
      </c>
      <c r="V28" s="366">
        <f>I63</f>
        <v>3687.331355715075</v>
      </c>
      <c r="W28" s="366">
        <f>I65</f>
        <v>1667.5481002557817</v>
      </c>
      <c r="X28" s="366">
        <f>I47</f>
        <v>1277.3394158245949</v>
      </c>
      <c r="Y28" s="366">
        <f>I49</f>
        <v>536.93221672492587</v>
      </c>
      <c r="Z28" s="367">
        <v>7.0000000000000007E-2</v>
      </c>
      <c r="AA28" s="368">
        <v>4.8000000000000001E-2</v>
      </c>
      <c r="AB28"/>
      <c r="AC28"/>
      <c r="AD28" s="17" t="s">
        <v>22</v>
      </c>
      <c r="AE28" s="210">
        <v>42522.538194444445</v>
      </c>
      <c r="AF28" s="15">
        <v>11000</v>
      </c>
      <c r="AG28" s="15">
        <v>3.4</v>
      </c>
      <c r="AH28" s="15">
        <v>140</v>
      </c>
      <c r="AI28" s="15">
        <v>37000</v>
      </c>
      <c r="AJ28" s="15">
        <v>320</v>
      </c>
      <c r="AK28" s="15">
        <v>3700</v>
      </c>
      <c r="AL28" s="15">
        <v>1000</v>
      </c>
    </row>
    <row r="29" spans="1:42" ht="33.75" customHeight="1" x14ac:dyDescent="0.25">
      <c r="A29" s="427"/>
      <c r="B29" s="274" t="s">
        <v>147</v>
      </c>
      <c r="C29" s="216">
        <f>C28/SQRT(C30)</f>
        <v>920.89076260944455</v>
      </c>
      <c r="D29" s="216">
        <f t="shared" ref="D29:Q29" si="6">D28/SQRT(D30)</f>
        <v>0.38429140480288415</v>
      </c>
      <c r="E29" s="216">
        <f t="shared" si="6"/>
        <v>22.139929326631453</v>
      </c>
      <c r="F29" s="216">
        <f t="shared" si="6"/>
        <v>1316.2763134438503</v>
      </c>
      <c r="G29" s="216">
        <f t="shared" si="6"/>
        <v>176.91578809826831</v>
      </c>
      <c r="H29" s="216">
        <f t="shared" si="6"/>
        <v>415.48234736644355</v>
      </c>
      <c r="I29" s="216">
        <f t="shared" si="6"/>
        <v>204.68456522617936</v>
      </c>
      <c r="J29" s="221" t="s">
        <v>116</v>
      </c>
      <c r="K29" s="216">
        <f t="shared" si="6"/>
        <v>3.6865455391443355E-2</v>
      </c>
      <c r="L29" s="216">
        <f t="shared" si="6"/>
        <v>3.9946016040267443E-2</v>
      </c>
      <c r="M29" s="216">
        <f t="shared" si="6"/>
        <v>4.4480333417350519E-2</v>
      </c>
      <c r="N29" s="216">
        <f t="shared" si="6"/>
        <v>1.9535819267025085E-2</v>
      </c>
      <c r="O29" s="216">
        <f t="shared" si="6"/>
        <v>6.0796043657203924E-2</v>
      </c>
      <c r="P29" s="216">
        <f t="shared" si="6"/>
        <v>5.3511585408712654E-2</v>
      </c>
      <c r="Q29" s="275">
        <f t="shared" si="6"/>
        <v>6.1203304871425855E-2</v>
      </c>
      <c r="R29" s="228"/>
      <c r="S29" s="228"/>
      <c r="T29" s="2"/>
      <c r="U29" s="46" t="s">
        <v>108</v>
      </c>
      <c r="V29" s="46">
        <v>4</v>
      </c>
      <c r="W29" s="46"/>
      <c r="X29" s="46">
        <v>8</v>
      </c>
      <c r="Y29" s="46"/>
      <c r="Z29" s="60"/>
      <c r="AA29" s="5"/>
      <c r="AB29"/>
      <c r="AC29"/>
      <c r="AD29" s="17" t="s">
        <v>22</v>
      </c>
      <c r="AE29" s="210">
        <v>42527.642361111109</v>
      </c>
      <c r="AF29" s="15">
        <v>7500</v>
      </c>
      <c r="AG29" s="15">
        <v>2.6</v>
      </c>
      <c r="AH29" s="15">
        <v>110</v>
      </c>
      <c r="AI29" s="15">
        <v>28000</v>
      </c>
      <c r="AJ29" s="15">
        <v>320</v>
      </c>
      <c r="AK29" s="15">
        <v>2000</v>
      </c>
      <c r="AL29" s="15">
        <v>750</v>
      </c>
    </row>
    <row r="30" spans="1:42" ht="21" customHeight="1" thickBot="1" x14ac:dyDescent="0.3">
      <c r="A30" s="428"/>
      <c r="B30" s="235" t="s">
        <v>173</v>
      </c>
      <c r="C30" s="254">
        <v>18</v>
      </c>
      <c r="D30" s="254">
        <v>18</v>
      </c>
      <c r="E30" s="254">
        <v>18</v>
      </c>
      <c r="F30" s="254">
        <v>16</v>
      </c>
      <c r="G30" s="254">
        <v>18</v>
      </c>
      <c r="H30" s="254">
        <v>18</v>
      </c>
      <c r="I30" s="254">
        <v>18</v>
      </c>
      <c r="J30" s="254" t="s">
        <v>173</v>
      </c>
      <c r="K30" s="254">
        <v>18</v>
      </c>
      <c r="L30" s="254">
        <v>18</v>
      </c>
      <c r="M30" s="254">
        <v>18</v>
      </c>
      <c r="N30" s="254">
        <v>16</v>
      </c>
      <c r="O30" s="254">
        <v>18</v>
      </c>
      <c r="P30" s="254">
        <v>18</v>
      </c>
      <c r="Q30" s="255">
        <v>18</v>
      </c>
      <c r="R30" s="228"/>
      <c r="S30" s="228"/>
      <c r="T30" s="2"/>
      <c r="U30" s="5"/>
      <c r="V30" s="5"/>
      <c r="W30" s="5"/>
      <c r="X30" s="5"/>
      <c r="Y30" s="5"/>
      <c r="Z30" s="5"/>
      <c r="AB30"/>
      <c r="AC30"/>
      <c r="AD30" s="17" t="s">
        <v>22</v>
      </c>
      <c r="AE30" s="210">
        <v>42528.395833333336</v>
      </c>
      <c r="AF30" s="15">
        <v>7200</v>
      </c>
      <c r="AG30" s="15">
        <v>3.2</v>
      </c>
      <c r="AH30" s="15">
        <v>100</v>
      </c>
      <c r="AI30" s="15">
        <v>35000</v>
      </c>
      <c r="AJ30" s="15">
        <v>360</v>
      </c>
      <c r="AK30" s="15">
        <v>3100</v>
      </c>
      <c r="AL30" s="15">
        <v>760</v>
      </c>
    </row>
    <row r="31" spans="1:42" ht="21" customHeight="1" x14ac:dyDescent="0.25">
      <c r="A31" s="290"/>
      <c r="B31" s="226"/>
      <c r="C31" s="290"/>
      <c r="D31" s="290"/>
      <c r="E31" s="290"/>
      <c r="F31" s="290"/>
      <c r="G31" s="290"/>
      <c r="H31" s="290"/>
      <c r="I31" s="290"/>
      <c r="J31" s="290"/>
      <c r="K31" s="290"/>
      <c r="L31" s="290"/>
      <c r="M31" s="290"/>
      <c r="N31" s="290"/>
      <c r="O31" s="290"/>
      <c r="P31" s="290"/>
      <c r="Q31" s="290"/>
      <c r="R31" s="227"/>
      <c r="S31" s="228"/>
      <c r="T31" s="2"/>
      <c r="U31" s="5"/>
      <c r="V31" s="5"/>
      <c r="W31" s="5"/>
      <c r="X31" s="5"/>
      <c r="Y31" s="291" t="s">
        <v>196</v>
      </c>
      <c r="Z31" s="5"/>
      <c r="AA31"/>
      <c r="AB31"/>
      <c r="AC31"/>
      <c r="AD31" s="17" t="s">
        <v>22</v>
      </c>
      <c r="AE31" s="210">
        <v>42536.5625</v>
      </c>
      <c r="AF31" s="15">
        <v>6100</v>
      </c>
      <c r="AG31" s="15">
        <v>3.2</v>
      </c>
      <c r="AH31" s="15">
        <v>120</v>
      </c>
      <c r="AI31" s="15">
        <v>29000</v>
      </c>
      <c r="AJ31" s="15">
        <v>400</v>
      </c>
      <c r="AK31" s="15">
        <v>3100</v>
      </c>
      <c r="AL31" s="15">
        <v>760</v>
      </c>
    </row>
    <row r="32" spans="1:42" ht="21" customHeight="1" x14ac:dyDescent="0.25">
      <c r="R32" s="228"/>
      <c r="S32" s="228"/>
      <c r="T32" s="2"/>
      <c r="U32" s="2"/>
      <c r="V32" s="2"/>
      <c r="W32" s="2"/>
      <c r="X32" s="2"/>
      <c r="Y32" s="2"/>
      <c r="Z32" s="2"/>
      <c r="AA32"/>
      <c r="AB32"/>
      <c r="AC32"/>
    </row>
    <row r="33" spans="1:36" ht="21" customHeight="1" x14ac:dyDescent="0.25">
      <c r="A33" s="432" t="s">
        <v>184</v>
      </c>
      <c r="B33" s="432"/>
      <c r="C33" s="432"/>
      <c r="D33" s="432"/>
      <c r="E33" s="432"/>
      <c r="F33" s="432"/>
      <c r="G33" s="432"/>
      <c r="H33" s="432"/>
      <c r="I33" s="432"/>
      <c r="J33" s="432"/>
      <c r="K33" s="432"/>
      <c r="L33" s="432"/>
      <c r="M33" s="432"/>
      <c r="N33" s="432"/>
      <c r="O33" s="432"/>
      <c r="P33" s="432"/>
      <c r="Q33" s="432"/>
      <c r="R33" s="228"/>
      <c r="S33" s="64"/>
      <c r="T33" s="2"/>
      <c r="U33" s="2"/>
      <c r="V33" s="2"/>
      <c r="W33" s="2"/>
      <c r="X33" s="2"/>
      <c r="Y33" s="2"/>
      <c r="Z33" s="2"/>
      <c r="AA33"/>
      <c r="AB33"/>
      <c r="AC33"/>
      <c r="AD33"/>
      <c r="AE33"/>
      <c r="AF33"/>
      <c r="AG33"/>
      <c r="AH33"/>
      <c r="AI33" s="2"/>
    </row>
    <row r="34" spans="1:36" ht="21" customHeight="1" x14ac:dyDescent="0.25">
      <c r="C34" s="421" t="s">
        <v>178</v>
      </c>
      <c r="D34" s="421"/>
      <c r="E34" s="421"/>
      <c r="F34" s="421"/>
      <c r="G34" s="421"/>
      <c r="H34" s="421"/>
      <c r="I34" s="421"/>
      <c r="K34" s="421" t="s">
        <v>179</v>
      </c>
      <c r="L34" s="421"/>
      <c r="M34" s="421"/>
      <c r="N34" s="421"/>
      <c r="O34" s="421"/>
      <c r="P34" s="421"/>
      <c r="Q34" s="421"/>
      <c r="R34" s="228"/>
      <c r="S34" s="64"/>
      <c r="T34" s="2"/>
      <c r="U34" s="2"/>
      <c r="V34" s="2"/>
      <c r="W34" s="2"/>
      <c r="X34" s="2"/>
      <c r="Y34" s="2"/>
      <c r="Z34" s="2"/>
      <c r="AA34"/>
      <c r="AB34"/>
      <c r="AC34"/>
      <c r="AD34"/>
      <c r="AE34"/>
      <c r="AF34"/>
      <c r="AG34"/>
      <c r="AH34"/>
      <c r="AI34" s="2"/>
    </row>
    <row r="35" spans="1:36" ht="21" customHeight="1" x14ac:dyDescent="0.25">
      <c r="C35" s="1" t="s">
        <v>7</v>
      </c>
      <c r="D35" s="1" t="s">
        <v>1</v>
      </c>
      <c r="E35" s="1" t="s">
        <v>2</v>
      </c>
      <c r="F35" s="1" t="s">
        <v>3</v>
      </c>
      <c r="G35" s="1" t="s">
        <v>4</v>
      </c>
      <c r="H35" s="1" t="s">
        <v>5</v>
      </c>
      <c r="I35" s="1" t="s">
        <v>6</v>
      </c>
      <c r="K35" s="1" t="s">
        <v>7</v>
      </c>
      <c r="L35" s="1" t="s">
        <v>1</v>
      </c>
      <c r="M35" s="1" t="s">
        <v>2</v>
      </c>
      <c r="N35" s="1" t="s">
        <v>3</v>
      </c>
      <c r="O35" s="1" t="s">
        <v>4</v>
      </c>
      <c r="P35" s="1" t="s">
        <v>5</v>
      </c>
      <c r="Q35" s="1" t="s">
        <v>6</v>
      </c>
      <c r="R35" s="64"/>
      <c r="S35" s="64"/>
      <c r="T35" s="2"/>
      <c r="U35" s="2"/>
      <c r="V35" s="2"/>
      <c r="W35" s="2"/>
      <c r="X35" s="2"/>
      <c r="Y35" s="2"/>
      <c r="Z35" s="2"/>
      <c r="AA35"/>
      <c r="AB35"/>
      <c r="AC35"/>
      <c r="AD35"/>
      <c r="AE35"/>
      <c r="AF35"/>
      <c r="AG35"/>
      <c r="AH35"/>
      <c r="AI35" s="2"/>
    </row>
    <row r="36" spans="1:36" ht="21" customHeight="1" x14ac:dyDescent="0.25">
      <c r="A36" s="17" t="s">
        <v>22</v>
      </c>
      <c r="B36" s="250">
        <v>42493.618055555555</v>
      </c>
      <c r="C36" s="15">
        <v>33000</v>
      </c>
      <c r="D36" s="15">
        <v>13</v>
      </c>
      <c r="E36" s="15">
        <v>510</v>
      </c>
      <c r="F36" s="15">
        <v>79000</v>
      </c>
      <c r="G36" s="15">
        <v>400</v>
      </c>
      <c r="H36" s="15">
        <v>12000</v>
      </c>
      <c r="I36" s="15">
        <v>5200</v>
      </c>
      <c r="J36" s="15"/>
      <c r="K36" s="228">
        <f t="shared" ref="K36:Q59" si="7">LOG(C36)</f>
        <v>4.5185139398778871</v>
      </c>
      <c r="L36" s="228">
        <f t="shared" si="7"/>
        <v>1.1139433523068367</v>
      </c>
      <c r="M36" s="228">
        <f t="shared" si="7"/>
        <v>2.7075701760979363</v>
      </c>
      <c r="N36" s="228">
        <f t="shared" si="7"/>
        <v>4.8976270912904418</v>
      </c>
      <c r="O36" s="228">
        <f t="shared" si="7"/>
        <v>2.6020599913279625</v>
      </c>
      <c r="P36" s="228">
        <f t="shared" si="7"/>
        <v>4.0791812460476251</v>
      </c>
      <c r="Q36" s="228">
        <f t="shared" si="7"/>
        <v>3.716003343634799</v>
      </c>
      <c r="R36" s="64"/>
      <c r="S36" s="64"/>
      <c r="T36" s="2"/>
      <c r="U36" s="2"/>
      <c r="V36" s="2"/>
      <c r="W36" s="2"/>
      <c r="X36" s="2"/>
      <c r="Y36" s="2"/>
      <c r="Z36" s="2"/>
      <c r="AA36"/>
      <c r="AB36"/>
      <c r="AC36"/>
      <c r="AD36"/>
      <c r="AE36"/>
      <c r="AF36"/>
      <c r="AG36"/>
      <c r="AH36"/>
      <c r="AI36" s="2"/>
    </row>
    <row r="37" spans="1:36" ht="21" customHeight="1" x14ac:dyDescent="0.25">
      <c r="A37" s="17" t="s">
        <v>22</v>
      </c>
      <c r="B37" s="250">
        <v>42501.469444444447</v>
      </c>
      <c r="C37" s="15">
        <v>18000</v>
      </c>
      <c r="D37" s="15">
        <v>6.6</v>
      </c>
      <c r="E37" s="15">
        <v>270</v>
      </c>
      <c r="F37" s="15">
        <v>51000</v>
      </c>
      <c r="G37" s="15">
        <v>340</v>
      </c>
      <c r="H37" s="15">
        <v>6900</v>
      </c>
      <c r="I37" s="15">
        <v>2200</v>
      </c>
      <c r="J37" s="15"/>
      <c r="K37" s="228">
        <f t="shared" si="7"/>
        <v>4.2552725051033065</v>
      </c>
      <c r="L37" s="228">
        <f t="shared" si="7"/>
        <v>0.81954393554186866</v>
      </c>
      <c r="M37" s="228">
        <f t="shared" si="7"/>
        <v>2.4313637641589874</v>
      </c>
      <c r="N37" s="228">
        <f t="shared" si="7"/>
        <v>4.7075701760979367</v>
      </c>
      <c r="O37" s="228">
        <f t="shared" si="7"/>
        <v>2.5314789170422549</v>
      </c>
      <c r="P37" s="228">
        <f t="shared" si="7"/>
        <v>3.8388490907372552</v>
      </c>
      <c r="Q37" s="228">
        <f t="shared" si="7"/>
        <v>3.3424226808222062</v>
      </c>
      <c r="R37" s="64"/>
      <c r="S37" s="228"/>
      <c r="T37" s="2"/>
      <c r="U37" s="2"/>
      <c r="V37" s="2"/>
      <c r="W37" s="2"/>
      <c r="X37" s="2"/>
      <c r="Y37" s="2"/>
      <c r="Z37" s="2"/>
      <c r="AA37"/>
      <c r="AB37"/>
      <c r="AC37"/>
      <c r="AD37"/>
      <c r="AE37"/>
      <c r="AF37"/>
      <c r="AG37"/>
      <c r="AH37"/>
      <c r="AI37" s="2"/>
    </row>
    <row r="38" spans="1:36" ht="21" customHeight="1" x14ac:dyDescent="0.25">
      <c r="A38" s="17" t="s">
        <v>22</v>
      </c>
      <c r="B38" s="250">
        <v>42509.559027777781</v>
      </c>
      <c r="C38" s="15">
        <v>9100</v>
      </c>
      <c r="D38" s="15">
        <v>3.9</v>
      </c>
      <c r="E38" s="15">
        <v>130</v>
      </c>
      <c r="F38" s="15">
        <v>35000</v>
      </c>
      <c r="G38" s="15">
        <v>360</v>
      </c>
      <c r="H38" s="15">
        <v>4300</v>
      </c>
      <c r="I38" s="15">
        <v>1300</v>
      </c>
      <c r="J38" s="15"/>
      <c r="K38" s="228">
        <f t="shared" si="7"/>
        <v>3.9590413923210934</v>
      </c>
      <c r="L38" s="228">
        <f t="shared" si="7"/>
        <v>0.59106460702649921</v>
      </c>
      <c r="M38" s="228">
        <f t="shared" si="7"/>
        <v>2.1139433523068369</v>
      </c>
      <c r="N38" s="228">
        <f t="shared" si="7"/>
        <v>4.5440680443502757</v>
      </c>
      <c r="O38" s="228">
        <f t="shared" si="7"/>
        <v>2.5563025007672873</v>
      </c>
      <c r="P38" s="228">
        <f t="shared" si="7"/>
        <v>3.6334684555795866</v>
      </c>
      <c r="Q38" s="228">
        <f t="shared" si="7"/>
        <v>3.1139433523068369</v>
      </c>
      <c r="R38" s="64"/>
      <c r="S38" s="228"/>
      <c r="T38" s="2"/>
      <c r="U38" s="2"/>
      <c r="V38" s="2"/>
      <c r="W38" s="2"/>
      <c r="X38" s="2"/>
      <c r="Y38" s="2"/>
      <c r="Z38" s="2"/>
      <c r="AA38"/>
      <c r="AB38"/>
      <c r="AC38"/>
      <c r="AD38"/>
      <c r="AE38"/>
      <c r="AF38"/>
      <c r="AG38"/>
      <c r="AH38"/>
      <c r="AI38" s="2"/>
    </row>
    <row r="39" spans="1:36" ht="21" customHeight="1" x14ac:dyDescent="0.25">
      <c r="A39" s="17" t="s">
        <v>22</v>
      </c>
      <c r="B39" s="250">
        <v>42516.538194444445</v>
      </c>
      <c r="C39" s="15">
        <v>9700</v>
      </c>
      <c r="D39" s="15">
        <v>3.4</v>
      </c>
      <c r="E39" s="15">
        <v>130</v>
      </c>
      <c r="F39" s="15">
        <v>39000</v>
      </c>
      <c r="G39" s="15">
        <v>340</v>
      </c>
      <c r="H39" s="15">
        <v>3400</v>
      </c>
      <c r="I39" s="15">
        <v>1100</v>
      </c>
      <c r="J39" s="15"/>
      <c r="K39" s="228">
        <f t="shared" si="7"/>
        <v>3.9867717342662448</v>
      </c>
      <c r="L39" s="228">
        <f t="shared" si="7"/>
        <v>0.53147891704225514</v>
      </c>
      <c r="M39" s="228">
        <f t="shared" si="7"/>
        <v>2.1139433523068369</v>
      </c>
      <c r="N39" s="228">
        <f t="shared" si="7"/>
        <v>4.5910646070264995</v>
      </c>
      <c r="O39" s="228">
        <f t="shared" si="7"/>
        <v>2.5314789170422549</v>
      </c>
      <c r="P39" s="228">
        <f t="shared" si="7"/>
        <v>3.5314789170422549</v>
      </c>
      <c r="Q39" s="228">
        <f t="shared" si="7"/>
        <v>3.0413926851582249</v>
      </c>
      <c r="R39" s="228"/>
      <c r="S39" s="228"/>
      <c r="T39" s="2"/>
      <c r="U39" s="2"/>
      <c r="V39" s="2"/>
      <c r="W39" s="2"/>
      <c r="X39" s="2"/>
      <c r="Y39" s="2"/>
      <c r="Z39" s="2"/>
      <c r="AA39"/>
      <c r="AB39"/>
      <c r="AC39"/>
      <c r="AD39"/>
      <c r="AE39"/>
      <c r="AF39"/>
      <c r="AG39"/>
      <c r="AH39"/>
      <c r="AI39" s="2"/>
    </row>
    <row r="40" spans="1:36" ht="21" customHeight="1" x14ac:dyDescent="0.25">
      <c r="A40" s="17" t="s">
        <v>22</v>
      </c>
      <c r="B40" s="250">
        <v>42522.538194444445</v>
      </c>
      <c r="C40" s="15">
        <v>11000</v>
      </c>
      <c r="D40" s="15">
        <v>3.4</v>
      </c>
      <c r="E40" s="15">
        <v>140</v>
      </c>
      <c r="F40" s="15">
        <v>37000</v>
      </c>
      <c r="G40" s="15">
        <v>320</v>
      </c>
      <c r="H40" s="15">
        <v>3700</v>
      </c>
      <c r="I40" s="15">
        <v>1000</v>
      </c>
      <c r="J40" s="15"/>
      <c r="K40" s="228">
        <f t="shared" si="7"/>
        <v>4.0413926851582254</v>
      </c>
      <c r="L40" s="228">
        <f t="shared" si="7"/>
        <v>0.53147891704225514</v>
      </c>
      <c r="M40" s="228">
        <f t="shared" si="7"/>
        <v>2.1461280356782382</v>
      </c>
      <c r="N40" s="228">
        <f t="shared" si="7"/>
        <v>4.568201724066995</v>
      </c>
      <c r="O40" s="228">
        <f t="shared" si="7"/>
        <v>2.5051499783199058</v>
      </c>
      <c r="P40" s="228">
        <f t="shared" si="7"/>
        <v>3.568201724066995</v>
      </c>
      <c r="Q40" s="228">
        <f t="shared" si="7"/>
        <v>3</v>
      </c>
      <c r="R40" s="228"/>
      <c r="S40" s="228"/>
      <c r="T40" s="2"/>
      <c r="U40" s="2"/>
      <c r="V40" s="2"/>
      <c r="W40" s="2"/>
      <c r="X40" s="2"/>
      <c r="Y40" s="2"/>
      <c r="Z40" s="2"/>
      <c r="AA40"/>
      <c r="AB40"/>
      <c r="AC40"/>
      <c r="AD40"/>
      <c r="AE40"/>
      <c r="AF40"/>
      <c r="AG40"/>
      <c r="AH40"/>
      <c r="AI40" s="2"/>
      <c r="AJ40" s="2"/>
    </row>
    <row r="41" spans="1:36" ht="21" customHeight="1" x14ac:dyDescent="0.25">
      <c r="A41" s="17" t="s">
        <v>22</v>
      </c>
      <c r="B41" s="250">
        <v>42527.642361111109</v>
      </c>
      <c r="C41" s="15">
        <v>7500</v>
      </c>
      <c r="D41" s="15">
        <v>2.6</v>
      </c>
      <c r="E41" s="15">
        <v>110</v>
      </c>
      <c r="F41" s="15">
        <v>28000</v>
      </c>
      <c r="G41" s="15">
        <v>320</v>
      </c>
      <c r="H41" s="15">
        <v>2000</v>
      </c>
      <c r="I41" s="15">
        <v>750</v>
      </c>
      <c r="J41" s="15"/>
      <c r="K41" s="228">
        <f t="shared" si="7"/>
        <v>3.8750612633917001</v>
      </c>
      <c r="L41" s="228">
        <f t="shared" si="7"/>
        <v>0.41497334797081797</v>
      </c>
      <c r="M41" s="228">
        <f t="shared" si="7"/>
        <v>2.0413926851582249</v>
      </c>
      <c r="N41" s="228">
        <f t="shared" si="7"/>
        <v>4.4471580313422194</v>
      </c>
      <c r="O41" s="228">
        <f t="shared" si="7"/>
        <v>2.5051499783199058</v>
      </c>
      <c r="P41" s="228">
        <f t="shared" si="7"/>
        <v>3.3010299956639813</v>
      </c>
      <c r="Q41" s="228">
        <f t="shared" si="7"/>
        <v>2.8750612633917001</v>
      </c>
      <c r="R41" s="228"/>
      <c r="S41" s="15"/>
      <c r="T41" s="2"/>
      <c r="U41" s="5"/>
      <c r="V41" s="5"/>
      <c r="W41" s="5"/>
      <c r="X41" s="5"/>
      <c r="Y41" s="5"/>
      <c r="Z41" s="2"/>
      <c r="AA41"/>
      <c r="AB41"/>
      <c r="AC41"/>
      <c r="AD41"/>
      <c r="AE41"/>
      <c r="AF41"/>
      <c r="AG41"/>
      <c r="AH41"/>
      <c r="AI41" s="2"/>
      <c r="AJ41" s="2"/>
    </row>
    <row r="42" spans="1:36" ht="21" customHeight="1" x14ac:dyDescent="0.25">
      <c r="A42" s="17" t="s">
        <v>22</v>
      </c>
      <c r="B42" s="250">
        <v>42528.395833333336</v>
      </c>
      <c r="C42" s="15">
        <v>7200</v>
      </c>
      <c r="D42" s="15">
        <v>3.2</v>
      </c>
      <c r="E42" s="15">
        <v>100</v>
      </c>
      <c r="F42" s="15">
        <v>35000</v>
      </c>
      <c r="G42" s="15">
        <v>360</v>
      </c>
      <c r="H42" s="15">
        <v>3100</v>
      </c>
      <c r="I42" s="15">
        <v>760</v>
      </c>
      <c r="J42" s="15"/>
      <c r="K42" s="228">
        <f t="shared" si="7"/>
        <v>3.8573324964312685</v>
      </c>
      <c r="L42" s="228">
        <f t="shared" si="7"/>
        <v>0.50514997831990605</v>
      </c>
      <c r="M42" s="228">
        <f t="shared" si="7"/>
        <v>2</v>
      </c>
      <c r="N42" s="228">
        <f t="shared" si="7"/>
        <v>4.5440680443502757</v>
      </c>
      <c r="O42" s="228">
        <f t="shared" si="7"/>
        <v>2.5563025007672873</v>
      </c>
      <c r="P42" s="228">
        <f t="shared" si="7"/>
        <v>3.4913616938342726</v>
      </c>
      <c r="Q42" s="228">
        <f t="shared" si="7"/>
        <v>2.8808135922807914</v>
      </c>
      <c r="R42" s="228"/>
      <c r="T42" s="2"/>
      <c r="U42" s="2"/>
      <c r="V42" s="2"/>
      <c r="W42" s="2"/>
      <c r="X42" s="2"/>
      <c r="Y42" s="2"/>
      <c r="Z42" s="2"/>
      <c r="AA42"/>
      <c r="AB42"/>
      <c r="AC42"/>
      <c r="AD42"/>
      <c r="AE42"/>
      <c r="AF42"/>
      <c r="AG42"/>
      <c r="AH42"/>
      <c r="AI42" s="2"/>
      <c r="AJ42" s="2"/>
    </row>
    <row r="43" spans="1:36" ht="21" customHeight="1" x14ac:dyDescent="0.25">
      <c r="A43" s="17" t="s">
        <v>22</v>
      </c>
      <c r="B43" s="250">
        <v>42536.5625</v>
      </c>
      <c r="C43" s="15">
        <v>6100</v>
      </c>
      <c r="D43" s="15">
        <v>3.2</v>
      </c>
      <c r="E43" s="15">
        <v>120</v>
      </c>
      <c r="F43" s="15">
        <v>29000</v>
      </c>
      <c r="G43" s="15">
        <v>400</v>
      </c>
      <c r="H43" s="15">
        <v>3100</v>
      </c>
      <c r="I43" s="15">
        <v>760</v>
      </c>
      <c r="J43" s="15"/>
      <c r="K43" s="228">
        <f t="shared" si="7"/>
        <v>3.7853298350107671</v>
      </c>
      <c r="L43" s="228">
        <f t="shared" si="7"/>
        <v>0.50514997831990605</v>
      </c>
      <c r="M43" s="228">
        <f t="shared" si="7"/>
        <v>2.0791812460476247</v>
      </c>
      <c r="N43" s="228">
        <f t="shared" si="7"/>
        <v>4.4623979978989565</v>
      </c>
      <c r="O43" s="228">
        <f t="shared" si="7"/>
        <v>2.6020599913279625</v>
      </c>
      <c r="P43" s="228">
        <f t="shared" si="7"/>
        <v>3.4913616938342726</v>
      </c>
      <c r="Q43" s="228">
        <f t="shared" si="7"/>
        <v>2.8808135922807914</v>
      </c>
      <c r="R43" s="15"/>
      <c r="T43" s="2"/>
      <c r="U43" s="2"/>
      <c r="V43" s="2"/>
      <c r="W43" s="2"/>
      <c r="X43" s="2"/>
      <c r="Y43" s="2"/>
      <c r="Z43" s="2"/>
      <c r="AA43"/>
      <c r="AB43"/>
      <c r="AC43"/>
      <c r="AD43"/>
      <c r="AE43"/>
      <c r="AF43"/>
      <c r="AG43"/>
      <c r="AH43"/>
      <c r="AI43" s="2"/>
      <c r="AJ43" s="2"/>
    </row>
    <row r="44" spans="1:36" ht="21" customHeight="1" thickBot="1" x14ac:dyDescent="0.3">
      <c r="K44" s="64"/>
      <c r="L44" s="64"/>
      <c r="M44" s="64"/>
      <c r="N44" s="64"/>
      <c r="O44" s="64"/>
      <c r="P44" s="64"/>
      <c r="Q44" s="64"/>
      <c r="U44" s="2"/>
      <c r="V44" s="2"/>
      <c r="W44" s="2"/>
      <c r="X44" s="2"/>
      <c r="Y44" s="2"/>
      <c r="Z44" s="2"/>
      <c r="AA44"/>
      <c r="AB44" s="2"/>
      <c r="AC44" s="2"/>
      <c r="AD44" s="2"/>
      <c r="AE44" s="2"/>
      <c r="AF44" s="2"/>
      <c r="AG44" s="2"/>
      <c r="AH44" s="2"/>
      <c r="AI44" s="2"/>
      <c r="AJ44" s="2"/>
    </row>
    <row r="45" spans="1:36" ht="21" customHeight="1" x14ac:dyDescent="0.25">
      <c r="A45" s="426" t="s">
        <v>152</v>
      </c>
      <c r="B45" s="429" t="s">
        <v>180</v>
      </c>
      <c r="C45" s="429"/>
      <c r="D45" s="429"/>
      <c r="E45" s="429"/>
      <c r="F45" s="429"/>
      <c r="G45" s="429"/>
      <c r="H45" s="429"/>
      <c r="I45" s="429"/>
      <c r="J45" s="429" t="s">
        <v>179</v>
      </c>
      <c r="K45" s="429"/>
      <c r="L45" s="429"/>
      <c r="M45" s="429"/>
      <c r="N45" s="429"/>
      <c r="O45" s="429"/>
      <c r="P45" s="429"/>
      <c r="Q45" s="430"/>
      <c r="U45" s="2"/>
      <c r="V45" s="2"/>
      <c r="W45" s="2"/>
      <c r="X45" s="2"/>
      <c r="Y45" s="2"/>
      <c r="Z45" s="2"/>
      <c r="AA45" s="2"/>
      <c r="AB45" s="2"/>
      <c r="AC45" s="2"/>
      <c r="AD45" s="2"/>
      <c r="AE45" s="2"/>
      <c r="AF45" s="2"/>
      <c r="AG45" s="6"/>
      <c r="AH45" s="6"/>
      <c r="AI45" s="2"/>
      <c r="AJ45" s="2"/>
    </row>
    <row r="46" spans="1:36" ht="21" customHeight="1" x14ac:dyDescent="0.25">
      <c r="A46" s="427"/>
      <c r="B46" s="274" t="s">
        <v>211</v>
      </c>
      <c r="C46" s="2" t="s">
        <v>7</v>
      </c>
      <c r="D46" s="2" t="s">
        <v>1</v>
      </c>
      <c r="E46" s="2" t="s">
        <v>2</v>
      </c>
      <c r="F46" s="2" t="s">
        <v>3</v>
      </c>
      <c r="G46" s="2" t="s">
        <v>4</v>
      </c>
      <c r="H46" s="2" t="s">
        <v>5</v>
      </c>
      <c r="I46" s="2" t="s">
        <v>6</v>
      </c>
      <c r="J46" s="274" t="s">
        <v>211</v>
      </c>
      <c r="K46" s="2" t="s">
        <v>7</v>
      </c>
      <c r="L46" s="2" t="s">
        <v>1</v>
      </c>
      <c r="M46" s="2" t="s">
        <v>2</v>
      </c>
      <c r="N46" s="2" t="s">
        <v>3</v>
      </c>
      <c r="O46" s="2" t="s">
        <v>4</v>
      </c>
      <c r="P46" s="2" t="s">
        <v>5</v>
      </c>
      <c r="Q46" s="243" t="s">
        <v>6</v>
      </c>
      <c r="U46" s="2"/>
      <c r="V46" s="2"/>
      <c r="W46" s="2"/>
      <c r="X46" s="2"/>
      <c r="Y46" s="2"/>
      <c r="Z46" s="2"/>
      <c r="AA46" s="2"/>
      <c r="AB46" s="5"/>
      <c r="AC46" s="5"/>
      <c r="AD46" s="5"/>
      <c r="AE46" s="2"/>
      <c r="AF46" s="2"/>
      <c r="AG46" s="2"/>
      <c r="AH46" s="2"/>
      <c r="AI46" s="2"/>
      <c r="AJ46" s="2"/>
    </row>
    <row r="47" spans="1:36" ht="21" customHeight="1" x14ac:dyDescent="0.25">
      <c r="A47" s="427"/>
      <c r="B47" s="274" t="s">
        <v>174</v>
      </c>
      <c r="C47" s="276">
        <f t="shared" ref="C47:I47" si="8">GEOMEAN(C36:C43)</f>
        <v>10835.263603899213</v>
      </c>
      <c r="D47" s="276">
        <f t="shared" si="8"/>
        <v>4.2325088921274867</v>
      </c>
      <c r="E47" s="276">
        <f t="shared" si="8"/>
        <v>160.02591771750667</v>
      </c>
      <c r="F47" s="276">
        <f t="shared" si="8"/>
        <v>39379.433529753849</v>
      </c>
      <c r="G47" s="276">
        <f t="shared" si="8"/>
        <v>353.79186844794901</v>
      </c>
      <c r="H47" s="276">
        <f t="shared" si="8"/>
        <v>4138.7253020161343</v>
      </c>
      <c r="I47" s="276">
        <f t="shared" si="8"/>
        <v>1277.3394158245949</v>
      </c>
      <c r="J47" s="221" t="s">
        <v>117</v>
      </c>
      <c r="K47" s="216">
        <f t="shared" ref="K47:Q47" si="9">AVERAGE(K36:K43)</f>
        <v>4.0348394814450614</v>
      </c>
      <c r="L47" s="216">
        <f t="shared" si="9"/>
        <v>0.62659787919629317</v>
      </c>
      <c r="M47" s="216">
        <f t="shared" si="9"/>
        <v>2.2041903264693357</v>
      </c>
      <c r="N47" s="216">
        <f t="shared" si="9"/>
        <v>4.5952694645529499</v>
      </c>
      <c r="O47" s="216">
        <f t="shared" si="9"/>
        <v>2.548747846864353</v>
      </c>
      <c r="P47" s="216">
        <f t="shared" si="9"/>
        <v>3.6168666021007803</v>
      </c>
      <c r="Q47" s="275">
        <f t="shared" si="9"/>
        <v>3.1063063137344189</v>
      </c>
      <c r="U47" s="5"/>
      <c r="V47" s="5"/>
      <c r="W47" s="5"/>
      <c r="X47" s="5"/>
      <c r="Y47" s="5"/>
      <c r="Z47" s="5"/>
      <c r="AA47" s="5"/>
      <c r="AB47" s="2"/>
      <c r="AC47" s="2"/>
      <c r="AD47" s="2"/>
      <c r="AE47" s="2"/>
      <c r="AF47" s="2"/>
      <c r="AG47" s="2"/>
      <c r="AH47" s="2"/>
      <c r="AI47" s="2"/>
      <c r="AJ47" s="2"/>
    </row>
    <row r="48" spans="1:36" ht="21" customHeight="1" x14ac:dyDescent="0.25">
      <c r="A48" s="427"/>
      <c r="B48" s="274" t="s">
        <v>172</v>
      </c>
      <c r="C48" s="216">
        <f t="shared" ref="C48:I48" si="10">STDEV(C36:C43)</f>
        <v>8991.1067171956092</v>
      </c>
      <c r="D48" s="216">
        <f t="shared" si="10"/>
        <v>3.4860692149509274</v>
      </c>
      <c r="E48" s="216">
        <f t="shared" si="10"/>
        <v>140.35032698826993</v>
      </c>
      <c r="F48" s="216">
        <f t="shared" si="10"/>
        <v>16672.796491804933</v>
      </c>
      <c r="G48" s="216">
        <f t="shared" si="10"/>
        <v>31.622776601683793</v>
      </c>
      <c r="H48" s="216">
        <f t="shared" si="10"/>
        <v>3235.7103437377441</v>
      </c>
      <c r="I48" s="216">
        <f t="shared" si="10"/>
        <v>1518.6736459348804</v>
      </c>
      <c r="J48" s="221" t="s">
        <v>10</v>
      </c>
      <c r="K48" s="216">
        <f t="shared" ref="K48:Q48" si="11">STDEV(K36:K43)</f>
        <v>0.24199273162897222</v>
      </c>
      <c r="L48" s="216">
        <f t="shared" si="11"/>
        <v>0.22940163333744956</v>
      </c>
      <c r="M48" s="216">
        <f t="shared" si="11"/>
        <v>0.24156730435539653</v>
      </c>
      <c r="N48" s="216">
        <f t="shared" si="11"/>
        <v>0.14619796843504121</v>
      </c>
      <c r="O48" s="216">
        <f t="shared" si="11"/>
        <v>3.8165981942492551E-2</v>
      </c>
      <c r="P48" s="216">
        <f t="shared" si="11"/>
        <v>0.24029794894940978</v>
      </c>
      <c r="Q48" s="275">
        <f t="shared" si="11"/>
        <v>0.29233609598593824</v>
      </c>
      <c r="U48" s="2"/>
      <c r="V48" s="2"/>
      <c r="W48" s="2"/>
      <c r="X48" s="2"/>
      <c r="Y48" s="2"/>
      <c r="Z48" s="2"/>
      <c r="AA48" s="2"/>
      <c r="AB48" s="2"/>
      <c r="AC48" s="2"/>
      <c r="AD48" s="2"/>
      <c r="AE48" s="2"/>
      <c r="AF48" s="2"/>
      <c r="AG48" s="2"/>
      <c r="AH48" s="2"/>
      <c r="AI48" s="2"/>
      <c r="AJ48" s="2"/>
    </row>
    <row r="49" spans="1:36" ht="21" customHeight="1" x14ac:dyDescent="0.25">
      <c r="A49" s="427"/>
      <c r="B49" s="274" t="s">
        <v>147</v>
      </c>
      <c r="C49" s="216">
        <f>C48/SQRT(C50)</f>
        <v>3178.8362650504664</v>
      </c>
      <c r="D49" s="216">
        <f t="shared" ref="D49:I49" si="12">D48/SQRT(D50)</f>
        <v>1.2325115907887323</v>
      </c>
      <c r="E49" s="216">
        <f t="shared" si="12"/>
        <v>49.621333977577486</v>
      </c>
      <c r="F49" s="216">
        <f t="shared" si="12"/>
        <v>5894.7237303492739</v>
      </c>
      <c r="G49" s="216">
        <f t="shared" si="12"/>
        <v>11.180339887498947</v>
      </c>
      <c r="H49" s="216">
        <f t="shared" si="12"/>
        <v>1143.9963630062066</v>
      </c>
      <c r="I49" s="216">
        <f t="shared" si="12"/>
        <v>536.93221672492587</v>
      </c>
      <c r="J49" s="221" t="s">
        <v>116</v>
      </c>
      <c r="K49" s="216">
        <f t="shared" ref="K49:Q49" si="13">K48/SQRT(K50)</f>
        <v>8.5557350766351278E-2</v>
      </c>
      <c r="L49" s="216">
        <f t="shared" si="13"/>
        <v>8.1105725274090268E-2</v>
      </c>
      <c r="M49" s="216">
        <f t="shared" si="13"/>
        <v>8.5406939511327745E-2</v>
      </c>
      <c r="N49" s="216">
        <f t="shared" si="13"/>
        <v>5.1688787438057229E-2</v>
      </c>
      <c r="O49" s="216">
        <f t="shared" si="13"/>
        <v>1.3493712321089901E-2</v>
      </c>
      <c r="P49" s="216">
        <f t="shared" si="13"/>
        <v>8.495815460367323E-2</v>
      </c>
      <c r="Q49" s="275">
        <f t="shared" si="13"/>
        <v>0.10335641792862918</v>
      </c>
      <c r="U49" s="2"/>
      <c r="V49" s="2"/>
      <c r="W49" s="2"/>
      <c r="X49" s="2"/>
      <c r="Y49" s="2"/>
      <c r="Z49" s="2"/>
      <c r="AA49" s="2"/>
      <c r="AB49" s="2"/>
      <c r="AC49" s="2"/>
      <c r="AD49" s="2"/>
      <c r="AE49" s="2"/>
      <c r="AF49" s="2"/>
      <c r="AG49" s="2"/>
      <c r="AH49" s="2"/>
      <c r="AI49" s="2"/>
      <c r="AJ49" s="2"/>
    </row>
    <row r="50" spans="1:36" ht="21" customHeight="1" thickBot="1" x14ac:dyDescent="0.3">
      <c r="A50" s="428"/>
      <c r="B50" s="235" t="s">
        <v>173</v>
      </c>
      <c r="C50" s="254">
        <v>8</v>
      </c>
      <c r="D50" s="254">
        <v>8</v>
      </c>
      <c r="E50" s="254">
        <v>8</v>
      </c>
      <c r="F50" s="254">
        <v>8</v>
      </c>
      <c r="G50" s="254">
        <v>8</v>
      </c>
      <c r="H50" s="254">
        <v>8</v>
      </c>
      <c r="I50" s="254">
        <v>8</v>
      </c>
      <c r="J50" s="254" t="s">
        <v>173</v>
      </c>
      <c r="K50" s="254">
        <v>8</v>
      </c>
      <c r="L50" s="254">
        <v>8</v>
      </c>
      <c r="M50" s="254">
        <v>8</v>
      </c>
      <c r="N50" s="254">
        <v>8</v>
      </c>
      <c r="O50" s="254">
        <v>8</v>
      </c>
      <c r="P50" s="254">
        <v>8</v>
      </c>
      <c r="Q50" s="255">
        <v>8</v>
      </c>
      <c r="U50" s="2"/>
      <c r="V50" s="2"/>
      <c r="W50" s="2"/>
      <c r="X50" s="2"/>
      <c r="Y50" s="2"/>
      <c r="Z50" s="2"/>
      <c r="AA50" s="2"/>
      <c r="AB50" s="2"/>
      <c r="AC50" s="2"/>
      <c r="AD50" s="2"/>
      <c r="AE50" s="2"/>
      <c r="AF50" s="2"/>
      <c r="AG50" s="2"/>
      <c r="AH50" s="2"/>
      <c r="AI50" s="2"/>
      <c r="AJ50" s="2"/>
    </row>
    <row r="51" spans="1:36" ht="21" customHeight="1" x14ac:dyDescent="0.25">
      <c r="A51" s="281"/>
      <c r="B51" s="282"/>
      <c r="C51" s="283"/>
      <c r="D51" s="283"/>
      <c r="E51" s="283"/>
      <c r="F51" s="283"/>
      <c r="G51" s="283"/>
      <c r="H51" s="283"/>
      <c r="I51" s="283"/>
      <c r="J51" s="283"/>
      <c r="K51" s="283"/>
      <c r="L51" s="283"/>
      <c r="M51" s="283"/>
      <c r="N51" s="283"/>
      <c r="O51" s="283"/>
      <c r="P51" s="283"/>
      <c r="Q51" s="283"/>
      <c r="U51" s="2"/>
      <c r="V51" s="2"/>
      <c r="W51" s="2"/>
      <c r="X51" s="2"/>
      <c r="Y51" s="2"/>
      <c r="Z51" s="2"/>
      <c r="AA51" s="2"/>
      <c r="AB51" s="5"/>
      <c r="AC51" s="5"/>
      <c r="AD51" s="5"/>
      <c r="AE51" s="2"/>
      <c r="AF51" s="2"/>
      <c r="AG51" s="2"/>
      <c r="AH51" s="2"/>
      <c r="AI51" s="2"/>
      <c r="AJ51" s="2"/>
    </row>
    <row r="52" spans="1:36" ht="21" customHeight="1" x14ac:dyDescent="0.25">
      <c r="C52" s="28"/>
      <c r="D52" s="28"/>
      <c r="E52" s="28"/>
      <c r="F52" s="28"/>
      <c r="G52" s="28"/>
      <c r="H52" s="28"/>
      <c r="I52" s="28"/>
      <c r="K52" s="64"/>
      <c r="L52" s="64"/>
      <c r="M52" s="64"/>
      <c r="N52" s="64"/>
      <c r="O52" s="64"/>
      <c r="P52" s="64"/>
      <c r="Q52" s="64"/>
      <c r="U52" s="5"/>
      <c r="V52" s="5"/>
      <c r="W52" s="5"/>
      <c r="X52" s="5"/>
      <c r="Y52" s="5"/>
      <c r="Z52" s="5"/>
      <c r="AA52" s="5"/>
      <c r="AB52" s="2"/>
      <c r="AC52" s="2"/>
      <c r="AD52" s="2"/>
      <c r="AE52" s="2"/>
      <c r="AF52" s="2"/>
      <c r="AG52" s="2"/>
      <c r="AH52" s="2"/>
      <c r="AI52" s="2"/>
      <c r="AJ52" s="2"/>
    </row>
    <row r="53" spans="1:36" ht="21" customHeight="1" x14ac:dyDescent="0.25">
      <c r="A53" s="432" t="s">
        <v>185</v>
      </c>
      <c r="B53" s="432"/>
      <c r="C53" s="432"/>
      <c r="D53" s="432"/>
      <c r="E53" s="432"/>
      <c r="F53" s="432"/>
      <c r="G53" s="432"/>
      <c r="H53" s="432"/>
      <c r="I53" s="432"/>
      <c r="J53" s="432"/>
      <c r="K53" s="432"/>
      <c r="L53" s="432"/>
      <c r="M53" s="432"/>
      <c r="N53" s="432"/>
      <c r="O53" s="432"/>
      <c r="P53" s="432"/>
      <c r="Q53" s="432"/>
      <c r="U53" s="2"/>
      <c r="V53" s="2"/>
      <c r="W53" s="2"/>
      <c r="X53" s="2"/>
      <c r="Y53" s="2"/>
      <c r="Z53" s="2"/>
      <c r="AA53" s="2"/>
      <c r="AB53" s="2"/>
      <c r="AC53" s="2"/>
      <c r="AD53" s="2"/>
      <c r="AE53" s="2"/>
      <c r="AF53" s="2"/>
      <c r="AG53" s="2"/>
      <c r="AH53" s="2"/>
      <c r="AI53" s="2"/>
      <c r="AJ53" s="2"/>
    </row>
    <row r="54" spans="1:36" ht="21" customHeight="1" x14ac:dyDescent="0.25">
      <c r="A54" s="224"/>
      <c r="B54" s="265"/>
      <c r="C54" s="421" t="s">
        <v>175</v>
      </c>
      <c r="D54" s="421"/>
      <c r="E54" s="421"/>
      <c r="F54" s="421"/>
      <c r="G54" s="421"/>
      <c r="H54" s="421"/>
      <c r="I54" s="421"/>
      <c r="K54" s="421" t="s">
        <v>176</v>
      </c>
      <c r="L54" s="421"/>
      <c r="M54" s="421"/>
      <c r="N54" s="421"/>
      <c r="O54" s="421"/>
      <c r="P54" s="421"/>
      <c r="Q54" s="421"/>
      <c r="U54" s="2"/>
      <c r="V54" s="2"/>
      <c r="W54" s="2"/>
      <c r="X54" s="2"/>
      <c r="Y54" s="2"/>
      <c r="Z54" s="2"/>
      <c r="AA54" s="2"/>
      <c r="AB54" s="2"/>
      <c r="AC54" s="2"/>
      <c r="AD54" s="2"/>
      <c r="AE54" s="2"/>
      <c r="AF54" s="2"/>
      <c r="AG54" s="6"/>
      <c r="AH54" s="6"/>
      <c r="AI54" s="2"/>
      <c r="AJ54" s="2"/>
    </row>
    <row r="55" spans="1:36" ht="21" customHeight="1" x14ac:dyDescent="0.25">
      <c r="A55" s="1" t="s">
        <v>140</v>
      </c>
      <c r="B55" s="3" t="s">
        <v>138</v>
      </c>
      <c r="C55" s="1" t="s">
        <v>7</v>
      </c>
      <c r="D55" s="1" t="s">
        <v>1</v>
      </c>
      <c r="E55" s="1" t="s">
        <v>2</v>
      </c>
      <c r="F55" s="1" t="s">
        <v>3</v>
      </c>
      <c r="G55" s="1" t="s">
        <v>4</v>
      </c>
      <c r="H55" s="1" t="s">
        <v>5</v>
      </c>
      <c r="I55" s="1" t="s">
        <v>6</v>
      </c>
      <c r="K55" s="1" t="s">
        <v>7</v>
      </c>
      <c r="L55" s="1" t="s">
        <v>1</v>
      </c>
      <c r="M55" s="1" t="s">
        <v>2</v>
      </c>
      <c r="N55" s="1" t="s">
        <v>3</v>
      </c>
      <c r="O55" s="1" t="s">
        <v>4</v>
      </c>
      <c r="P55" s="1" t="s">
        <v>5</v>
      </c>
      <c r="Q55" s="1" t="s">
        <v>6</v>
      </c>
      <c r="U55" s="2"/>
      <c r="V55" s="2"/>
      <c r="W55" s="2"/>
      <c r="X55" s="2"/>
      <c r="Y55" s="2"/>
      <c r="Z55" s="2"/>
      <c r="AA55" s="2"/>
      <c r="AB55" s="2"/>
      <c r="AC55" s="2"/>
      <c r="AD55" s="2"/>
      <c r="AE55" s="2"/>
      <c r="AF55" s="2"/>
      <c r="AG55" s="2"/>
      <c r="AH55" s="2"/>
      <c r="AI55" s="2"/>
      <c r="AJ55" s="2"/>
    </row>
    <row r="56" spans="1:36" ht="21" customHeight="1" x14ac:dyDescent="0.25">
      <c r="B56" s="207">
        <v>41185</v>
      </c>
      <c r="C56" s="19">
        <v>37400</v>
      </c>
      <c r="D56" s="19">
        <v>18.600000000000001</v>
      </c>
      <c r="E56" s="19">
        <v>357</v>
      </c>
      <c r="F56" s="19">
        <v>68400</v>
      </c>
      <c r="G56" s="19">
        <v>378</v>
      </c>
      <c r="H56" s="19">
        <v>10500</v>
      </c>
      <c r="I56" s="19">
        <v>8670</v>
      </c>
      <c r="J56" s="19"/>
      <c r="K56" s="211">
        <f t="shared" si="7"/>
        <v>4.5728716022004798</v>
      </c>
      <c r="L56" s="211">
        <f t="shared" si="7"/>
        <v>1.2695129442179163</v>
      </c>
      <c r="M56" s="211">
        <f t="shared" si="7"/>
        <v>2.5526682161121932</v>
      </c>
      <c r="N56" s="211">
        <f t="shared" si="7"/>
        <v>4.8350561017201166</v>
      </c>
      <c r="O56" s="211">
        <f t="shared" si="7"/>
        <v>2.5774917998372255</v>
      </c>
      <c r="P56" s="211">
        <f t="shared" si="7"/>
        <v>4.0211892990699383</v>
      </c>
      <c r="Q56" s="211">
        <f t="shared" si="7"/>
        <v>3.9380190974762104</v>
      </c>
      <c r="U56" s="2"/>
      <c r="V56" s="2"/>
      <c r="W56" s="2"/>
      <c r="X56" s="2"/>
      <c r="Y56" s="2"/>
      <c r="Z56" s="2"/>
      <c r="AA56" s="2"/>
      <c r="AB56" s="2"/>
      <c r="AC56" s="2"/>
      <c r="AD56" s="2"/>
      <c r="AE56" s="2"/>
      <c r="AF56" s="2"/>
      <c r="AG56" s="2"/>
      <c r="AH56" s="2"/>
      <c r="AI56" s="2"/>
      <c r="AJ56" s="2"/>
    </row>
    <row r="57" spans="1:36" ht="21" customHeight="1" x14ac:dyDescent="0.25">
      <c r="B57" s="207">
        <v>41409</v>
      </c>
      <c r="C57" s="19">
        <v>7360</v>
      </c>
      <c r="D57" s="19">
        <v>2.46</v>
      </c>
      <c r="E57" s="19">
        <v>116</v>
      </c>
      <c r="F57" s="19">
        <v>28200</v>
      </c>
      <c r="G57" s="19">
        <v>328</v>
      </c>
      <c r="H57" s="19">
        <v>2130</v>
      </c>
      <c r="I57" s="19">
        <v>2080</v>
      </c>
      <c r="J57" s="19"/>
      <c r="K57" s="211">
        <f t="shared" si="7"/>
        <v>3.8668778143374989</v>
      </c>
      <c r="L57" s="211">
        <f t="shared" si="7"/>
        <v>0.39093510710337914</v>
      </c>
      <c r="M57" s="211">
        <f t="shared" si="7"/>
        <v>2.0644579892269186</v>
      </c>
      <c r="N57" s="211">
        <f t="shared" si="7"/>
        <v>4.4502491083193609</v>
      </c>
      <c r="O57" s="211">
        <f t="shared" si="7"/>
        <v>2.5158738437116792</v>
      </c>
      <c r="P57" s="211">
        <f t="shared" si="7"/>
        <v>3.3283796034387376</v>
      </c>
      <c r="Q57" s="211">
        <f t="shared" si="7"/>
        <v>3.3180633349627615</v>
      </c>
      <c r="U57" s="2"/>
      <c r="V57" s="2"/>
      <c r="W57" s="2"/>
      <c r="X57" s="2"/>
      <c r="Y57" s="2"/>
      <c r="Z57" s="2"/>
      <c r="AA57" s="2"/>
      <c r="AB57" s="2"/>
      <c r="AC57" s="2"/>
      <c r="AD57" s="2"/>
      <c r="AE57" s="2"/>
      <c r="AF57" s="2"/>
      <c r="AG57" s="6"/>
      <c r="AH57" s="6"/>
      <c r="AI57" s="2"/>
      <c r="AJ57" s="2"/>
    </row>
    <row r="58" spans="1:36" ht="21" customHeight="1" x14ac:dyDescent="0.25">
      <c r="B58" s="207">
        <v>41744</v>
      </c>
      <c r="C58" s="19">
        <v>27300</v>
      </c>
      <c r="D58" s="19">
        <v>14.6</v>
      </c>
      <c r="E58" s="19">
        <v>199</v>
      </c>
      <c r="F58" s="19">
        <v>62100</v>
      </c>
      <c r="G58" s="19">
        <v>248</v>
      </c>
      <c r="H58" s="19">
        <v>13100</v>
      </c>
      <c r="I58" s="19">
        <v>6030</v>
      </c>
      <c r="J58" s="19"/>
      <c r="K58" s="211">
        <f t="shared" si="7"/>
        <v>4.4361626470407565</v>
      </c>
      <c r="L58" s="211">
        <f t="shared" si="7"/>
        <v>1.1643528557844371</v>
      </c>
      <c r="M58" s="211">
        <f t="shared" si="7"/>
        <v>2.2988530764097068</v>
      </c>
      <c r="N58" s="211">
        <f t="shared" si="7"/>
        <v>4.79309160017658</v>
      </c>
      <c r="O58" s="211">
        <f t="shared" si="7"/>
        <v>2.3944516808262164</v>
      </c>
      <c r="P58" s="211">
        <f t="shared" si="7"/>
        <v>4.1172712956557644</v>
      </c>
      <c r="Q58" s="211">
        <f t="shared" si="7"/>
        <v>3.7803173121401512</v>
      </c>
      <c r="U58" s="2"/>
      <c r="V58" s="2"/>
      <c r="W58" s="2"/>
      <c r="X58" s="2"/>
      <c r="Y58" s="2"/>
      <c r="Z58" s="2"/>
      <c r="AA58" s="2"/>
      <c r="AB58" s="2"/>
      <c r="AC58" s="2"/>
      <c r="AD58" s="2"/>
      <c r="AE58" s="2"/>
      <c r="AF58" s="2"/>
      <c r="AG58" s="2"/>
      <c r="AH58" s="2"/>
      <c r="AI58" s="2"/>
      <c r="AJ58" s="2"/>
    </row>
    <row r="59" spans="1:36" ht="21" customHeight="1" x14ac:dyDescent="0.25">
      <c r="B59" s="207">
        <v>41907</v>
      </c>
      <c r="C59" s="19">
        <v>8040</v>
      </c>
      <c r="D59" s="19">
        <v>4.63</v>
      </c>
      <c r="E59" s="19">
        <v>92</v>
      </c>
      <c r="F59" s="19">
        <v>27200</v>
      </c>
      <c r="G59" s="19">
        <v>244</v>
      </c>
      <c r="H59" s="19">
        <v>3970</v>
      </c>
      <c r="I59" s="19">
        <v>1700</v>
      </c>
      <c r="J59" s="19"/>
      <c r="K59" s="211">
        <f t="shared" si="7"/>
        <v>3.9052560487484511</v>
      </c>
      <c r="L59" s="211">
        <f t="shared" si="7"/>
        <v>0.66558099101795309</v>
      </c>
      <c r="M59" s="211">
        <f t="shared" si="7"/>
        <v>1.9637878273455553</v>
      </c>
      <c r="N59" s="211">
        <f t="shared" si="7"/>
        <v>4.4345689040341991</v>
      </c>
      <c r="O59" s="211">
        <f t="shared" si="7"/>
        <v>2.3873898263387292</v>
      </c>
      <c r="P59" s="211">
        <f t="shared" si="7"/>
        <v>3.5987905067631152</v>
      </c>
      <c r="Q59" s="211">
        <f t="shared" si="7"/>
        <v>3.2304489213782741</v>
      </c>
      <c r="U59" s="2"/>
      <c r="V59" s="2"/>
      <c r="W59" s="2"/>
      <c r="X59" s="2"/>
      <c r="Y59" s="2"/>
      <c r="Z59" s="2"/>
      <c r="AA59" s="2"/>
      <c r="AB59" s="2"/>
      <c r="AC59" s="2"/>
      <c r="AD59" s="2"/>
      <c r="AE59" s="2"/>
      <c r="AF59" s="2"/>
      <c r="AG59" s="2"/>
      <c r="AH59" s="2"/>
      <c r="AI59" s="2"/>
      <c r="AJ59" s="2"/>
    </row>
    <row r="60" spans="1:36" ht="21" customHeight="1" thickBot="1" x14ac:dyDescent="0.3">
      <c r="C60" s="28"/>
      <c r="D60" s="28"/>
      <c r="E60" s="28"/>
      <c r="F60" s="28"/>
      <c r="G60" s="28"/>
      <c r="H60" s="28"/>
      <c r="I60" s="28"/>
      <c r="U60" s="2"/>
      <c r="V60" s="2"/>
      <c r="W60" s="2"/>
      <c r="X60" s="2"/>
      <c r="Y60" s="2"/>
      <c r="Z60" s="2"/>
      <c r="AA60" s="2"/>
      <c r="AB60" s="2"/>
      <c r="AC60" s="2"/>
      <c r="AD60" s="2"/>
      <c r="AE60" s="2"/>
      <c r="AF60" s="2"/>
      <c r="AG60" s="6"/>
      <c r="AH60" s="6"/>
      <c r="AI60" s="2"/>
      <c r="AJ60" s="2"/>
    </row>
    <row r="61" spans="1:36" ht="21" customHeight="1" x14ac:dyDescent="0.25">
      <c r="A61" s="426" t="s">
        <v>177</v>
      </c>
      <c r="B61" s="429" t="s">
        <v>182</v>
      </c>
      <c r="C61" s="429"/>
      <c r="D61" s="429"/>
      <c r="E61" s="429"/>
      <c r="F61" s="429"/>
      <c r="G61" s="429"/>
      <c r="H61" s="429"/>
      <c r="I61" s="429"/>
      <c r="J61" s="429" t="s">
        <v>182</v>
      </c>
      <c r="K61" s="429"/>
      <c r="L61" s="429"/>
      <c r="M61" s="429"/>
      <c r="N61" s="429"/>
      <c r="O61" s="429"/>
      <c r="P61" s="429"/>
      <c r="Q61" s="430"/>
      <c r="U61" s="2"/>
      <c r="V61" s="2"/>
      <c r="W61" s="2"/>
      <c r="X61" s="2"/>
      <c r="Y61" s="2"/>
      <c r="Z61" s="2"/>
      <c r="AA61" s="2"/>
      <c r="AB61" s="2"/>
      <c r="AC61" s="2"/>
      <c r="AD61" s="2"/>
      <c r="AE61" s="2"/>
      <c r="AF61" s="2"/>
      <c r="AG61" s="2"/>
      <c r="AH61" s="2"/>
      <c r="AI61" s="2"/>
      <c r="AJ61" s="2"/>
    </row>
    <row r="62" spans="1:36" ht="21" customHeight="1" x14ac:dyDescent="0.25">
      <c r="A62" s="427"/>
      <c r="B62" s="274" t="s">
        <v>211</v>
      </c>
      <c r="C62" s="2" t="s">
        <v>7</v>
      </c>
      <c r="D62" s="2" t="s">
        <v>1</v>
      </c>
      <c r="E62" s="2" t="s">
        <v>2</v>
      </c>
      <c r="F62" s="2" t="s">
        <v>3</v>
      </c>
      <c r="G62" s="2" t="s">
        <v>4</v>
      </c>
      <c r="H62" s="2" t="s">
        <v>5</v>
      </c>
      <c r="I62" s="2" t="s">
        <v>6</v>
      </c>
      <c r="J62" s="221" t="s">
        <v>211</v>
      </c>
      <c r="K62" s="2" t="s">
        <v>7</v>
      </c>
      <c r="L62" s="2" t="s">
        <v>1</v>
      </c>
      <c r="M62" s="2" t="s">
        <v>2</v>
      </c>
      <c r="N62" s="2" t="s">
        <v>3</v>
      </c>
      <c r="O62" s="2" t="s">
        <v>4</v>
      </c>
      <c r="P62" s="2" t="s">
        <v>5</v>
      </c>
      <c r="Q62" s="243" t="s">
        <v>6</v>
      </c>
      <c r="U62" s="2"/>
      <c r="V62" s="2"/>
      <c r="W62" s="2"/>
      <c r="X62" s="2"/>
      <c r="Y62" s="2"/>
      <c r="Z62" s="2"/>
      <c r="AA62" s="2"/>
      <c r="AB62" s="2"/>
      <c r="AC62" s="2"/>
      <c r="AD62" s="2"/>
      <c r="AE62" s="2"/>
      <c r="AF62" s="2"/>
      <c r="AG62" s="2"/>
      <c r="AH62" s="2"/>
      <c r="AI62" s="2"/>
      <c r="AJ62" s="2"/>
    </row>
    <row r="63" spans="1:36" ht="21" customHeight="1" x14ac:dyDescent="0.25">
      <c r="A63" s="427"/>
      <c r="B63" s="274" t="s">
        <v>174</v>
      </c>
      <c r="C63" s="276">
        <f t="shared" ref="C63:I63" si="14">GEOMEAN(C56:C59)</f>
        <v>15678.049383727635</v>
      </c>
      <c r="D63" s="276">
        <f t="shared" si="14"/>
        <v>7.4575379920486196</v>
      </c>
      <c r="E63" s="276">
        <f t="shared" si="14"/>
        <v>165.9364433513019</v>
      </c>
      <c r="F63" s="276">
        <f t="shared" si="14"/>
        <v>42485.567975054677</v>
      </c>
      <c r="G63" s="276">
        <f t="shared" si="14"/>
        <v>294.30781042128552</v>
      </c>
      <c r="H63" s="276">
        <f t="shared" si="14"/>
        <v>5839.9304670824349</v>
      </c>
      <c r="I63" s="276">
        <f t="shared" si="14"/>
        <v>3687.331355715075</v>
      </c>
      <c r="J63" s="221" t="s">
        <v>117</v>
      </c>
      <c r="K63" s="216">
        <f t="shared" ref="K63:Q63" si="15">AVERAGE(K56:K59)</f>
        <v>4.1952920280817967</v>
      </c>
      <c r="L63" s="216">
        <f t="shared" si="15"/>
        <v>0.87259547453092146</v>
      </c>
      <c r="M63" s="216">
        <f t="shared" si="15"/>
        <v>2.2199417772735934</v>
      </c>
      <c r="N63" s="216">
        <f t="shared" si="15"/>
        <v>4.6282414285625642</v>
      </c>
      <c r="O63" s="216">
        <f t="shared" si="15"/>
        <v>2.4688017876784629</v>
      </c>
      <c r="P63" s="216">
        <f t="shared" si="15"/>
        <v>3.7664076762318892</v>
      </c>
      <c r="Q63" s="275">
        <f t="shared" si="15"/>
        <v>3.5667121664893493</v>
      </c>
      <c r="U63" s="2"/>
      <c r="V63" s="2"/>
      <c r="W63" s="2"/>
      <c r="X63" s="2"/>
      <c r="Y63" s="2"/>
      <c r="Z63" s="2"/>
      <c r="AA63" s="2"/>
      <c r="AB63" s="2"/>
      <c r="AC63" s="2"/>
      <c r="AD63" s="2"/>
      <c r="AE63" s="2"/>
      <c r="AF63" s="2"/>
      <c r="AG63" s="2"/>
      <c r="AH63" s="2"/>
      <c r="AI63" s="2"/>
      <c r="AJ63" s="2"/>
    </row>
    <row r="64" spans="1:36" ht="21" customHeight="1" x14ac:dyDescent="0.25">
      <c r="A64" s="427"/>
      <c r="B64" s="274" t="s">
        <v>172</v>
      </c>
      <c r="C64" s="216">
        <f t="shared" ref="C64:I64" si="16">STDEV(C56:C59)</f>
        <v>14819.567020215762</v>
      </c>
      <c r="D64" s="216">
        <f t="shared" si="16"/>
        <v>7.7628919654125443</v>
      </c>
      <c r="E64" s="216">
        <f t="shared" si="16"/>
        <v>119.78592015202231</v>
      </c>
      <c r="F64" s="216">
        <f t="shared" si="16"/>
        <v>21835.349779657754</v>
      </c>
      <c r="G64" s="216">
        <f t="shared" si="16"/>
        <v>65.081999559530033</v>
      </c>
      <c r="H64" s="216">
        <f t="shared" si="16"/>
        <v>5216.48987985855</v>
      </c>
      <c r="I64" s="216">
        <f t="shared" si="16"/>
        <v>3335.0962005115634</v>
      </c>
      <c r="J64" s="221" t="s">
        <v>10</v>
      </c>
      <c r="K64" s="216">
        <f t="shared" ref="K64:Q64" si="17">STDEV(K56:K59)</f>
        <v>0.36173736097084613</v>
      </c>
      <c r="L64" s="216">
        <f t="shared" si="17"/>
        <v>0.41533823693997141</v>
      </c>
      <c r="M64" s="216">
        <f t="shared" si="17"/>
        <v>0.26250328927630973</v>
      </c>
      <c r="N64" s="216">
        <f t="shared" si="17"/>
        <v>0.21535877115268595</v>
      </c>
      <c r="O64" s="216">
        <f t="shared" si="17"/>
        <v>9.3425804858523948E-2</v>
      </c>
      <c r="P64" s="216">
        <f t="shared" si="17"/>
        <v>0.36877412365241408</v>
      </c>
      <c r="Q64" s="275">
        <f t="shared" si="17"/>
        <v>0.34563719257797398</v>
      </c>
      <c r="U64" s="2"/>
      <c r="V64" s="2"/>
      <c r="W64" s="2"/>
      <c r="X64" s="2"/>
      <c r="Y64" s="2"/>
      <c r="Z64" s="2"/>
      <c r="AA64" s="2"/>
      <c r="AB64" s="2"/>
      <c r="AC64" s="2"/>
      <c r="AD64" s="2"/>
      <c r="AE64" s="2"/>
      <c r="AF64" s="2"/>
      <c r="AG64" s="2"/>
      <c r="AH64" s="2"/>
      <c r="AI64" s="2"/>
      <c r="AJ64" s="2"/>
    </row>
    <row r="65" spans="1:27" ht="21" customHeight="1" x14ac:dyDescent="0.25">
      <c r="A65" s="427"/>
      <c r="B65" s="274" t="s">
        <v>147</v>
      </c>
      <c r="C65" s="216">
        <f>C64/SQRT(C66)</f>
        <v>7409.7835101078808</v>
      </c>
      <c r="D65" s="216">
        <f t="shared" ref="D65:I65" si="18">D64/SQRT(D66)</f>
        <v>3.8814459827062722</v>
      </c>
      <c r="E65" s="216">
        <f t="shared" si="18"/>
        <v>59.892960076011157</v>
      </c>
      <c r="F65" s="216">
        <f t="shared" si="18"/>
        <v>10917.674889828877</v>
      </c>
      <c r="G65" s="216">
        <f t="shared" si="18"/>
        <v>32.540999779765016</v>
      </c>
      <c r="H65" s="216">
        <f t="shared" si="18"/>
        <v>2608.244939929275</v>
      </c>
      <c r="I65" s="216">
        <f t="shared" si="18"/>
        <v>1667.5481002557817</v>
      </c>
      <c r="J65" s="221" t="s">
        <v>116</v>
      </c>
      <c r="K65" s="216">
        <f t="shared" ref="K65:Q65" si="19">K64/SQRT(K66)</f>
        <v>0.18086868048542307</v>
      </c>
      <c r="L65" s="216">
        <f t="shared" si="19"/>
        <v>0.2076691184699857</v>
      </c>
      <c r="M65" s="216">
        <f t="shared" si="19"/>
        <v>0.13125164463815486</v>
      </c>
      <c r="N65" s="216">
        <f t="shared" si="19"/>
        <v>0.10767938557634298</v>
      </c>
      <c r="O65" s="216">
        <f t="shared" si="19"/>
        <v>4.6712902429261974E-2</v>
      </c>
      <c r="P65" s="216">
        <f t="shared" si="19"/>
        <v>0.18438706182620704</v>
      </c>
      <c r="Q65" s="275">
        <f t="shared" si="19"/>
        <v>0.17281859628898699</v>
      </c>
      <c r="U65" s="2"/>
      <c r="V65" s="2"/>
      <c r="W65" s="2"/>
      <c r="X65" s="2"/>
      <c r="Y65" s="2"/>
      <c r="Z65" s="2"/>
      <c r="AA65" s="2"/>
    </row>
    <row r="66" spans="1:27" ht="21" customHeight="1" thickBot="1" x14ac:dyDescent="0.3">
      <c r="A66" s="428"/>
      <c r="B66" s="235" t="s">
        <v>173</v>
      </c>
      <c r="C66" s="254">
        <v>4</v>
      </c>
      <c r="D66" s="254">
        <v>4</v>
      </c>
      <c r="E66" s="254">
        <v>4</v>
      </c>
      <c r="F66" s="254">
        <v>4</v>
      </c>
      <c r="G66" s="254">
        <v>4</v>
      </c>
      <c r="H66" s="254">
        <v>4</v>
      </c>
      <c r="I66" s="254">
        <v>4</v>
      </c>
      <c r="J66" s="254" t="s">
        <v>173</v>
      </c>
      <c r="K66" s="254">
        <v>4</v>
      </c>
      <c r="L66" s="254">
        <v>4</v>
      </c>
      <c r="M66" s="254">
        <v>4</v>
      </c>
      <c r="N66" s="254">
        <v>4</v>
      </c>
      <c r="O66" s="254">
        <v>4</v>
      </c>
      <c r="P66" s="254">
        <v>4</v>
      </c>
      <c r="Q66" s="255">
        <v>4</v>
      </c>
    </row>
    <row r="67" spans="1:27" ht="21" customHeight="1" x14ac:dyDescent="0.25">
      <c r="A67" s="431" t="s">
        <v>321</v>
      </c>
      <c r="B67" s="431"/>
      <c r="C67" s="431"/>
      <c r="D67" s="431"/>
      <c r="E67" s="431"/>
      <c r="F67" s="431"/>
      <c r="G67" s="431"/>
      <c r="H67" s="431"/>
      <c r="I67" s="431"/>
      <c r="J67" s="431"/>
      <c r="K67" s="431"/>
      <c r="L67" s="431"/>
      <c r="M67" s="431"/>
      <c r="N67" s="431"/>
      <c r="O67" s="431"/>
      <c r="P67" s="431"/>
      <c r="Q67" s="431"/>
      <c r="R67" s="431"/>
      <c r="S67" s="431"/>
      <c r="T67" s="431"/>
      <c r="U67" s="431"/>
      <c r="V67" s="431"/>
      <c r="W67" s="431"/>
      <c r="X67" s="431"/>
    </row>
    <row r="68" spans="1:27" ht="21" customHeight="1" x14ac:dyDescent="0.25">
      <c r="A68" s="349" t="s">
        <v>304</v>
      </c>
      <c r="B68" s="28"/>
      <c r="C68" s="28"/>
      <c r="D68" s="28"/>
      <c r="E68" s="28"/>
      <c r="F68" s="28"/>
      <c r="G68" s="28"/>
      <c r="H68" s="28"/>
      <c r="I68" s="28"/>
      <c r="J68" s="28"/>
      <c r="K68" s="28"/>
      <c r="L68" s="28"/>
      <c r="M68" s="28"/>
      <c r="N68" s="28"/>
      <c r="O68" s="28"/>
    </row>
    <row r="69" spans="1:27" ht="21" customHeight="1" x14ac:dyDescent="0.25">
      <c r="A69" s="28" t="s">
        <v>263</v>
      </c>
      <c r="B69" s="28"/>
      <c r="C69" s="28"/>
      <c r="D69" s="28"/>
      <c r="E69" s="28"/>
      <c r="F69" s="28"/>
      <c r="G69" s="28"/>
      <c r="H69" s="28"/>
      <c r="I69" s="28"/>
      <c r="J69" s="28"/>
      <c r="K69" s="28"/>
      <c r="L69" s="28" t="s">
        <v>288</v>
      </c>
      <c r="M69" s="28"/>
      <c r="N69" s="28"/>
      <c r="O69" s="28"/>
    </row>
    <row r="70" spans="1:27" ht="21" customHeight="1" x14ac:dyDescent="0.25">
      <c r="A70" s="28"/>
      <c r="B70" s="28"/>
      <c r="C70" s="28"/>
      <c r="D70" s="28"/>
      <c r="E70" s="28"/>
      <c r="F70" s="28"/>
      <c r="G70" s="28"/>
      <c r="H70" s="28"/>
      <c r="I70" s="28"/>
      <c r="J70" s="28"/>
      <c r="K70" s="28"/>
      <c r="L70" s="28"/>
      <c r="M70" s="28"/>
      <c r="N70" s="28"/>
      <c r="O70" s="28"/>
    </row>
    <row r="71" spans="1:27" ht="21" customHeight="1" thickBot="1" x14ac:dyDescent="0.3">
      <c r="A71" s="28" t="s">
        <v>264</v>
      </c>
      <c r="B71" s="28"/>
      <c r="C71" s="28"/>
      <c r="D71" s="28" t="s">
        <v>265</v>
      </c>
      <c r="E71" s="28">
        <v>0</v>
      </c>
      <c r="F71" s="28"/>
      <c r="G71" s="28"/>
      <c r="H71" s="28"/>
      <c r="I71" s="28"/>
      <c r="J71" s="28"/>
      <c r="K71" s="28"/>
      <c r="L71" s="28"/>
      <c r="M71" s="28" t="s">
        <v>289</v>
      </c>
      <c r="N71" s="28" t="s">
        <v>290</v>
      </c>
      <c r="O71" s="28"/>
    </row>
    <row r="72" spans="1:27" ht="21" customHeight="1" thickTop="1" x14ac:dyDescent="0.25">
      <c r="A72" s="350" t="s">
        <v>266</v>
      </c>
      <c r="B72" s="350" t="s">
        <v>267</v>
      </c>
      <c r="C72" s="350" t="s">
        <v>117</v>
      </c>
      <c r="D72" s="350" t="s">
        <v>268</v>
      </c>
      <c r="E72" s="350" t="s">
        <v>269</v>
      </c>
      <c r="F72" s="28"/>
      <c r="G72" s="28"/>
      <c r="H72" s="28"/>
      <c r="I72" s="28"/>
      <c r="J72" s="28"/>
      <c r="K72" s="28"/>
      <c r="L72" s="28" t="s">
        <v>291</v>
      </c>
      <c r="M72" s="351">
        <f>COUNT(K6:K23)</f>
        <v>18</v>
      </c>
      <c r="N72" s="352">
        <f>COUNT(K56:K59)</f>
        <v>4</v>
      </c>
      <c r="O72" s="28"/>
    </row>
    <row r="73" spans="1:27" ht="21" customHeight="1" x14ac:dyDescent="0.25">
      <c r="A73" s="28" t="s">
        <v>270</v>
      </c>
      <c r="B73" s="28">
        <f>COUNT(K6:K23)</f>
        <v>18</v>
      </c>
      <c r="C73" s="28">
        <f>AVERAGE(K6:K23)</f>
        <v>3.9757804285383096</v>
      </c>
      <c r="D73" s="28">
        <f>VAR(K6:K23)</f>
        <v>2.4463112421932998E-2</v>
      </c>
      <c r="E73" s="28"/>
      <c r="F73" s="28"/>
      <c r="G73" s="28"/>
      <c r="H73" s="28"/>
      <c r="I73" s="28"/>
      <c r="J73" s="28"/>
      <c r="K73" s="28"/>
      <c r="L73" s="28" t="s">
        <v>292</v>
      </c>
      <c r="M73" s="353">
        <f>MEDIAN(K6:K23)</f>
        <v>3.9344984512435679</v>
      </c>
      <c r="N73" s="339">
        <f>MEDIAN(K56:K59)</f>
        <v>4.1707093478946042</v>
      </c>
      <c r="O73" s="28"/>
    </row>
    <row r="74" spans="1:27" ht="21" customHeight="1" x14ac:dyDescent="0.25">
      <c r="A74" s="28" t="s">
        <v>271</v>
      </c>
      <c r="B74" s="28">
        <f>COUNT(K56:K59)</f>
        <v>4</v>
      </c>
      <c r="C74" s="28">
        <f>AVERAGE(K56:K59)</f>
        <v>4.1952920280817967</v>
      </c>
      <c r="D74" s="28">
        <f>VAR(K56:K59)</f>
        <v>0.13085391832215224</v>
      </c>
      <c r="E74" s="28"/>
      <c r="F74" s="28"/>
      <c r="G74" s="28"/>
      <c r="H74" s="28"/>
      <c r="I74" s="28"/>
      <c r="J74" s="28"/>
      <c r="K74" s="28"/>
      <c r="L74" s="28" t="s">
        <v>293</v>
      </c>
      <c r="M74" s="353">
        <v>196</v>
      </c>
      <c r="N74" s="339">
        <v>57</v>
      </c>
      <c r="O74" s="28"/>
    </row>
    <row r="75" spans="1:27" ht="21" customHeight="1" x14ac:dyDescent="0.25">
      <c r="A75" s="354" t="s">
        <v>272</v>
      </c>
      <c r="B75" s="354"/>
      <c r="C75" s="354"/>
      <c r="D75" s="354">
        <f>((B73-1)*D73+(B74-1)*D74)/(B73+B74-2)</f>
        <v>4.0421733306965885E-2</v>
      </c>
      <c r="E75" s="354">
        <f>ABS(C73-C74-E71)/SQRT(D75)</f>
        <v>1.0918173923275178</v>
      </c>
      <c r="F75" s="28"/>
      <c r="G75" s="28"/>
      <c r="H75" s="28"/>
      <c r="I75" s="28"/>
      <c r="J75" s="28"/>
      <c r="K75" s="28"/>
      <c r="L75" s="28" t="s">
        <v>294</v>
      </c>
      <c r="M75" s="355">
        <f>M72*N72+M72*(M72+1)/2-M74</f>
        <v>47</v>
      </c>
      <c r="N75" s="356">
        <f>M72*N72+N72*(N72+1)/2-N74</f>
        <v>25</v>
      </c>
      <c r="O75" s="28"/>
    </row>
    <row r="76" spans="1:27" ht="21" customHeight="1" x14ac:dyDescent="0.25">
      <c r="A76" s="28"/>
      <c r="B76" s="28"/>
      <c r="C76" s="28"/>
      <c r="D76" s="28"/>
      <c r="E76" s="28"/>
      <c r="F76" s="28"/>
      <c r="G76" s="28"/>
      <c r="H76" s="28"/>
      <c r="I76" s="28"/>
      <c r="J76" s="28"/>
      <c r="K76" s="28"/>
      <c r="L76" s="28"/>
      <c r="M76" s="28"/>
      <c r="N76" s="28"/>
      <c r="O76" s="28"/>
    </row>
    <row r="77" spans="1:27" ht="21" customHeight="1" thickBot="1" x14ac:dyDescent="0.3">
      <c r="A77" s="28" t="s">
        <v>273</v>
      </c>
      <c r="B77" s="28"/>
      <c r="C77" s="28"/>
      <c r="D77" s="28"/>
      <c r="E77" s="28" t="s">
        <v>274</v>
      </c>
      <c r="F77" s="28">
        <v>0.05</v>
      </c>
      <c r="G77" s="28"/>
      <c r="H77" s="28"/>
      <c r="I77" s="28"/>
      <c r="J77" s="28"/>
      <c r="K77" s="28"/>
      <c r="L77" s="28"/>
      <c r="M77" s="357" t="s">
        <v>295</v>
      </c>
      <c r="N77" s="357" t="s">
        <v>296</v>
      </c>
      <c r="O77" s="28"/>
    </row>
    <row r="78" spans="1:27" ht="21" customHeight="1" thickTop="1" x14ac:dyDescent="0.25">
      <c r="A78" s="350" t="s">
        <v>275</v>
      </c>
      <c r="B78" s="350" t="s">
        <v>276</v>
      </c>
      <c r="C78" s="350" t="s">
        <v>277</v>
      </c>
      <c r="D78" s="350" t="s">
        <v>278</v>
      </c>
      <c r="E78" s="350" t="s">
        <v>279</v>
      </c>
      <c r="F78" s="350" t="s">
        <v>280</v>
      </c>
      <c r="G78" s="350" t="s">
        <v>281</v>
      </c>
      <c r="H78" s="350" t="s">
        <v>282</v>
      </c>
      <c r="I78" s="350" t="s">
        <v>283</v>
      </c>
      <c r="J78" s="350" t="s">
        <v>284</v>
      </c>
      <c r="K78" s="28"/>
      <c r="L78" s="28" t="s">
        <v>297</v>
      </c>
      <c r="M78" s="358">
        <v>0.05</v>
      </c>
      <c r="N78" s="28"/>
      <c r="O78" s="28"/>
    </row>
    <row r="79" spans="1:27" ht="21" customHeight="1" x14ac:dyDescent="0.25">
      <c r="A79" s="28" t="s">
        <v>285</v>
      </c>
      <c r="B79" s="28">
        <f>SQRT(D75*(1/B73+1/B74))</f>
        <v>0.11113543618994108</v>
      </c>
      <c r="C79" s="28">
        <f>(ABS(C73-C74-E71))/B79</f>
        <v>1.9751719799643455</v>
      </c>
      <c r="D79" s="28">
        <f>B73+B74-2</f>
        <v>20</v>
      </c>
      <c r="E79" s="28">
        <f>TDIST(C79,D79,1)</f>
        <v>3.110665828188398E-2</v>
      </c>
      <c r="F79" s="28">
        <f>TINV(F77*2,D79)</f>
        <v>1.7247182429207868</v>
      </c>
      <c r="G79" s="28"/>
      <c r="H79" s="28"/>
      <c r="I79" s="28" t="str">
        <f>IF(E79&lt;F77,"yes","no")</f>
        <v>yes</v>
      </c>
      <c r="J79" s="28">
        <f>SQRT(C79^2/(C79^2+D79))</f>
        <v>0.40401186066702238</v>
      </c>
      <c r="K79" s="28"/>
      <c r="L79" s="28" t="s">
        <v>294</v>
      </c>
      <c r="M79" s="359">
        <f>MIN(M75,N75)</f>
        <v>25</v>
      </c>
      <c r="N79" s="28"/>
      <c r="O79" s="28"/>
    </row>
    <row r="80" spans="1:27" ht="21" customHeight="1" x14ac:dyDescent="0.25">
      <c r="A80" s="28" t="s">
        <v>286</v>
      </c>
      <c r="B80" s="28">
        <f>B79</f>
        <v>0.11113543618994108</v>
      </c>
      <c r="C80" s="28">
        <f t="shared" ref="C80:D80" si="20">C79</f>
        <v>1.9751719799643455</v>
      </c>
      <c r="D80" s="28">
        <f t="shared" si="20"/>
        <v>20</v>
      </c>
      <c r="E80" s="28">
        <f>TDIST(C80,D80,2)</f>
        <v>6.2213316563767961E-2</v>
      </c>
      <c r="F80" s="28">
        <f>TINV(F77,D80)</f>
        <v>2.0859634472658648</v>
      </c>
      <c r="G80" s="28">
        <f>(C73-C74)-F80*B80</f>
        <v>-0.45133605713165215</v>
      </c>
      <c r="H80" s="28">
        <f>(C73-C74)+F80*B80</f>
        <v>1.2312858044677966E-2</v>
      </c>
      <c r="I80" s="28" t="str">
        <f>IF(E80&lt;F77,"yes","no")</f>
        <v>no</v>
      </c>
      <c r="J80" s="28">
        <f>J79</f>
        <v>0.40401186066702238</v>
      </c>
      <c r="K80" s="28"/>
      <c r="L80" s="28" t="s">
        <v>298</v>
      </c>
      <c r="M80" s="359">
        <f>M72*N72/2</f>
        <v>36</v>
      </c>
      <c r="N80" s="28"/>
      <c r="O80" s="28"/>
    </row>
    <row r="81" spans="1:33" ht="21" customHeight="1" x14ac:dyDescent="0.25">
      <c r="A81" s="354"/>
      <c r="B81" s="354"/>
      <c r="C81" s="354"/>
      <c r="D81" s="354"/>
      <c r="E81" s="354"/>
      <c r="F81" s="354"/>
      <c r="G81" s="354"/>
      <c r="H81" s="354"/>
      <c r="I81" s="354"/>
      <c r="J81" s="354"/>
      <c r="K81" s="28"/>
      <c r="L81" s="28" t="s">
        <v>299</v>
      </c>
      <c r="M81" s="359">
        <v>11.717452850287101</v>
      </c>
      <c r="N81" s="28" t="s">
        <v>300</v>
      </c>
      <c r="O81" s="28"/>
    </row>
    <row r="82" spans="1:33" ht="21" customHeight="1" thickBot="1" x14ac:dyDescent="0.3">
      <c r="A82" s="28" t="s">
        <v>287</v>
      </c>
      <c r="B82" s="28"/>
      <c r="C82" s="28"/>
      <c r="D82" s="28"/>
      <c r="E82" s="28" t="s">
        <v>274</v>
      </c>
      <c r="F82" s="28">
        <f>F77</f>
        <v>0.05</v>
      </c>
      <c r="G82" s="28"/>
      <c r="H82" s="28"/>
      <c r="I82" s="28"/>
      <c r="J82" s="28"/>
      <c r="K82" s="28"/>
      <c r="L82" s="28" t="s">
        <v>19</v>
      </c>
      <c r="M82" s="359">
        <f>ABS(STANDARDIZE(M79,M80,M81))</f>
        <v>0.93877057928425789</v>
      </c>
      <c r="N82" s="28"/>
      <c r="O82" s="28"/>
    </row>
    <row r="83" spans="1:33" ht="21" customHeight="1" thickTop="1" x14ac:dyDescent="0.25">
      <c r="A83" s="350" t="s">
        <v>275</v>
      </c>
      <c r="B83" s="350" t="s">
        <v>276</v>
      </c>
      <c r="C83" s="350" t="s">
        <v>277</v>
      </c>
      <c r="D83" s="350" t="s">
        <v>278</v>
      </c>
      <c r="E83" s="350" t="s">
        <v>279</v>
      </c>
      <c r="F83" s="350" t="s">
        <v>280</v>
      </c>
      <c r="G83" s="350" t="s">
        <v>281</v>
      </c>
      <c r="H83" s="350" t="s">
        <v>282</v>
      </c>
      <c r="I83" s="350" t="s">
        <v>283</v>
      </c>
      <c r="J83" s="350" t="s">
        <v>284</v>
      </c>
      <c r="K83" s="28"/>
      <c r="L83" s="28" t="s">
        <v>284</v>
      </c>
      <c r="M83" s="359">
        <f>M82/SQRT(M72+N72)</f>
        <v>0.20014655999697514</v>
      </c>
      <c r="N83" s="28"/>
      <c r="O83" s="28"/>
    </row>
    <row r="84" spans="1:33" ht="21" customHeight="1" x14ac:dyDescent="0.25">
      <c r="A84" s="28" t="s">
        <v>285</v>
      </c>
      <c r="B84" s="28">
        <f>SQRT(D73/B73+D74/B74)</f>
        <v>0.18458748977586906</v>
      </c>
      <c r="C84" s="28">
        <f>(ABS(C73-C74-E71))/B84</f>
        <v>1.1892008489308987</v>
      </c>
      <c r="D84" s="28">
        <f>(D73/B73+D74/B74)^2/((D73/B73)^2/(B73-1)+(D74/B74)^2/(B74-1))</f>
        <v>3.2534532688560773</v>
      </c>
      <c r="E84" s="28">
        <f>TDIST(C84,ROUND(D84,0),1)</f>
        <v>0.15995377999965468</v>
      </c>
      <c r="F84" s="28">
        <f>TINV(F82*2,ROUND(D84,0))</f>
        <v>2.3533634348018233</v>
      </c>
      <c r="G84" s="28"/>
      <c r="H84" s="28"/>
      <c r="I84" s="28" t="str">
        <f>IF(E84&lt;F82,"yes","no")</f>
        <v>no</v>
      </c>
      <c r="J84" s="28">
        <f>SQRT(C84^2/(C84^2+D84))</f>
        <v>0.55043492141795258</v>
      </c>
      <c r="K84" s="28"/>
      <c r="L84" s="28" t="s">
        <v>301</v>
      </c>
      <c r="M84" s="358">
        <f>M80+M81*NORMSINV(M78)</f>
        <v>16.726505180572392</v>
      </c>
      <c r="N84" s="352">
        <f>M80+M81*NORMSINV(M78/2)</f>
        <v>13.034214422891083</v>
      </c>
      <c r="O84" s="28"/>
    </row>
    <row r="85" spans="1:33" ht="21" customHeight="1" x14ac:dyDescent="0.25">
      <c r="A85" s="28" t="s">
        <v>286</v>
      </c>
      <c r="B85" s="28">
        <f>B84</f>
        <v>0.18458748977586906</v>
      </c>
      <c r="C85" s="28">
        <f t="shared" ref="C85:D85" si="21">C84</f>
        <v>1.1892008489308987</v>
      </c>
      <c r="D85" s="28">
        <f t="shared" si="21"/>
        <v>3.2534532688560773</v>
      </c>
      <c r="E85" s="28">
        <f>TDIST(C85,ROUND(D85,0),2)</f>
        <v>0.31990755999930937</v>
      </c>
      <c r="F85" s="28">
        <f>TINV(F82,ROUND(D85,0))</f>
        <v>3.1824463052837091</v>
      </c>
      <c r="G85" s="28">
        <f>(C73-C74)-F85*B85</f>
        <v>-0.80695137438229603</v>
      </c>
      <c r="H85" s="28">
        <f>(C73-C74)+F85*B85</f>
        <v>0.36792817529532185</v>
      </c>
      <c r="I85" s="28" t="str">
        <f>IF(E85&lt;F82,"yes","no")</f>
        <v>no</v>
      </c>
      <c r="J85" s="28">
        <f>J84</f>
        <v>0.55043492141795258</v>
      </c>
      <c r="K85" s="28"/>
      <c r="L85" s="28" t="s">
        <v>279</v>
      </c>
      <c r="M85" s="359">
        <f>1-NORMSDIST(M82)</f>
        <v>0.17392427364720242</v>
      </c>
      <c r="N85" s="339">
        <f>2*M85</f>
        <v>0.34784854729440484</v>
      </c>
      <c r="O85" s="28"/>
      <c r="T85" s="349" t="s">
        <v>312</v>
      </c>
    </row>
    <row r="86" spans="1:33" ht="21" customHeight="1" x14ac:dyDescent="0.25">
      <c r="A86" s="354"/>
      <c r="B86" s="354"/>
      <c r="C86" s="354"/>
      <c r="D86" s="354"/>
      <c r="E86" s="354"/>
      <c r="F86" s="354"/>
      <c r="G86" s="354"/>
      <c r="H86" s="354"/>
      <c r="I86" s="354"/>
      <c r="J86" s="354"/>
      <c r="K86" s="28"/>
      <c r="L86" s="28" t="s">
        <v>302</v>
      </c>
      <c r="M86" s="360" t="str">
        <f>IF(M85&lt;M78,"yes","no")</f>
        <v>no</v>
      </c>
      <c r="N86" s="361" t="str">
        <f>IF(N85&lt;M78,"yes","no")</f>
        <v>no</v>
      </c>
      <c r="O86" s="28"/>
      <c r="T86" s="1" t="s">
        <v>263</v>
      </c>
      <c r="AE86" s="1" t="s">
        <v>288</v>
      </c>
    </row>
    <row r="87" spans="1:33" ht="21" customHeight="1" x14ac:dyDescent="0.25">
      <c r="A87" s="28"/>
      <c r="B87" s="28"/>
      <c r="C87" s="28"/>
      <c r="D87" s="28"/>
      <c r="E87" s="28"/>
      <c r="F87" s="28"/>
      <c r="G87" s="28"/>
      <c r="H87" s="28"/>
      <c r="I87" s="28"/>
      <c r="J87" s="28"/>
      <c r="K87" s="28"/>
      <c r="L87" s="28"/>
      <c r="M87" s="28"/>
      <c r="N87" s="28"/>
      <c r="O87" s="28"/>
    </row>
    <row r="88" spans="1:33" ht="21" customHeight="1" thickBot="1" x14ac:dyDescent="0.3">
      <c r="A88" s="28"/>
      <c r="B88" s="28"/>
      <c r="C88" s="28"/>
      <c r="D88" s="28"/>
      <c r="E88" s="28"/>
      <c r="F88" s="28"/>
      <c r="G88" s="28"/>
      <c r="H88" s="28"/>
      <c r="I88" s="28"/>
      <c r="J88" s="28"/>
      <c r="K88" s="28"/>
      <c r="L88" s="28" t="s">
        <v>301</v>
      </c>
      <c r="M88" s="358">
        <v>16</v>
      </c>
      <c r="N88" s="358">
        <v>12</v>
      </c>
      <c r="O88" s="28"/>
      <c r="T88" s="1" t="s">
        <v>264</v>
      </c>
      <c r="W88" s="1" t="s">
        <v>265</v>
      </c>
      <c r="X88" s="1">
        <v>0</v>
      </c>
      <c r="AF88" s="1" t="s">
        <v>289</v>
      </c>
      <c r="AG88" s="1" t="s">
        <v>290</v>
      </c>
    </row>
    <row r="89" spans="1:33" ht="21" customHeight="1" thickTop="1" x14ac:dyDescent="0.25">
      <c r="A89" s="28"/>
      <c r="B89" s="28"/>
      <c r="C89" s="28"/>
      <c r="D89" s="28"/>
      <c r="E89" s="28"/>
      <c r="F89" s="28"/>
      <c r="G89" s="28"/>
      <c r="H89" s="28"/>
      <c r="I89" s="28"/>
      <c r="J89" s="28"/>
      <c r="K89" s="28"/>
      <c r="L89" s="28" t="s">
        <v>311</v>
      </c>
      <c r="M89" s="360" t="str">
        <f>IF(ISNUMBER(M88),IF(M79&lt;M88,"yes","no"),"no")</f>
        <v>no</v>
      </c>
      <c r="N89" s="360" t="str">
        <f>IF(ISNUMBER(N88),IF(M79&lt;N88,"yes","no"),"no")</f>
        <v>no</v>
      </c>
      <c r="O89" s="28"/>
      <c r="T89" s="332" t="s">
        <v>266</v>
      </c>
      <c r="U89" s="332" t="s">
        <v>267</v>
      </c>
      <c r="V89" s="332" t="s">
        <v>117</v>
      </c>
      <c r="W89" s="332" t="s">
        <v>268</v>
      </c>
      <c r="X89" s="332" t="s">
        <v>269</v>
      </c>
      <c r="AE89" s="1" t="s">
        <v>291</v>
      </c>
      <c r="AF89" s="336">
        <f>COUNT(K36:K43)</f>
        <v>8</v>
      </c>
      <c r="AG89" s="337">
        <f>COUNT(K56:K59)</f>
        <v>4</v>
      </c>
    </row>
    <row r="90" spans="1:33" ht="21" customHeight="1" x14ac:dyDescent="0.25">
      <c r="A90" s="28"/>
      <c r="B90" s="28"/>
      <c r="C90" s="28"/>
      <c r="D90" s="28"/>
      <c r="E90" s="28"/>
      <c r="F90" s="28"/>
      <c r="G90" s="28"/>
      <c r="H90" s="28"/>
      <c r="I90" s="28"/>
      <c r="J90" s="28"/>
      <c r="K90" s="28"/>
      <c r="L90" s="28"/>
      <c r="M90" s="28"/>
      <c r="N90" s="28"/>
      <c r="O90" s="28"/>
      <c r="T90" s="1" t="s">
        <v>270</v>
      </c>
      <c r="U90" s="1">
        <f>COUNT(K36:K43)</f>
        <v>8</v>
      </c>
      <c r="V90" s="64">
        <f>AVERAGE(K36:K43)</f>
        <v>4.0348394814450614</v>
      </c>
      <c r="W90" s="1">
        <f>VAR(K36:K43)</f>
        <v>5.856048216125178E-2</v>
      </c>
      <c r="AE90" s="1" t="s">
        <v>292</v>
      </c>
      <c r="AF90" s="338">
        <f>MEDIAN(K36:K43)</f>
        <v>3.9729065632936691</v>
      </c>
      <c r="AG90" s="362">
        <f>MEDIAN(K56:K59)</f>
        <v>4.1707093478946042</v>
      </c>
    </row>
    <row r="91" spans="1:33" ht="21" customHeight="1" x14ac:dyDescent="0.25">
      <c r="A91" s="28"/>
      <c r="B91" s="28"/>
      <c r="C91" s="28"/>
      <c r="D91" s="28"/>
      <c r="E91" s="28"/>
      <c r="F91" s="28"/>
      <c r="G91" s="28"/>
      <c r="H91" s="28"/>
      <c r="I91" s="28"/>
      <c r="J91" s="28"/>
      <c r="K91" s="28"/>
      <c r="L91" s="28" t="s">
        <v>279</v>
      </c>
      <c r="M91" s="358">
        <v>0.19316473000683526</v>
      </c>
      <c r="N91" s="358">
        <v>0.38632946001367052</v>
      </c>
      <c r="O91" s="28"/>
      <c r="T91" s="1" t="s">
        <v>271</v>
      </c>
      <c r="U91" s="1">
        <f>COUNT(K56:K59)</f>
        <v>4</v>
      </c>
      <c r="V91" s="64">
        <f>AVERAGE(K56:K59)</f>
        <v>4.1952920280817967</v>
      </c>
      <c r="W91" s="1">
        <f>VAR(K56:K59)</f>
        <v>0.13085391832215224</v>
      </c>
      <c r="AE91" s="1" t="s">
        <v>293</v>
      </c>
      <c r="AF91" s="340">
        <f>[1]!RANK_SUM(K36:K43,K56:K59,1)</f>
        <v>48</v>
      </c>
      <c r="AG91" s="341">
        <f>[1]!RANK_SUM(K56:K59,K36:K43,1)</f>
        <v>30</v>
      </c>
    </row>
    <row r="92" spans="1:33" ht="21" customHeight="1" x14ac:dyDescent="0.25">
      <c r="A92" s="28"/>
      <c r="B92" s="28"/>
      <c r="C92" s="28"/>
      <c r="D92" s="28"/>
      <c r="E92" s="28"/>
      <c r="F92" s="28"/>
      <c r="G92" s="28"/>
      <c r="H92" s="28"/>
      <c r="I92" s="28"/>
      <c r="J92" s="28"/>
      <c r="K92" s="28"/>
      <c r="L92" s="28" t="s">
        <v>303</v>
      </c>
      <c r="M92" s="360" t="str">
        <f>IF(M91&lt;M78,"yes","no")</f>
        <v>no</v>
      </c>
      <c r="N92" s="360" t="str">
        <f>IF(N91&lt;M78,"yes","no")</f>
        <v>no</v>
      </c>
      <c r="O92" s="28"/>
      <c r="T92" s="334" t="s">
        <v>272</v>
      </c>
      <c r="U92" s="334"/>
      <c r="V92" s="334"/>
      <c r="W92" s="334">
        <f>((U90-1)*W90+(U91-1)*W91)/(U90+U91-2)</f>
        <v>8.0248513009521918E-2</v>
      </c>
      <c r="X92" s="334">
        <f>ABS(V90-V91-X88)/SQRT(W92)</f>
        <v>0.56640635515719828</v>
      </c>
      <c r="AE92" s="1" t="s">
        <v>294</v>
      </c>
      <c r="AF92" s="342">
        <f>AF89*AG89+AF89*(AF89+1)/2-AF91</f>
        <v>20</v>
      </c>
      <c r="AG92" s="343">
        <f>AF89*AG89+AG89*(AG89+1)/2-AG91</f>
        <v>12</v>
      </c>
    </row>
    <row r="93" spans="1:33" ht="21" customHeight="1" x14ac:dyDescent="0.25">
      <c r="A93" s="28"/>
      <c r="B93" s="28"/>
      <c r="C93" s="28"/>
      <c r="D93" s="28"/>
      <c r="E93" s="28"/>
      <c r="F93" s="28"/>
      <c r="G93" s="28"/>
      <c r="H93" s="28"/>
      <c r="I93" s="28"/>
      <c r="J93" s="28"/>
      <c r="K93" s="28"/>
      <c r="L93" s="28"/>
      <c r="M93" s="28"/>
      <c r="N93" s="28"/>
      <c r="O93" s="28"/>
    </row>
    <row r="94" spans="1:33" ht="21" customHeight="1" thickBot="1" x14ac:dyDescent="0.3">
      <c r="A94" s="28"/>
      <c r="B94" s="28"/>
      <c r="C94" s="28"/>
      <c r="D94" s="28"/>
      <c r="E94" s="28"/>
      <c r="F94" s="28"/>
      <c r="G94" s="28"/>
      <c r="H94" s="28"/>
      <c r="I94" s="28"/>
      <c r="J94" s="28"/>
      <c r="K94" s="28"/>
      <c r="L94" s="28"/>
      <c r="M94" s="28"/>
      <c r="N94" s="28"/>
      <c r="O94" s="28"/>
      <c r="T94" s="1" t="s">
        <v>273</v>
      </c>
      <c r="X94" s="1" t="s">
        <v>274</v>
      </c>
      <c r="Y94" s="1">
        <v>0.05</v>
      </c>
      <c r="AF94" s="344" t="s">
        <v>295</v>
      </c>
      <c r="AG94" s="344" t="s">
        <v>296</v>
      </c>
    </row>
    <row r="95" spans="1:33" ht="21" customHeight="1" thickTop="1" x14ac:dyDescent="0.25">
      <c r="A95" s="349" t="s">
        <v>305</v>
      </c>
      <c r="B95" s="28"/>
      <c r="C95" s="28"/>
      <c r="D95" s="28"/>
      <c r="E95" s="28"/>
      <c r="F95" s="28"/>
      <c r="G95" s="28"/>
      <c r="H95" s="28"/>
      <c r="I95" s="28"/>
      <c r="J95" s="28"/>
      <c r="K95" s="28"/>
      <c r="L95" s="28"/>
      <c r="M95" s="28"/>
      <c r="N95" s="28"/>
      <c r="O95" s="28"/>
      <c r="T95" s="332" t="s">
        <v>275</v>
      </c>
      <c r="U95" s="332" t="s">
        <v>276</v>
      </c>
      <c r="V95" s="332" t="s">
        <v>277</v>
      </c>
      <c r="W95" s="332" t="s">
        <v>278</v>
      </c>
      <c r="X95" s="332" t="s">
        <v>279</v>
      </c>
      <c r="Y95" s="332" t="s">
        <v>280</v>
      </c>
      <c r="Z95" s="332" t="s">
        <v>281</v>
      </c>
      <c r="AA95" s="332" t="s">
        <v>282</v>
      </c>
      <c r="AB95" s="332" t="s">
        <v>283</v>
      </c>
      <c r="AC95" s="332" t="s">
        <v>284</v>
      </c>
      <c r="AE95" s="1" t="s">
        <v>297</v>
      </c>
      <c r="AF95" s="345">
        <v>0.05</v>
      </c>
    </row>
    <row r="96" spans="1:33" ht="21" customHeight="1" x14ac:dyDescent="0.25">
      <c r="A96" s="28" t="s">
        <v>263</v>
      </c>
      <c r="B96" s="28"/>
      <c r="C96" s="28"/>
      <c r="D96" s="28"/>
      <c r="E96" s="28"/>
      <c r="F96" s="28"/>
      <c r="G96" s="28"/>
      <c r="H96" s="28"/>
      <c r="I96" s="28"/>
      <c r="J96" s="28"/>
      <c r="K96" s="28"/>
      <c r="L96" s="28" t="s">
        <v>288</v>
      </c>
      <c r="M96" s="28"/>
      <c r="N96" s="28"/>
      <c r="O96" s="28"/>
      <c r="T96" s="1" t="s">
        <v>285</v>
      </c>
      <c r="U96" s="1">
        <f>SQRT(W92*(1/U90+1/U91))</f>
        <v>0.17347389538074806</v>
      </c>
      <c r="V96" s="1">
        <f>(ABS(V90-V91-X88))/U96</f>
        <v>0.92493770480317516</v>
      </c>
      <c r="W96" s="1">
        <f>U90+U91-2</f>
        <v>10</v>
      </c>
      <c r="X96" s="1">
        <f>TDIST(V96,W96,1)</f>
        <v>0.18838938225581359</v>
      </c>
      <c r="Y96" s="1">
        <f>TINV(Y94*2,W96)</f>
        <v>1.812461122811676</v>
      </c>
      <c r="AB96" s="327" t="str">
        <f>IF(X96&lt;Y94,"yes","no")</f>
        <v>no</v>
      </c>
      <c r="AC96" s="1">
        <f>SQRT(V96^2/(V96^2+W96))</f>
        <v>0.2807290607705421</v>
      </c>
      <c r="AE96" s="1" t="s">
        <v>294</v>
      </c>
      <c r="AF96" s="346">
        <f>MIN(AF92,AG92)</f>
        <v>12</v>
      </c>
    </row>
    <row r="97" spans="1:33" ht="21" customHeight="1" x14ac:dyDescent="0.25">
      <c r="A97" s="28"/>
      <c r="B97" s="28"/>
      <c r="C97" s="28"/>
      <c r="D97" s="28"/>
      <c r="E97" s="28"/>
      <c r="F97" s="28"/>
      <c r="G97" s="28"/>
      <c r="H97" s="28"/>
      <c r="I97" s="28"/>
      <c r="J97" s="28"/>
      <c r="K97" s="28"/>
      <c r="L97" s="28"/>
      <c r="M97" s="28"/>
      <c r="N97" s="28"/>
      <c r="O97" s="28"/>
      <c r="T97" s="1" t="s">
        <v>286</v>
      </c>
      <c r="U97" s="1">
        <f>U96</f>
        <v>0.17347389538074806</v>
      </c>
      <c r="V97" s="327">
        <f t="shared" ref="V97:W97" si="22">V96</f>
        <v>0.92493770480317516</v>
      </c>
      <c r="W97" s="327">
        <f t="shared" si="22"/>
        <v>10</v>
      </c>
      <c r="X97" s="1">
        <f>TDIST(V97,W97,2)</f>
        <v>0.37677876451162717</v>
      </c>
      <c r="Y97" s="1">
        <f>TINV(Y94,W97)</f>
        <v>2.2281388519862744</v>
      </c>
      <c r="Z97" s="1">
        <f>(V90-V91)-Y97*U97</f>
        <v>-0.54697647273998229</v>
      </c>
      <c r="AA97" s="1">
        <f>(V90-V91)+Y97*U97</f>
        <v>0.22607137946651179</v>
      </c>
      <c r="AB97" s="327" t="str">
        <f>IF(X97&lt;Y94,"yes","no")</f>
        <v>no</v>
      </c>
      <c r="AC97" s="1">
        <f>AC96</f>
        <v>0.2807290607705421</v>
      </c>
      <c r="AE97" s="1" t="s">
        <v>298</v>
      </c>
      <c r="AF97" s="346">
        <f>AF89*AG89/2</f>
        <v>16</v>
      </c>
    </row>
    <row r="98" spans="1:33" ht="21" customHeight="1" thickBot="1" x14ac:dyDescent="0.3">
      <c r="A98" s="28" t="s">
        <v>264</v>
      </c>
      <c r="B98" s="28"/>
      <c r="C98" s="28"/>
      <c r="D98" s="28" t="s">
        <v>265</v>
      </c>
      <c r="E98" s="28">
        <v>0</v>
      </c>
      <c r="F98" s="28"/>
      <c r="G98" s="28"/>
      <c r="H98" s="28"/>
      <c r="I98" s="28"/>
      <c r="J98" s="28"/>
      <c r="K98" s="28"/>
      <c r="L98" s="28"/>
      <c r="M98" s="28" t="s">
        <v>289</v>
      </c>
      <c r="N98" s="28" t="s">
        <v>290</v>
      </c>
      <c r="O98" s="28"/>
      <c r="T98" s="334"/>
      <c r="U98" s="334"/>
      <c r="V98" s="334"/>
      <c r="W98" s="334"/>
      <c r="X98" s="334"/>
      <c r="Y98" s="334"/>
      <c r="Z98" s="334"/>
      <c r="AA98" s="334"/>
      <c r="AB98" s="334"/>
      <c r="AC98" s="334"/>
      <c r="AE98" s="1" t="s">
        <v>299</v>
      </c>
      <c r="AF98" s="346">
        <f>SQRT(AF97*(AF89+AG89+1)/6*(1-[1]!TiesCorrection(K36:K43,K56:K59,2)/((AF89+AG89)^3-AF89-AG89)))</f>
        <v>5.8878405775518976</v>
      </c>
      <c r="AG98" s="1" t="s">
        <v>300</v>
      </c>
    </row>
    <row r="99" spans="1:33" ht="21" customHeight="1" thickTop="1" thickBot="1" x14ac:dyDescent="0.3">
      <c r="A99" s="350" t="s">
        <v>266</v>
      </c>
      <c r="B99" s="350" t="s">
        <v>267</v>
      </c>
      <c r="C99" s="350" t="s">
        <v>117</v>
      </c>
      <c r="D99" s="350" t="s">
        <v>268</v>
      </c>
      <c r="E99" s="350" t="s">
        <v>269</v>
      </c>
      <c r="F99" s="28"/>
      <c r="G99" s="28"/>
      <c r="H99" s="28"/>
      <c r="I99" s="28"/>
      <c r="J99" s="28"/>
      <c r="K99" s="28"/>
      <c r="L99" s="28" t="s">
        <v>291</v>
      </c>
      <c r="M99" s="351">
        <f>COUNT(L6:L23)</f>
        <v>18</v>
      </c>
      <c r="N99" s="352">
        <f>COUNT(L56:L59)</f>
        <v>4</v>
      </c>
      <c r="O99" s="28"/>
      <c r="T99" s="1" t="s">
        <v>287</v>
      </c>
      <c r="X99" s="1" t="s">
        <v>274</v>
      </c>
      <c r="Y99" s="1">
        <f>Y94</f>
        <v>0.05</v>
      </c>
      <c r="AE99" s="1" t="s">
        <v>19</v>
      </c>
      <c r="AF99" s="346">
        <f>ABS(STANDARDIZE(AF96,AF97,AF98))</f>
        <v>0.67936622048675743</v>
      </c>
    </row>
    <row r="100" spans="1:33" ht="21" customHeight="1" thickTop="1" x14ac:dyDescent="0.25">
      <c r="A100" s="28" t="s">
        <v>270</v>
      </c>
      <c r="B100" s="28">
        <f>COUNT(L6:L23)</f>
        <v>18</v>
      </c>
      <c r="C100" s="28">
        <f>AVERAGE(L6:L23)</f>
        <v>0.57866983054339094</v>
      </c>
      <c r="D100" s="28">
        <f>VAR(L6:L23)</f>
        <v>2.8722315554807466E-2</v>
      </c>
      <c r="E100" s="28"/>
      <c r="F100" s="28"/>
      <c r="G100" s="28"/>
      <c r="H100" s="28"/>
      <c r="I100" s="28"/>
      <c r="J100" s="28"/>
      <c r="K100" s="28"/>
      <c r="L100" s="28" t="s">
        <v>292</v>
      </c>
      <c r="M100" s="353">
        <f>MEDIAN(L6:L23)</f>
        <v>0.59092179397238631</v>
      </c>
      <c r="N100" s="339">
        <f>MEDIAN(L56:L59)</f>
        <v>0.91496692340119512</v>
      </c>
      <c r="O100" s="28"/>
      <c r="T100" s="332" t="s">
        <v>275</v>
      </c>
      <c r="U100" s="332" t="s">
        <v>276</v>
      </c>
      <c r="V100" s="332" t="s">
        <v>277</v>
      </c>
      <c r="W100" s="332" t="s">
        <v>278</v>
      </c>
      <c r="X100" s="332" t="s">
        <v>279</v>
      </c>
      <c r="Y100" s="332" t="s">
        <v>280</v>
      </c>
      <c r="Z100" s="332" t="s">
        <v>281</v>
      </c>
      <c r="AA100" s="332" t="s">
        <v>282</v>
      </c>
      <c r="AB100" s="332" t="s">
        <v>283</v>
      </c>
      <c r="AC100" s="332" t="s">
        <v>284</v>
      </c>
      <c r="AE100" s="1" t="s">
        <v>284</v>
      </c>
      <c r="AF100" s="346">
        <f>AF99/SQRT(AF89+AG89)</f>
        <v>0.19611613513818404</v>
      </c>
    </row>
    <row r="101" spans="1:33" ht="21" customHeight="1" x14ac:dyDescent="0.25">
      <c r="A101" s="28" t="s">
        <v>271</v>
      </c>
      <c r="B101" s="28">
        <f>COUNT(L56:L59)</f>
        <v>4</v>
      </c>
      <c r="C101" s="28">
        <f>AVERAGE(L56:L59)</f>
        <v>0.87259547453092146</v>
      </c>
      <c r="D101" s="28">
        <f>VAR(L56:L59)</f>
        <v>0.17250585106440383</v>
      </c>
      <c r="E101" s="28"/>
      <c r="F101" s="28"/>
      <c r="G101" s="28"/>
      <c r="H101" s="28"/>
      <c r="I101" s="28"/>
      <c r="J101" s="28"/>
      <c r="K101" s="28"/>
      <c r="L101" s="28" t="s">
        <v>293</v>
      </c>
      <c r="M101" s="353">
        <v>191</v>
      </c>
      <c r="N101" s="339">
        <v>62</v>
      </c>
      <c r="O101" s="28"/>
      <c r="T101" s="1" t="s">
        <v>285</v>
      </c>
      <c r="U101" s="1">
        <f>SQRT(W90/U90+W91/U91)</f>
        <v>0.20008383205720179</v>
      </c>
      <c r="V101" s="1">
        <f>(ABS(V90-V91-X88))/U101</f>
        <v>0.80192659740175121</v>
      </c>
      <c r="W101" s="1">
        <f>(W90/U90+W91/U91)^2/((W90/U90)^2/(U90-1)+(W91/U91)^2/(U91-1))</f>
        <v>4.3984032127353609</v>
      </c>
      <c r="X101" s="1">
        <f>TDIST(V101,ROUND(W101,0),1)</f>
        <v>0.23376546788144292</v>
      </c>
      <c r="Y101" s="1">
        <f>TINV(Y99*2,ROUND(W101,0))</f>
        <v>2.1318467863266499</v>
      </c>
      <c r="AB101" s="327" t="str">
        <f>IF(X101&lt;Y99,"yes","no")</f>
        <v>no</v>
      </c>
      <c r="AC101" s="1">
        <f>SQRT(V101^2/(V101^2+W101))</f>
        <v>0.35715372599420958</v>
      </c>
      <c r="AE101" s="1" t="s">
        <v>301</v>
      </c>
      <c r="AF101" s="345">
        <f>AF97+AF98*NORMSINV(AF95)</f>
        <v>6.3153640711017083</v>
      </c>
      <c r="AG101" s="337">
        <f>AF97+AF98*NORMSINV(AF95/2)</f>
        <v>4.4600445212847717</v>
      </c>
    </row>
    <row r="102" spans="1:33" ht="21" customHeight="1" x14ac:dyDescent="0.25">
      <c r="A102" s="354" t="s">
        <v>272</v>
      </c>
      <c r="B102" s="354"/>
      <c r="C102" s="354"/>
      <c r="D102" s="354">
        <f>((B100-1)*D100+(B101-1)*D101)/(B100+B101-2)</f>
        <v>5.0289845881246922E-2</v>
      </c>
      <c r="E102" s="354">
        <f>ABS(C100-C101-E98)/SQRT(D102)</f>
        <v>1.3106819725206154</v>
      </c>
      <c r="F102" s="28"/>
      <c r="G102" s="28"/>
      <c r="H102" s="28"/>
      <c r="I102" s="28"/>
      <c r="J102" s="28"/>
      <c r="K102" s="28"/>
      <c r="L102" s="28" t="s">
        <v>294</v>
      </c>
      <c r="M102" s="355">
        <f>M99*N99+M99*(M99+1)/2-M101</f>
        <v>52</v>
      </c>
      <c r="N102" s="356">
        <f>M99*N99+N99*(N99+1)/2-N101</f>
        <v>20</v>
      </c>
      <c r="O102" s="28"/>
      <c r="T102" s="1" t="s">
        <v>286</v>
      </c>
      <c r="U102" s="1">
        <f>U101</f>
        <v>0.20008383205720179</v>
      </c>
      <c r="V102" s="327">
        <f t="shared" ref="V102:W102" si="23">V101</f>
        <v>0.80192659740175121</v>
      </c>
      <c r="W102" s="327">
        <f t="shared" si="23"/>
        <v>4.3984032127353609</v>
      </c>
      <c r="X102" s="1">
        <f>TDIST(V102,ROUND(W102,0),2)</f>
        <v>0.46753093576288585</v>
      </c>
      <c r="Y102" s="1">
        <f>TINV(Y99,ROUND(W102,0))</f>
        <v>2.7764451051977934</v>
      </c>
      <c r="Z102" s="1">
        <f>(V90-V91)-Y102*U102</f>
        <v>-0.71597432278117046</v>
      </c>
      <c r="AA102" s="1">
        <f>(V90-V91)+Y102*U102</f>
        <v>0.39506922950769996</v>
      </c>
      <c r="AB102" s="327" t="str">
        <f>IF(X102&lt;Y99,"yes","no")</f>
        <v>no</v>
      </c>
      <c r="AC102" s="1">
        <f>AC101</f>
        <v>0.35715372599420958</v>
      </c>
      <c r="AE102" s="1" t="s">
        <v>279</v>
      </c>
      <c r="AF102" s="346">
        <f>1-NORMSDIST(AF99)</f>
        <v>0.24845292378238393</v>
      </c>
      <c r="AG102" s="341">
        <f>2*AF102</f>
        <v>0.49690584756476786</v>
      </c>
    </row>
    <row r="103" spans="1:33" ht="21" customHeight="1" x14ac:dyDescent="0.25">
      <c r="A103" s="28"/>
      <c r="B103" s="28"/>
      <c r="C103" s="28"/>
      <c r="D103" s="28"/>
      <c r="E103" s="28"/>
      <c r="F103" s="28"/>
      <c r="G103" s="28"/>
      <c r="H103" s="28"/>
      <c r="I103" s="28"/>
      <c r="J103" s="28"/>
      <c r="K103" s="28"/>
      <c r="L103" s="28"/>
      <c r="M103" s="28"/>
      <c r="N103" s="28"/>
      <c r="O103" s="28"/>
      <c r="T103" s="334"/>
      <c r="U103" s="334"/>
      <c r="V103" s="334"/>
      <c r="W103" s="334"/>
      <c r="X103" s="334"/>
      <c r="Y103" s="334"/>
      <c r="Z103" s="334"/>
      <c r="AA103" s="334"/>
      <c r="AB103" s="334"/>
      <c r="AC103" s="334"/>
      <c r="AE103" s="1" t="s">
        <v>302</v>
      </c>
      <c r="AF103" s="347" t="str">
        <f>IF(AF102&lt;AF95,"yes","no")</f>
        <v>no</v>
      </c>
      <c r="AG103" s="348" t="str">
        <f>IF(AG102&lt;AF95,"yes","no")</f>
        <v>no</v>
      </c>
    </row>
    <row r="104" spans="1:33" ht="21" customHeight="1" thickBot="1" x14ac:dyDescent="0.3">
      <c r="A104" s="28" t="s">
        <v>273</v>
      </c>
      <c r="B104" s="28"/>
      <c r="C104" s="28"/>
      <c r="D104" s="28"/>
      <c r="E104" s="28" t="s">
        <v>274</v>
      </c>
      <c r="F104" s="28">
        <v>0.05</v>
      </c>
      <c r="G104" s="28"/>
      <c r="H104" s="28"/>
      <c r="I104" s="28"/>
      <c r="J104" s="28"/>
      <c r="K104" s="28"/>
      <c r="L104" s="28"/>
      <c r="M104" s="357" t="s">
        <v>295</v>
      </c>
      <c r="N104" s="357" t="s">
        <v>296</v>
      </c>
      <c r="O104" s="28"/>
    </row>
    <row r="105" spans="1:33" ht="21" customHeight="1" thickTop="1" x14ac:dyDescent="0.25">
      <c r="A105" s="350" t="s">
        <v>275</v>
      </c>
      <c r="B105" s="350" t="s">
        <v>276</v>
      </c>
      <c r="C105" s="350" t="s">
        <v>277</v>
      </c>
      <c r="D105" s="350" t="s">
        <v>278</v>
      </c>
      <c r="E105" s="350" t="s">
        <v>279</v>
      </c>
      <c r="F105" s="350" t="s">
        <v>280</v>
      </c>
      <c r="G105" s="350" t="s">
        <v>281</v>
      </c>
      <c r="H105" s="350" t="s">
        <v>282</v>
      </c>
      <c r="I105" s="350" t="s">
        <v>283</v>
      </c>
      <c r="J105" s="350" t="s">
        <v>284</v>
      </c>
      <c r="K105" s="28"/>
      <c r="L105" s="28" t="s">
        <v>297</v>
      </c>
      <c r="M105" s="358">
        <v>0.05</v>
      </c>
      <c r="N105" s="28"/>
      <c r="O105" s="28"/>
      <c r="AE105" s="1" t="s">
        <v>301</v>
      </c>
      <c r="AF105" s="345">
        <f>[1]!MCRIT(AF89,AG89,AF95,1)</f>
        <v>5</v>
      </c>
      <c r="AG105" s="345">
        <f>[1]!MCRIT(AF89,AG89,AF95,2)</f>
        <v>4</v>
      </c>
    </row>
    <row r="106" spans="1:33" ht="21" customHeight="1" x14ac:dyDescent="0.25">
      <c r="A106" s="28" t="s">
        <v>285</v>
      </c>
      <c r="B106" s="28">
        <f>SQRT(D102*(1/B100+1/B101))</f>
        <v>0.12396104951575584</v>
      </c>
      <c r="C106" s="28">
        <f>(ABS(C100-C101-E98))/B106</f>
        <v>2.3711129030911571</v>
      </c>
      <c r="D106" s="28">
        <f>B100+B101-2</f>
        <v>20</v>
      </c>
      <c r="E106" s="28">
        <f>TDIST(C106,D106,1)</f>
        <v>1.3945494938319227E-2</v>
      </c>
      <c r="F106" s="28">
        <f>TINV(F104*2,D106)</f>
        <v>1.7247182429207868</v>
      </c>
      <c r="G106" s="28"/>
      <c r="H106" s="28"/>
      <c r="I106" s="28" t="str">
        <f>IF(E106&lt;F104,"yes","no")</f>
        <v>yes</v>
      </c>
      <c r="J106" s="28">
        <f>SQRT(C106^2/(C106^2+D106))</f>
        <v>0.46842948694562214</v>
      </c>
      <c r="K106" s="28"/>
      <c r="L106" s="28" t="s">
        <v>294</v>
      </c>
      <c r="M106" s="359">
        <f>MIN(M102,N102)</f>
        <v>20</v>
      </c>
      <c r="N106" s="28"/>
      <c r="O106" s="28"/>
      <c r="AE106" s="1" t="s">
        <v>311</v>
      </c>
      <c r="AF106" s="347" t="str">
        <f>IF(ISNUMBER(AF105),IF(AF96&lt;AF105,"yes","no"),"no")</f>
        <v>no</v>
      </c>
      <c r="AG106" s="347" t="str">
        <f>IF(ISNUMBER(AG105),IF(AF96&lt;AG105,"yes","no"),"no")</f>
        <v>no</v>
      </c>
    </row>
    <row r="107" spans="1:33" ht="21" customHeight="1" x14ac:dyDescent="0.25">
      <c r="A107" s="28" t="s">
        <v>286</v>
      </c>
      <c r="B107" s="28">
        <f>B106</f>
        <v>0.12396104951575584</v>
      </c>
      <c r="C107" s="28">
        <f t="shared" ref="C107:D107" si="24">C106</f>
        <v>2.3711129030911571</v>
      </c>
      <c r="D107" s="28">
        <f t="shared" si="24"/>
        <v>20</v>
      </c>
      <c r="E107" s="28">
        <f>TDIST(C107,D107,2)</f>
        <v>2.7890989876638454E-2</v>
      </c>
      <c r="F107" s="28">
        <f>TINV(F104,D107)</f>
        <v>2.0859634472658648</v>
      </c>
      <c r="G107" s="28">
        <f>(C100-C101)-F107*B107</f>
        <v>-0.55250386216211111</v>
      </c>
      <c r="H107" s="28">
        <f>(C100-C101)+F107*B107</f>
        <v>-3.5347425812949917E-2</v>
      </c>
      <c r="I107" s="28" t="str">
        <f>IF(E107&lt;F104,"yes","no")</f>
        <v>yes</v>
      </c>
      <c r="J107" s="28">
        <f>J106</f>
        <v>0.46842948694562214</v>
      </c>
      <c r="K107" s="28"/>
      <c r="L107" s="28" t="s">
        <v>298</v>
      </c>
      <c r="M107" s="359">
        <f>M99*N99/2</f>
        <v>36</v>
      </c>
      <c r="N107" s="28"/>
      <c r="O107" s="28"/>
    </row>
    <row r="108" spans="1:33" ht="21" customHeight="1" x14ac:dyDescent="0.25">
      <c r="A108" s="354"/>
      <c r="B108" s="354"/>
      <c r="C108" s="354"/>
      <c r="D108" s="354"/>
      <c r="E108" s="354"/>
      <c r="F108" s="354"/>
      <c r="G108" s="354"/>
      <c r="H108" s="354"/>
      <c r="I108" s="354"/>
      <c r="J108" s="354"/>
      <c r="K108" s="28"/>
      <c r="L108" s="28" t="s">
        <v>299</v>
      </c>
      <c r="M108" s="359">
        <v>11.717452850287101</v>
      </c>
      <c r="N108" s="28" t="s">
        <v>300</v>
      </c>
      <c r="O108" s="28"/>
      <c r="AE108" s="1" t="s">
        <v>279</v>
      </c>
      <c r="AF108" s="345">
        <f>[1]!MANN_EXACT(K36:K43,K56:K59,1)</f>
        <v>0.28484848484848485</v>
      </c>
      <c r="AG108" s="345">
        <f>2*AF108</f>
        <v>0.5696969696969697</v>
      </c>
    </row>
    <row r="109" spans="1:33" ht="21" customHeight="1" thickBot="1" x14ac:dyDescent="0.3">
      <c r="A109" s="28" t="s">
        <v>287</v>
      </c>
      <c r="B109" s="28"/>
      <c r="C109" s="28"/>
      <c r="D109" s="28"/>
      <c r="E109" s="28" t="s">
        <v>274</v>
      </c>
      <c r="F109" s="28">
        <f>F104</f>
        <v>0.05</v>
      </c>
      <c r="G109" s="28"/>
      <c r="H109" s="28"/>
      <c r="I109" s="28"/>
      <c r="J109" s="28"/>
      <c r="K109" s="28"/>
      <c r="L109" s="28" t="s">
        <v>19</v>
      </c>
      <c r="M109" s="359">
        <f>ABS(STANDARDIZE(M106,M107,M108))</f>
        <v>1.3654844789589204</v>
      </c>
      <c r="N109" s="28"/>
      <c r="O109" s="28"/>
      <c r="AE109" s="1" t="s">
        <v>303</v>
      </c>
      <c r="AF109" s="347" t="str">
        <f>IF(AF108&lt;AF95,"yes","no")</f>
        <v>no</v>
      </c>
      <c r="AG109" s="347" t="str">
        <f>IF(AG108&lt;AF95,"yes","no")</f>
        <v>no</v>
      </c>
    </row>
    <row r="110" spans="1:33" ht="21" customHeight="1" thickTop="1" x14ac:dyDescent="0.25">
      <c r="A110" s="350" t="s">
        <v>275</v>
      </c>
      <c r="B110" s="350" t="s">
        <v>276</v>
      </c>
      <c r="C110" s="350" t="s">
        <v>277</v>
      </c>
      <c r="D110" s="350" t="s">
        <v>278</v>
      </c>
      <c r="E110" s="350" t="s">
        <v>279</v>
      </c>
      <c r="F110" s="350" t="s">
        <v>280</v>
      </c>
      <c r="G110" s="350" t="s">
        <v>281</v>
      </c>
      <c r="H110" s="350" t="s">
        <v>282</v>
      </c>
      <c r="I110" s="350" t="s">
        <v>283</v>
      </c>
      <c r="J110" s="350" t="s">
        <v>284</v>
      </c>
      <c r="K110" s="28"/>
      <c r="L110" s="28" t="s">
        <v>284</v>
      </c>
      <c r="M110" s="359">
        <f>M109/SQRT(M99+N99)</f>
        <v>0.29112226908650929</v>
      </c>
      <c r="N110" s="28"/>
      <c r="O110" s="28"/>
    </row>
    <row r="111" spans="1:33" ht="21" customHeight="1" x14ac:dyDescent="0.25">
      <c r="A111" s="28" t="s">
        <v>285</v>
      </c>
      <c r="B111" s="28">
        <f>SQRT(D100/B100+D101/B101)</f>
        <v>0.21147611440441746</v>
      </c>
      <c r="C111" s="28">
        <f>(ABS(C100-C101-E98))/B111</f>
        <v>1.3898763215662278</v>
      </c>
      <c r="D111" s="28">
        <f>(D100/B100+D101/B101)^2/((D100/B100)^2/(B100-1)+(D101/B101)^2/(B101-1))</f>
        <v>3.2253285258247031</v>
      </c>
      <c r="E111" s="28">
        <f>TDIST(C111,ROUND(D111,0),1)</f>
        <v>0.12937271677743808</v>
      </c>
      <c r="F111" s="28">
        <f>TINV(F109*2,ROUND(D111,0))</f>
        <v>2.3533634348018233</v>
      </c>
      <c r="G111" s="28"/>
      <c r="H111" s="28"/>
      <c r="I111" s="28" t="str">
        <f>IF(E111&lt;F109,"yes","no")</f>
        <v>no</v>
      </c>
      <c r="J111" s="28">
        <f>SQRT(C111^2/(C111^2+D111))</f>
        <v>0.6120318501017844</v>
      </c>
      <c r="K111" s="28"/>
      <c r="L111" s="28" t="s">
        <v>301</v>
      </c>
      <c r="M111" s="358">
        <f>M107+M108*NORMSINV(M105)</f>
        <v>16.726505180572392</v>
      </c>
      <c r="N111" s="352">
        <f>M107+M108*NORMSINV(M105/2)</f>
        <v>13.034214422891083</v>
      </c>
      <c r="O111" s="28"/>
    </row>
    <row r="112" spans="1:33" ht="21" customHeight="1" x14ac:dyDescent="0.25">
      <c r="A112" s="28" t="s">
        <v>286</v>
      </c>
      <c r="B112" s="28">
        <f>B111</f>
        <v>0.21147611440441746</v>
      </c>
      <c r="C112" s="28">
        <f t="shared" ref="C112:D112" si="25">C111</f>
        <v>1.3898763215662278</v>
      </c>
      <c r="D112" s="28">
        <f t="shared" si="25"/>
        <v>3.2253285258247031</v>
      </c>
      <c r="E112" s="28">
        <f>TDIST(C112,ROUND(D112,0),2)</f>
        <v>0.25874543355487617</v>
      </c>
      <c r="F112" s="28">
        <f>TINV(F109,ROUND(D112,0))</f>
        <v>3.1824463052837091</v>
      </c>
      <c r="G112" s="28">
        <f>(C100-C101)-F112*B112</f>
        <v>-0.9669370229296238</v>
      </c>
      <c r="H112" s="28">
        <f>(C100-C101)+F112*B112</f>
        <v>0.37908573495456277</v>
      </c>
      <c r="I112" s="28" t="str">
        <f>IF(E112&lt;F109,"yes","no")</f>
        <v>no</v>
      </c>
      <c r="J112" s="28">
        <f>J111</f>
        <v>0.6120318501017844</v>
      </c>
      <c r="K112" s="28"/>
      <c r="L112" s="28" t="s">
        <v>279</v>
      </c>
      <c r="M112" s="359">
        <f>1-NORMSDIST(M109)</f>
        <v>8.6050414048488122E-2</v>
      </c>
      <c r="N112" s="339">
        <f>2*M112</f>
        <v>0.17210082809697624</v>
      </c>
      <c r="O112" s="28"/>
      <c r="T112" s="349" t="s">
        <v>313</v>
      </c>
    </row>
    <row r="113" spans="1:33" ht="21" customHeight="1" x14ac:dyDescent="0.25">
      <c r="A113" s="354"/>
      <c r="B113" s="354"/>
      <c r="C113" s="354"/>
      <c r="D113" s="354"/>
      <c r="E113" s="354"/>
      <c r="F113" s="354"/>
      <c r="G113" s="354"/>
      <c r="H113" s="354"/>
      <c r="I113" s="354"/>
      <c r="J113" s="354"/>
      <c r="K113" s="28"/>
      <c r="L113" s="28" t="s">
        <v>302</v>
      </c>
      <c r="M113" s="360" t="str">
        <f>IF(M112&lt;M105,"yes","no")</f>
        <v>no</v>
      </c>
      <c r="N113" s="361" t="str">
        <f>IF(N112&lt;M105,"yes","no")</f>
        <v>no</v>
      </c>
      <c r="O113" s="28"/>
      <c r="T113" s="1" t="s">
        <v>263</v>
      </c>
      <c r="AE113" s="1" t="s">
        <v>288</v>
      </c>
    </row>
    <row r="114" spans="1:33" ht="21" customHeight="1" x14ac:dyDescent="0.25">
      <c r="A114" s="28"/>
      <c r="B114" s="28"/>
      <c r="C114" s="28"/>
      <c r="D114" s="28"/>
      <c r="E114" s="28"/>
      <c r="F114" s="28"/>
      <c r="G114" s="28"/>
      <c r="H114" s="28"/>
      <c r="I114" s="28"/>
      <c r="J114" s="28"/>
      <c r="K114" s="28"/>
      <c r="L114" s="28"/>
      <c r="M114" s="28"/>
      <c r="N114" s="28"/>
      <c r="O114" s="28"/>
    </row>
    <row r="115" spans="1:33" ht="21" customHeight="1" thickBot="1" x14ac:dyDescent="0.3">
      <c r="A115" s="28"/>
      <c r="B115" s="28"/>
      <c r="C115" s="28"/>
      <c r="D115" s="28"/>
      <c r="E115" s="28"/>
      <c r="F115" s="28"/>
      <c r="G115" s="28"/>
      <c r="H115" s="28"/>
      <c r="I115" s="28"/>
      <c r="J115" s="28"/>
      <c r="K115" s="28"/>
      <c r="L115" s="28" t="s">
        <v>301</v>
      </c>
      <c r="M115" s="358">
        <f>[1]!MCRIT(M99,N99,M105,1)</f>
        <v>16</v>
      </c>
      <c r="N115" s="358">
        <f>[1]!MCRIT(M99,N99,M105,2)</f>
        <v>12</v>
      </c>
      <c r="O115" s="28"/>
      <c r="T115" s="1" t="s">
        <v>264</v>
      </c>
      <c r="W115" s="1" t="s">
        <v>265</v>
      </c>
      <c r="X115" s="1">
        <v>0</v>
      </c>
      <c r="AF115" s="1" t="s">
        <v>289</v>
      </c>
      <c r="AG115" s="1" t="s">
        <v>290</v>
      </c>
    </row>
    <row r="116" spans="1:33" ht="21" customHeight="1" thickTop="1" x14ac:dyDescent="0.25">
      <c r="A116" s="28"/>
      <c r="B116" s="28"/>
      <c r="C116" s="28"/>
      <c r="D116" s="28"/>
      <c r="E116" s="28"/>
      <c r="F116" s="28"/>
      <c r="G116" s="28"/>
      <c r="H116" s="28"/>
      <c r="I116" s="28"/>
      <c r="J116" s="28"/>
      <c r="K116" s="28"/>
      <c r="L116" s="28" t="s">
        <v>311</v>
      </c>
      <c r="M116" s="360" t="str">
        <f>IF(ISNUMBER(M115),IF(M106&lt;M115,"yes","no"),"no")</f>
        <v>no</v>
      </c>
      <c r="N116" s="360" t="str">
        <f>IF(ISNUMBER(N115),IF(M106&lt;N115,"yes","no"),"no")</f>
        <v>no</v>
      </c>
      <c r="O116" s="28"/>
      <c r="T116" s="332" t="s">
        <v>266</v>
      </c>
      <c r="U116" s="332" t="s">
        <v>267</v>
      </c>
      <c r="V116" s="332" t="s">
        <v>117</v>
      </c>
      <c r="W116" s="332" t="s">
        <v>268</v>
      </c>
      <c r="X116" s="332" t="s">
        <v>269</v>
      </c>
      <c r="AE116" s="1" t="s">
        <v>291</v>
      </c>
      <c r="AF116" s="336">
        <f>COUNT(L36:L43)</f>
        <v>8</v>
      </c>
      <c r="AG116" s="337">
        <f>COUNT(L56:L59)</f>
        <v>4</v>
      </c>
    </row>
    <row r="117" spans="1:33" ht="21" customHeight="1" x14ac:dyDescent="0.25">
      <c r="A117" s="28"/>
      <c r="B117" s="28"/>
      <c r="C117" s="28"/>
      <c r="D117" s="28"/>
      <c r="E117" s="28"/>
      <c r="F117" s="28"/>
      <c r="G117" s="28"/>
      <c r="H117" s="28"/>
      <c r="I117" s="28"/>
      <c r="J117" s="28"/>
      <c r="K117" s="28"/>
      <c r="L117" s="28"/>
      <c r="M117" s="28"/>
      <c r="N117" s="28"/>
      <c r="O117" s="28"/>
      <c r="T117" s="1" t="s">
        <v>270</v>
      </c>
      <c r="U117" s="1">
        <f>COUNT(L36:L43)</f>
        <v>8</v>
      </c>
      <c r="V117" s="64">
        <f>AVERAGE(L36:L43)</f>
        <v>0.62659787919629317</v>
      </c>
      <c r="W117" s="1">
        <f>VAR(L36:L43)</f>
        <v>5.2625109377889653E-2</v>
      </c>
      <c r="AE117" s="1" t="s">
        <v>292</v>
      </c>
      <c r="AF117" s="338">
        <f>MEDIAN(L36:L43)</f>
        <v>0.53147891704225514</v>
      </c>
      <c r="AG117" s="362">
        <f>MEDIAN(L56:L59)</f>
        <v>0.91496692340119512</v>
      </c>
    </row>
    <row r="118" spans="1:33" ht="21" customHeight="1" x14ac:dyDescent="0.25">
      <c r="A118" s="28"/>
      <c r="B118" s="28"/>
      <c r="C118" s="28"/>
      <c r="D118" s="28"/>
      <c r="E118" s="28"/>
      <c r="F118" s="28"/>
      <c r="G118" s="28"/>
      <c r="H118" s="28"/>
      <c r="I118" s="28"/>
      <c r="J118" s="28"/>
      <c r="K118" s="28"/>
      <c r="L118" s="28" t="s">
        <v>279</v>
      </c>
      <c r="M118" s="358">
        <f>[1]!MANN_EXACT(L6:L23,L56:L59,1)</f>
        <v>9.7607655502392338E-2</v>
      </c>
      <c r="N118" s="358">
        <f>2*M118</f>
        <v>0.19521531100478468</v>
      </c>
      <c r="O118" s="28"/>
      <c r="T118" s="1" t="s">
        <v>271</v>
      </c>
      <c r="U118" s="1">
        <f>COUNT(L56:L59)</f>
        <v>4</v>
      </c>
      <c r="V118" s="64">
        <f>AVERAGE(L56:L59)</f>
        <v>0.87259547453092146</v>
      </c>
      <c r="W118" s="1">
        <f>VAR(L56:L59)</f>
        <v>0.17250585106440383</v>
      </c>
      <c r="AE118" s="1" t="s">
        <v>293</v>
      </c>
      <c r="AF118" s="340">
        <f>[1]!RANK_SUM(L36:L43,L56:L59,1)</f>
        <v>46</v>
      </c>
      <c r="AG118" s="341">
        <f>[1]!RANK_SUM(L56:L59,L36:L43,1)</f>
        <v>32</v>
      </c>
    </row>
    <row r="119" spans="1:33" ht="21" customHeight="1" x14ac:dyDescent="0.25">
      <c r="A119" s="28"/>
      <c r="B119" s="28"/>
      <c r="C119" s="28"/>
      <c r="D119" s="28"/>
      <c r="E119" s="28"/>
      <c r="F119" s="28"/>
      <c r="G119" s="28"/>
      <c r="H119" s="28"/>
      <c r="I119" s="28"/>
      <c r="J119" s="28"/>
      <c r="K119" s="28"/>
      <c r="L119" s="28" t="s">
        <v>303</v>
      </c>
      <c r="M119" s="360" t="str">
        <f>IF(M118&lt;M105,"yes","no")</f>
        <v>no</v>
      </c>
      <c r="N119" s="360" t="str">
        <f>IF(N118&lt;M105,"yes","no")</f>
        <v>no</v>
      </c>
      <c r="O119" s="28"/>
      <c r="T119" s="334" t="s">
        <v>272</v>
      </c>
      <c r="U119" s="334"/>
      <c r="V119" s="334"/>
      <c r="W119" s="334">
        <f>((U117-1)*W117+(U118-1)*W118)/(U117+U118-2)</f>
        <v>8.8589331883843908E-2</v>
      </c>
      <c r="X119" s="334">
        <f>ABS(V117-V118-X115)/SQRT(W119)</f>
        <v>0.82649484405050477</v>
      </c>
      <c r="AE119" s="1" t="s">
        <v>294</v>
      </c>
      <c r="AF119" s="342">
        <f>AF116*AG116+AF116*(AF116+1)/2-AF118</f>
        <v>22</v>
      </c>
      <c r="AG119" s="343">
        <f>AF116*AG116+AG116*(AG116+1)/2-AG118</f>
        <v>10</v>
      </c>
    </row>
    <row r="120" spans="1:33" ht="21" customHeight="1" x14ac:dyDescent="0.25">
      <c r="A120" s="28"/>
      <c r="B120" s="28"/>
      <c r="C120" s="28"/>
      <c r="D120" s="28"/>
      <c r="E120" s="28"/>
      <c r="F120" s="28"/>
      <c r="G120" s="28"/>
      <c r="H120" s="28"/>
      <c r="I120" s="28"/>
      <c r="J120" s="28"/>
      <c r="K120" s="28"/>
      <c r="L120" s="28"/>
      <c r="M120" s="28"/>
      <c r="N120" s="28"/>
      <c r="O120" s="28"/>
    </row>
    <row r="121" spans="1:33" ht="21" customHeight="1" thickBot="1" x14ac:dyDescent="0.3">
      <c r="A121" s="28"/>
      <c r="B121" s="28"/>
      <c r="C121" s="28"/>
      <c r="D121" s="28"/>
      <c r="E121" s="28"/>
      <c r="F121" s="28"/>
      <c r="G121" s="28"/>
      <c r="H121" s="28"/>
      <c r="I121" s="28"/>
      <c r="J121" s="28"/>
      <c r="K121" s="28"/>
      <c r="L121" s="28"/>
      <c r="M121" s="28"/>
      <c r="N121" s="28"/>
      <c r="O121" s="28"/>
      <c r="T121" s="1" t="s">
        <v>273</v>
      </c>
      <c r="X121" s="1" t="s">
        <v>274</v>
      </c>
      <c r="Y121" s="1">
        <v>0.05</v>
      </c>
      <c r="AF121" s="344" t="s">
        <v>295</v>
      </c>
      <c r="AG121" s="344" t="s">
        <v>296</v>
      </c>
    </row>
    <row r="122" spans="1:33" ht="21" customHeight="1" thickTop="1" x14ac:dyDescent="0.25">
      <c r="A122" s="349" t="s">
        <v>306</v>
      </c>
      <c r="B122" s="28"/>
      <c r="C122" s="28"/>
      <c r="D122" s="28"/>
      <c r="E122" s="28"/>
      <c r="F122" s="28"/>
      <c r="G122" s="28"/>
      <c r="H122" s="28"/>
      <c r="I122" s="28"/>
      <c r="J122" s="28"/>
      <c r="K122" s="28"/>
      <c r="L122" s="28"/>
      <c r="M122" s="28"/>
      <c r="N122" s="28"/>
      <c r="O122" s="28"/>
      <c r="T122" s="332" t="s">
        <v>275</v>
      </c>
      <c r="U122" s="332" t="s">
        <v>276</v>
      </c>
      <c r="V122" s="332" t="s">
        <v>277</v>
      </c>
      <c r="W122" s="332" t="s">
        <v>278</v>
      </c>
      <c r="X122" s="332" t="s">
        <v>279</v>
      </c>
      <c r="Y122" s="332" t="s">
        <v>280</v>
      </c>
      <c r="Z122" s="332" t="s">
        <v>281</v>
      </c>
      <c r="AA122" s="332" t="s">
        <v>282</v>
      </c>
      <c r="AB122" s="332" t="s">
        <v>283</v>
      </c>
      <c r="AC122" s="332" t="s">
        <v>284</v>
      </c>
      <c r="AE122" s="1" t="s">
        <v>297</v>
      </c>
      <c r="AF122" s="345">
        <v>0.05</v>
      </c>
    </row>
    <row r="123" spans="1:33" ht="21" customHeight="1" x14ac:dyDescent="0.25">
      <c r="A123" s="28" t="s">
        <v>263</v>
      </c>
      <c r="B123" s="28"/>
      <c r="C123" s="28"/>
      <c r="D123" s="28"/>
      <c r="E123" s="28"/>
      <c r="F123" s="28"/>
      <c r="G123" s="28"/>
      <c r="H123" s="28"/>
      <c r="I123" s="28"/>
      <c r="J123" s="28"/>
      <c r="K123" s="28"/>
      <c r="L123" s="28" t="s">
        <v>288</v>
      </c>
      <c r="M123" s="28"/>
      <c r="N123" s="28"/>
      <c r="O123" s="28"/>
      <c r="T123" s="1" t="s">
        <v>285</v>
      </c>
      <c r="U123" s="1">
        <f>SQRT(W119*(1/U117+1/U118))</f>
        <v>0.18226628721856786</v>
      </c>
      <c r="V123" s="1">
        <f>(ABS(V117-V118-X115))/U123</f>
        <v>1.3496604286432625</v>
      </c>
      <c r="W123" s="1">
        <f>U117+U118-2</f>
        <v>10</v>
      </c>
      <c r="X123" s="1">
        <f>TDIST(V123,W123,1)</f>
        <v>0.10344218137416472</v>
      </c>
      <c r="Y123" s="1">
        <f>TINV(Y121*2,W123)</f>
        <v>1.812461122811676</v>
      </c>
      <c r="AB123" s="327" t="str">
        <f>IF(X123&lt;Y121,"yes","no")</f>
        <v>no</v>
      </c>
      <c r="AC123" s="1">
        <f>SQRT(V123^2/(V123^2+W123))</f>
        <v>0.39254250707625477</v>
      </c>
      <c r="AE123" s="1" t="s">
        <v>294</v>
      </c>
      <c r="AF123" s="346">
        <f>MIN(AF119,AG119)</f>
        <v>10</v>
      </c>
    </row>
    <row r="124" spans="1:33" ht="21" customHeight="1" x14ac:dyDescent="0.25">
      <c r="A124" s="28"/>
      <c r="B124" s="28"/>
      <c r="C124" s="28"/>
      <c r="D124" s="28"/>
      <c r="E124" s="28"/>
      <c r="F124" s="28"/>
      <c r="G124" s="28"/>
      <c r="H124" s="28"/>
      <c r="I124" s="28"/>
      <c r="J124" s="28"/>
      <c r="K124" s="28"/>
      <c r="L124" s="28"/>
      <c r="M124" s="28"/>
      <c r="N124" s="28"/>
      <c r="O124" s="28"/>
      <c r="T124" s="1" t="s">
        <v>286</v>
      </c>
      <c r="U124" s="1">
        <f>U123</f>
        <v>0.18226628721856786</v>
      </c>
      <c r="V124" s="327">
        <f t="shared" ref="V124:W124" si="26">V123</f>
        <v>1.3496604286432625</v>
      </c>
      <c r="W124" s="327">
        <f t="shared" si="26"/>
        <v>10</v>
      </c>
      <c r="X124" s="1">
        <f>TDIST(V124,W124,2)</f>
        <v>0.20688436274832944</v>
      </c>
      <c r="Y124" s="1">
        <f>TINV(Y121,W124)</f>
        <v>2.2281388519862744</v>
      </c>
      <c r="Z124" s="1">
        <f>(V117-V118)-Y124*U124</f>
        <v>-0.65211219129360865</v>
      </c>
      <c r="AA124" s="1">
        <f>(V117-V118)+Y124*U124</f>
        <v>0.16011700062435208</v>
      </c>
      <c r="AB124" s="327" t="str">
        <f>IF(X124&lt;Y121,"yes","no")</f>
        <v>no</v>
      </c>
      <c r="AC124" s="1">
        <f>AC123</f>
        <v>0.39254250707625477</v>
      </c>
      <c r="AE124" s="1" t="s">
        <v>298</v>
      </c>
      <c r="AF124" s="346">
        <f>AF116*AG116/2</f>
        <v>16</v>
      </c>
    </row>
    <row r="125" spans="1:33" ht="21" customHeight="1" thickBot="1" x14ac:dyDescent="0.3">
      <c r="A125" s="28" t="s">
        <v>264</v>
      </c>
      <c r="B125" s="28"/>
      <c r="C125" s="28"/>
      <c r="D125" s="28" t="s">
        <v>265</v>
      </c>
      <c r="E125" s="28">
        <v>0</v>
      </c>
      <c r="F125" s="28"/>
      <c r="G125" s="28"/>
      <c r="H125" s="28"/>
      <c r="I125" s="28"/>
      <c r="J125" s="28"/>
      <c r="K125" s="28"/>
      <c r="L125" s="28"/>
      <c r="M125" s="28" t="s">
        <v>289</v>
      </c>
      <c r="N125" s="28" t="s">
        <v>290</v>
      </c>
      <c r="O125" s="28"/>
      <c r="T125" s="334"/>
      <c r="U125" s="334"/>
      <c r="V125" s="334"/>
      <c r="W125" s="334"/>
      <c r="X125" s="334"/>
      <c r="Y125" s="334"/>
      <c r="Z125" s="334"/>
      <c r="AA125" s="334"/>
      <c r="AB125" s="334"/>
      <c r="AC125" s="334"/>
      <c r="AE125" s="1" t="s">
        <v>299</v>
      </c>
      <c r="AF125" s="346">
        <f>SQRT(AF124*(AF116+AG116+1)/6*(1-[1]!TiesCorrection(L36:L43,L56:L59,2)/((AF116+AG116)^3-AF116-AG116)))</f>
        <v>5.8672176049847016</v>
      </c>
      <c r="AG125" s="1" t="s">
        <v>300</v>
      </c>
    </row>
    <row r="126" spans="1:33" ht="21" customHeight="1" thickTop="1" thickBot="1" x14ac:dyDescent="0.3">
      <c r="A126" s="350" t="s">
        <v>266</v>
      </c>
      <c r="B126" s="350" t="s">
        <v>267</v>
      </c>
      <c r="C126" s="350" t="s">
        <v>117</v>
      </c>
      <c r="D126" s="350" t="s">
        <v>268</v>
      </c>
      <c r="E126" s="350" t="s">
        <v>269</v>
      </c>
      <c r="F126" s="28"/>
      <c r="G126" s="28"/>
      <c r="H126" s="28"/>
      <c r="I126" s="28"/>
      <c r="J126" s="28"/>
      <c r="K126" s="28"/>
      <c r="L126" s="28" t="s">
        <v>291</v>
      </c>
      <c r="M126" s="351">
        <f>COUNT(M6:M23)</f>
        <v>18</v>
      </c>
      <c r="N126" s="352">
        <f>COUNT(M56:M59)</f>
        <v>4</v>
      </c>
      <c r="O126" s="28"/>
      <c r="T126" s="1" t="s">
        <v>287</v>
      </c>
      <c r="X126" s="1" t="s">
        <v>274</v>
      </c>
      <c r="Y126" s="1">
        <f>Y121</f>
        <v>0.05</v>
      </c>
      <c r="AE126" s="1" t="s">
        <v>19</v>
      </c>
      <c r="AF126" s="346">
        <f>ABS(STANDARDIZE(AF123,AF124,AF125))</f>
        <v>1.0226312374885309</v>
      </c>
    </row>
    <row r="127" spans="1:33" ht="21" customHeight="1" thickTop="1" x14ac:dyDescent="0.25">
      <c r="A127" s="28" t="s">
        <v>270</v>
      </c>
      <c r="B127" s="28">
        <f>COUNT(M6:M23)</f>
        <v>18</v>
      </c>
      <c r="C127" s="28">
        <f>AVERAGE(M6:M23)</f>
        <v>2.1289565322462267</v>
      </c>
      <c r="D127" s="28">
        <f>VAR(M6:M23)</f>
        <v>3.5613001096536041E-2</v>
      </c>
      <c r="E127" s="28"/>
      <c r="F127" s="28"/>
      <c r="G127" s="28"/>
      <c r="H127" s="28"/>
      <c r="I127" s="28"/>
      <c r="J127" s="28"/>
      <c r="K127" s="28"/>
      <c r="L127" s="28" t="s">
        <v>292</v>
      </c>
      <c r="M127" s="353">
        <f>MEDIAN(M6:M23)</f>
        <v>2.0755316266768751</v>
      </c>
      <c r="N127" s="339">
        <f>MEDIAN(M56:M59)</f>
        <v>2.1816555328183127</v>
      </c>
      <c r="O127" s="28"/>
      <c r="T127" s="332" t="s">
        <v>275</v>
      </c>
      <c r="U127" s="332" t="s">
        <v>276</v>
      </c>
      <c r="V127" s="332" t="s">
        <v>277</v>
      </c>
      <c r="W127" s="332" t="s">
        <v>278</v>
      </c>
      <c r="X127" s="332" t="s">
        <v>279</v>
      </c>
      <c r="Y127" s="332" t="s">
        <v>280</v>
      </c>
      <c r="Z127" s="332" t="s">
        <v>281</v>
      </c>
      <c r="AA127" s="332" t="s">
        <v>282</v>
      </c>
      <c r="AB127" s="332" t="s">
        <v>283</v>
      </c>
      <c r="AC127" s="332" t="s">
        <v>284</v>
      </c>
      <c r="AE127" s="1" t="s">
        <v>284</v>
      </c>
      <c r="AF127" s="346">
        <f>AF126/SQRT(AF116+AG116)</f>
        <v>0.29520821012286175</v>
      </c>
    </row>
    <row r="128" spans="1:33" ht="21" customHeight="1" x14ac:dyDescent="0.25">
      <c r="A128" s="28" t="s">
        <v>271</v>
      </c>
      <c r="B128" s="28">
        <f>COUNT(M56:M59)</f>
        <v>4</v>
      </c>
      <c r="C128" s="28">
        <f>AVERAGE(M56:M59)</f>
        <v>2.2199417772735934</v>
      </c>
      <c r="D128" s="28">
        <f>VAR(M56:M59)</f>
        <v>6.8907976880881947E-2</v>
      </c>
      <c r="E128" s="28"/>
      <c r="F128" s="28"/>
      <c r="G128" s="28"/>
      <c r="H128" s="28"/>
      <c r="I128" s="28"/>
      <c r="J128" s="28"/>
      <c r="K128" s="28"/>
      <c r="L128" s="28" t="s">
        <v>293</v>
      </c>
      <c r="M128" s="353">
        <v>202.5</v>
      </c>
      <c r="N128" s="339">
        <v>50.5</v>
      </c>
      <c r="O128" s="28"/>
      <c r="T128" s="1" t="s">
        <v>285</v>
      </c>
      <c r="U128" s="1">
        <f>SQRT(W117/U117+W118/U118)</f>
        <v>0.22294528799312438</v>
      </c>
      <c r="V128" s="1">
        <f>(ABS(V117-V118-X115))/U128</f>
        <v>1.1033989439696741</v>
      </c>
      <c r="W128" s="1">
        <f>(W117/U117+W118/U118)^2/((W117/U117)^2/(U117-1)+(W118/U118)^2/(U118-1))</f>
        <v>3.9456434415626327</v>
      </c>
      <c r="X128" s="1">
        <f>TDIST(V128,ROUND(W128,0),1)</f>
        <v>0.16588469432140007</v>
      </c>
      <c r="Y128" s="1">
        <f>TINV(Y126*2,ROUND(W128,0))</f>
        <v>2.1318467863266499</v>
      </c>
      <c r="AB128" s="327" t="str">
        <f>IF(X128&lt;Y126,"yes","no")</f>
        <v>no</v>
      </c>
      <c r="AC128" s="1">
        <f>SQRT(V128^2/(V128^2+W128))</f>
        <v>0.4855969178974367</v>
      </c>
      <c r="AE128" s="1" t="s">
        <v>301</v>
      </c>
      <c r="AF128" s="345">
        <f>AF124+AF125*NORMSINV(AF122)</f>
        <v>6.3492858423273812</v>
      </c>
      <c r="AG128" s="337">
        <f>AF124+AF125*NORMSINV(AF122/2)</f>
        <v>4.5004648047706333</v>
      </c>
    </row>
    <row r="129" spans="1:33" ht="21" customHeight="1" x14ac:dyDescent="0.25">
      <c r="A129" s="354" t="s">
        <v>272</v>
      </c>
      <c r="B129" s="354"/>
      <c r="C129" s="354"/>
      <c r="D129" s="354">
        <f>((B127-1)*D127+(B128-1)*D128)/(B127+B128-2)</f>
        <v>4.060724746418793E-2</v>
      </c>
      <c r="E129" s="354">
        <f>ABS(C127-C128-E125)/SQRT(D129)</f>
        <v>0.45151189159403304</v>
      </c>
      <c r="F129" s="28"/>
      <c r="G129" s="28"/>
      <c r="H129" s="28"/>
      <c r="I129" s="28"/>
      <c r="J129" s="28"/>
      <c r="K129" s="28"/>
      <c r="L129" s="28" t="s">
        <v>294</v>
      </c>
      <c r="M129" s="355">
        <f>M126*N126+M126*(M126+1)/2-M128</f>
        <v>40.5</v>
      </c>
      <c r="N129" s="356">
        <f>M126*N126+N126*(N126+1)/2-N128</f>
        <v>31.5</v>
      </c>
      <c r="O129" s="28"/>
      <c r="T129" s="1" t="s">
        <v>286</v>
      </c>
      <c r="U129" s="1">
        <f>U128</f>
        <v>0.22294528799312438</v>
      </c>
      <c r="V129" s="327">
        <f t="shared" ref="V129:W129" si="27">V128</f>
        <v>1.1033989439696741</v>
      </c>
      <c r="W129" s="327">
        <f t="shared" si="27"/>
        <v>3.9456434415626327</v>
      </c>
      <c r="X129" s="1">
        <f>TDIST(V129,ROUND(W129,0),2)</f>
        <v>0.33176938864280014</v>
      </c>
      <c r="Y129" s="1">
        <f>TINV(Y126,ROUND(W129,0))</f>
        <v>2.7764451051977934</v>
      </c>
      <c r="Z129" s="1">
        <f>(V117-V118)-Y129*U129</f>
        <v>-0.86499294891005085</v>
      </c>
      <c r="AA129" s="1">
        <f>(V117-V118)+Y129*U129</f>
        <v>0.37299775824079429</v>
      </c>
      <c r="AB129" s="327" t="str">
        <f>IF(X129&lt;Y126,"yes","no")</f>
        <v>no</v>
      </c>
      <c r="AC129" s="1">
        <f>AC128</f>
        <v>0.4855969178974367</v>
      </c>
      <c r="AE129" s="1" t="s">
        <v>279</v>
      </c>
      <c r="AF129" s="346">
        <f>1-NORMSDIST(AF126)</f>
        <v>0.15324111715938815</v>
      </c>
      <c r="AG129" s="341">
        <f>2*AF129</f>
        <v>0.3064822343187763</v>
      </c>
    </row>
    <row r="130" spans="1:33" ht="21" customHeight="1" x14ac:dyDescent="0.25">
      <c r="A130" s="28"/>
      <c r="B130" s="28"/>
      <c r="C130" s="28"/>
      <c r="D130" s="28"/>
      <c r="E130" s="28"/>
      <c r="F130" s="28"/>
      <c r="G130" s="28"/>
      <c r="H130" s="28"/>
      <c r="I130" s="28"/>
      <c r="J130" s="28"/>
      <c r="K130" s="28"/>
      <c r="L130" s="28"/>
      <c r="M130" s="28"/>
      <c r="N130" s="28"/>
      <c r="O130" s="28"/>
      <c r="T130" s="334"/>
      <c r="U130" s="334"/>
      <c r="V130" s="334"/>
      <c r="W130" s="334"/>
      <c r="X130" s="334"/>
      <c r="Y130" s="334"/>
      <c r="Z130" s="334"/>
      <c r="AA130" s="334"/>
      <c r="AB130" s="334"/>
      <c r="AC130" s="334"/>
      <c r="AE130" s="1" t="s">
        <v>302</v>
      </c>
      <c r="AF130" s="347" t="str">
        <f>IF(AF129&lt;AF122,"yes","no")</f>
        <v>no</v>
      </c>
      <c r="AG130" s="348" t="str">
        <f>IF(AG129&lt;AF122,"yes","no")</f>
        <v>no</v>
      </c>
    </row>
    <row r="131" spans="1:33" ht="21" customHeight="1" thickBot="1" x14ac:dyDescent="0.3">
      <c r="A131" s="28" t="s">
        <v>273</v>
      </c>
      <c r="B131" s="28"/>
      <c r="C131" s="28"/>
      <c r="D131" s="28"/>
      <c r="E131" s="28" t="s">
        <v>274</v>
      </c>
      <c r="F131" s="28">
        <v>0.05</v>
      </c>
      <c r="G131" s="28"/>
      <c r="H131" s="28"/>
      <c r="I131" s="28"/>
      <c r="J131" s="28"/>
      <c r="K131" s="28"/>
      <c r="L131" s="28"/>
      <c r="M131" s="357" t="s">
        <v>295</v>
      </c>
      <c r="N131" s="357" t="s">
        <v>296</v>
      </c>
      <c r="O131" s="28"/>
    </row>
    <row r="132" spans="1:33" ht="21" customHeight="1" thickTop="1" x14ac:dyDescent="0.25">
      <c r="A132" s="350" t="s">
        <v>275</v>
      </c>
      <c r="B132" s="350" t="s">
        <v>276</v>
      </c>
      <c r="C132" s="350" t="s">
        <v>277</v>
      </c>
      <c r="D132" s="350" t="s">
        <v>278</v>
      </c>
      <c r="E132" s="350" t="s">
        <v>279</v>
      </c>
      <c r="F132" s="350" t="s">
        <v>280</v>
      </c>
      <c r="G132" s="350" t="s">
        <v>281</v>
      </c>
      <c r="H132" s="350" t="s">
        <v>282</v>
      </c>
      <c r="I132" s="350" t="s">
        <v>283</v>
      </c>
      <c r="J132" s="350" t="s">
        <v>284</v>
      </c>
      <c r="K132" s="28"/>
      <c r="L132" s="28" t="s">
        <v>297</v>
      </c>
      <c r="M132" s="358">
        <v>0.05</v>
      </c>
      <c r="N132" s="28"/>
      <c r="O132" s="28"/>
      <c r="AE132" s="1" t="s">
        <v>301</v>
      </c>
      <c r="AF132" s="345">
        <f>[1]!MCRIT(AF116,AG116,AF122,1)</f>
        <v>5</v>
      </c>
      <c r="AG132" s="345">
        <f>[1]!MCRIT(AF116,AG116,AF122,2)</f>
        <v>4</v>
      </c>
    </row>
    <row r="133" spans="1:33" ht="21" customHeight="1" x14ac:dyDescent="0.25">
      <c r="A133" s="28" t="s">
        <v>285</v>
      </c>
      <c r="B133" s="28">
        <f>SQRT(D129*(1/B127+1/B128))</f>
        <v>0.11139017038546026</v>
      </c>
      <c r="C133" s="28">
        <f>(ABS(C127-C128-E125))/B133</f>
        <v>0.81681574516419808</v>
      </c>
      <c r="D133" s="28">
        <f>B127+B128-2</f>
        <v>20</v>
      </c>
      <c r="E133" s="28">
        <f>TDIST(C133,D133,1)</f>
        <v>0.21182855742080026</v>
      </c>
      <c r="F133" s="28">
        <f>TINV(F131*2,D133)</f>
        <v>1.7247182429207868</v>
      </c>
      <c r="G133" s="28"/>
      <c r="H133" s="28"/>
      <c r="I133" s="28" t="str">
        <f>IF(E133&lt;F131,"yes","no")</f>
        <v>no</v>
      </c>
      <c r="J133" s="28">
        <f>SQRT(C133^2/(C133^2+D133))</f>
        <v>0.17967324277873345</v>
      </c>
      <c r="K133" s="28"/>
      <c r="L133" s="28" t="s">
        <v>294</v>
      </c>
      <c r="M133" s="359">
        <f>MIN(M129,N129)</f>
        <v>31.5</v>
      </c>
      <c r="N133" s="28"/>
      <c r="O133" s="28"/>
      <c r="AE133" s="1" t="s">
        <v>311</v>
      </c>
      <c r="AF133" s="347" t="str">
        <f>IF(ISNUMBER(AF132),IF(AF123&lt;AF132,"yes","no"),"no")</f>
        <v>no</v>
      </c>
      <c r="AG133" s="347" t="str">
        <f>IF(ISNUMBER(AG132),IF(AF123&lt;AG132,"yes","no"),"no")</f>
        <v>no</v>
      </c>
    </row>
    <row r="134" spans="1:33" ht="21" customHeight="1" x14ac:dyDescent="0.25">
      <c r="A134" s="28" t="s">
        <v>286</v>
      </c>
      <c r="B134" s="28">
        <f>B133</f>
        <v>0.11139017038546026</v>
      </c>
      <c r="C134" s="28">
        <f t="shared" ref="C134:D134" si="28">C133</f>
        <v>0.81681574516419808</v>
      </c>
      <c r="D134" s="28">
        <f t="shared" si="28"/>
        <v>20</v>
      </c>
      <c r="E134" s="28">
        <f>TDIST(C134,D134,2)</f>
        <v>0.42365711484160051</v>
      </c>
      <c r="F134" s="28">
        <f>TINV(F131,D134)</f>
        <v>2.0859634472658648</v>
      </c>
      <c r="G134" s="28">
        <f>(C127-C128)-F134*B134</f>
        <v>-0.32334106883615343</v>
      </c>
      <c r="H134" s="28">
        <f>(C127-C128)+F134*B134</f>
        <v>0.14137057878142001</v>
      </c>
      <c r="I134" s="28" t="str">
        <f>IF(E134&lt;F131,"yes","no")</f>
        <v>no</v>
      </c>
      <c r="J134" s="28">
        <f>J133</f>
        <v>0.17967324277873345</v>
      </c>
      <c r="K134" s="28"/>
      <c r="L134" s="28" t="s">
        <v>298</v>
      </c>
      <c r="M134" s="359">
        <f>M126*N126/2</f>
        <v>36</v>
      </c>
      <c r="N134" s="28"/>
      <c r="O134" s="28"/>
    </row>
    <row r="135" spans="1:33" ht="21" customHeight="1" x14ac:dyDescent="0.25">
      <c r="A135" s="354"/>
      <c r="B135" s="354"/>
      <c r="C135" s="354"/>
      <c r="D135" s="354"/>
      <c r="E135" s="354"/>
      <c r="F135" s="354"/>
      <c r="G135" s="354"/>
      <c r="H135" s="354"/>
      <c r="I135" s="354"/>
      <c r="J135" s="354"/>
      <c r="K135" s="28"/>
      <c r="L135" s="28" t="s">
        <v>299</v>
      </c>
      <c r="M135" s="359">
        <v>11.664130831397085</v>
      </c>
      <c r="N135" s="28" t="s">
        <v>300</v>
      </c>
      <c r="O135" s="28"/>
      <c r="AE135" s="1" t="s">
        <v>279</v>
      </c>
      <c r="AF135" s="345">
        <f>[1]!MANN_EXACT(L36:L43,L56:L59,1)</f>
        <v>0.18383838383838383</v>
      </c>
      <c r="AG135" s="345">
        <f>2*AF135</f>
        <v>0.36767676767676766</v>
      </c>
    </row>
    <row r="136" spans="1:33" ht="21" customHeight="1" thickBot="1" x14ac:dyDescent="0.3">
      <c r="A136" s="28" t="s">
        <v>287</v>
      </c>
      <c r="B136" s="28"/>
      <c r="C136" s="28"/>
      <c r="D136" s="28"/>
      <c r="E136" s="28" t="s">
        <v>274</v>
      </c>
      <c r="F136" s="28">
        <f>F131</f>
        <v>0.05</v>
      </c>
      <c r="G136" s="28"/>
      <c r="H136" s="28"/>
      <c r="I136" s="28"/>
      <c r="J136" s="28"/>
      <c r="K136" s="28"/>
      <c r="L136" s="28" t="s">
        <v>19</v>
      </c>
      <c r="M136" s="359">
        <f>ABS(STANDARDIZE(M133,M134,M135))</f>
        <v>0.38579814176012694</v>
      </c>
      <c r="N136" s="28"/>
      <c r="O136" s="28"/>
      <c r="AE136" s="1" t="s">
        <v>303</v>
      </c>
      <c r="AF136" s="347" t="str">
        <f>IF(AF135&lt;AF122,"yes","no")</f>
        <v>no</v>
      </c>
      <c r="AG136" s="347" t="str">
        <f>IF(AG135&lt;AF122,"yes","no")</f>
        <v>no</v>
      </c>
    </row>
    <row r="137" spans="1:33" ht="21" customHeight="1" thickTop="1" x14ac:dyDescent="0.25">
      <c r="A137" s="350" t="s">
        <v>275</v>
      </c>
      <c r="B137" s="350" t="s">
        <v>276</v>
      </c>
      <c r="C137" s="350" t="s">
        <v>277</v>
      </c>
      <c r="D137" s="350" t="s">
        <v>278</v>
      </c>
      <c r="E137" s="350" t="s">
        <v>279</v>
      </c>
      <c r="F137" s="350" t="s">
        <v>280</v>
      </c>
      <c r="G137" s="350" t="s">
        <v>281</v>
      </c>
      <c r="H137" s="350" t="s">
        <v>282</v>
      </c>
      <c r="I137" s="350" t="s">
        <v>283</v>
      </c>
      <c r="J137" s="350" t="s">
        <v>284</v>
      </c>
      <c r="K137" s="28"/>
      <c r="L137" s="28" t="s">
        <v>284</v>
      </c>
      <c r="M137" s="359">
        <f>M136/SQRT(M126+N126)</f>
        <v>8.2252440191922405E-2</v>
      </c>
      <c r="N137" s="28"/>
      <c r="O137" s="28"/>
    </row>
    <row r="138" spans="1:33" ht="21" customHeight="1" x14ac:dyDescent="0.25">
      <c r="A138" s="28" t="s">
        <v>285</v>
      </c>
      <c r="B138" s="28">
        <f>SQRT(D127/B127+D128/B128)</f>
        <v>0.13858388896671631</v>
      </c>
      <c r="C138" s="28">
        <f>(ABS(C127-C128-E125))/B138</f>
        <v>0.65653551582189063</v>
      </c>
      <c r="D138" s="28">
        <f>(D127/B127+D128/B128)^2/((D127/B127)^2/(B127-1)+(D128/B128)^2/(B128-1))</f>
        <v>3.7200046902496831</v>
      </c>
      <c r="E138" s="28">
        <f>TDIST(C138,ROUND(D138,0),1)</f>
        <v>0.27366536214812509</v>
      </c>
      <c r="F138" s="28">
        <f>TINV(F136*2,ROUND(D138,0))</f>
        <v>2.1318467863266499</v>
      </c>
      <c r="G138" s="28"/>
      <c r="H138" s="28"/>
      <c r="I138" s="28" t="str">
        <f>IF(E138&lt;F136,"yes","no")</f>
        <v>no</v>
      </c>
      <c r="J138" s="28">
        <f>SQRT(C138^2/(C138^2+D138))</f>
        <v>0.32224009615357768</v>
      </c>
      <c r="K138" s="28"/>
      <c r="L138" s="28" t="s">
        <v>301</v>
      </c>
      <c r="M138" s="358">
        <f>M134+M135*NORMSINV(M132)</f>
        <v>16.814212096740011</v>
      </c>
      <c r="N138" s="352">
        <f>M134+M135*NORMSINV(M132/2)</f>
        <v>13.138723659498478</v>
      </c>
      <c r="O138" s="28"/>
    </row>
    <row r="139" spans="1:33" ht="21" customHeight="1" x14ac:dyDescent="0.25">
      <c r="A139" s="28" t="s">
        <v>286</v>
      </c>
      <c r="B139" s="28">
        <f>B138</f>
        <v>0.13858388896671631</v>
      </c>
      <c r="C139" s="28">
        <f t="shared" ref="C139:D139" si="29">C138</f>
        <v>0.65653551582189063</v>
      </c>
      <c r="D139" s="28">
        <f t="shared" si="29"/>
        <v>3.7200046902496831</v>
      </c>
      <c r="E139" s="28">
        <f>TDIST(C139,ROUND(D139,0),2)</f>
        <v>0.54733072429625018</v>
      </c>
      <c r="F139" s="28">
        <f>TINV(F136,ROUND(D139,0))</f>
        <v>2.7764451051977934</v>
      </c>
      <c r="G139" s="28">
        <f>(C127-C128)-F139*B139</f>
        <v>-0.4757558052082807</v>
      </c>
      <c r="H139" s="28">
        <f>(C127-C128)+F139*B139</f>
        <v>0.29378531515354728</v>
      </c>
      <c r="I139" s="28" t="str">
        <f>IF(E139&lt;F136,"yes","no")</f>
        <v>no</v>
      </c>
      <c r="J139" s="28">
        <f>J138</f>
        <v>0.32224009615357768</v>
      </c>
      <c r="K139" s="28"/>
      <c r="L139" s="28" t="s">
        <v>279</v>
      </c>
      <c r="M139" s="359">
        <f>1-NORMSDIST(M136)</f>
        <v>0.34982308581345722</v>
      </c>
      <c r="N139" s="339">
        <f>2*M139</f>
        <v>0.69964617162691445</v>
      </c>
      <c r="O139" s="28"/>
      <c r="T139" s="349" t="s">
        <v>314</v>
      </c>
    </row>
    <row r="140" spans="1:33" ht="21" customHeight="1" x14ac:dyDescent="0.25">
      <c r="A140" s="354"/>
      <c r="B140" s="354"/>
      <c r="C140" s="354"/>
      <c r="D140" s="354"/>
      <c r="E140" s="354"/>
      <c r="F140" s="354"/>
      <c r="G140" s="354"/>
      <c r="H140" s="354"/>
      <c r="I140" s="354"/>
      <c r="J140" s="354"/>
      <c r="K140" s="28"/>
      <c r="L140" s="28" t="s">
        <v>302</v>
      </c>
      <c r="M140" s="360" t="str">
        <f>IF(M139&lt;M132,"yes","no")</f>
        <v>no</v>
      </c>
      <c r="N140" s="361" t="str">
        <f>IF(N139&lt;M132,"yes","no")</f>
        <v>no</v>
      </c>
      <c r="O140" s="28"/>
      <c r="T140" s="1" t="s">
        <v>263</v>
      </c>
      <c r="AE140" s="1" t="s">
        <v>288</v>
      </c>
    </row>
    <row r="141" spans="1:33" ht="21" customHeight="1" x14ac:dyDescent="0.25">
      <c r="A141" s="28"/>
      <c r="B141" s="28"/>
      <c r="C141" s="28"/>
      <c r="D141" s="28"/>
      <c r="E141" s="28"/>
      <c r="F141" s="28"/>
      <c r="G141" s="28"/>
      <c r="H141" s="28"/>
      <c r="I141" s="28"/>
      <c r="J141" s="28"/>
      <c r="K141" s="28"/>
      <c r="L141" s="28"/>
      <c r="M141" s="28"/>
      <c r="N141" s="28"/>
      <c r="O141" s="28"/>
    </row>
    <row r="142" spans="1:33" ht="21" customHeight="1" thickBot="1" x14ac:dyDescent="0.3">
      <c r="A142" s="28"/>
      <c r="B142" s="28"/>
      <c r="C142" s="28"/>
      <c r="D142" s="28"/>
      <c r="E142" s="28"/>
      <c r="F142" s="28"/>
      <c r="G142" s="28"/>
      <c r="H142" s="28"/>
      <c r="I142" s="28"/>
      <c r="J142" s="28"/>
      <c r="K142" s="28"/>
      <c r="L142" s="28" t="s">
        <v>301</v>
      </c>
      <c r="M142" s="358">
        <f>[1]!MCRIT(M126,N126,M132,1)</f>
        <v>16</v>
      </c>
      <c r="N142" s="358">
        <f>[1]!MCRIT(M126,N126,M132,2)</f>
        <v>12</v>
      </c>
      <c r="O142" s="28"/>
      <c r="T142" s="1" t="s">
        <v>264</v>
      </c>
      <c r="W142" s="1" t="s">
        <v>265</v>
      </c>
      <c r="X142" s="1">
        <v>0</v>
      </c>
      <c r="AF142" s="1" t="s">
        <v>289</v>
      </c>
      <c r="AG142" s="1" t="s">
        <v>290</v>
      </c>
    </row>
    <row r="143" spans="1:33" ht="21" customHeight="1" thickTop="1" x14ac:dyDescent="0.25">
      <c r="A143" s="28"/>
      <c r="B143" s="28"/>
      <c r="C143" s="28"/>
      <c r="D143" s="28"/>
      <c r="E143" s="28"/>
      <c r="F143" s="28"/>
      <c r="G143" s="28"/>
      <c r="H143" s="28"/>
      <c r="I143" s="28"/>
      <c r="J143" s="28"/>
      <c r="K143" s="28"/>
      <c r="L143" s="28" t="s">
        <v>311</v>
      </c>
      <c r="M143" s="360" t="str">
        <f>IF(ISNUMBER(M142),IF(M133&lt;M142,"yes","no"),"no")</f>
        <v>no</v>
      </c>
      <c r="N143" s="360" t="str">
        <f>IF(ISNUMBER(N142),IF(M133&lt;N142,"yes","no"),"no")</f>
        <v>no</v>
      </c>
      <c r="O143" s="28"/>
      <c r="T143" s="332" t="s">
        <v>266</v>
      </c>
      <c r="U143" s="332" t="s">
        <v>267</v>
      </c>
      <c r="V143" s="332" t="s">
        <v>117</v>
      </c>
      <c r="W143" s="332" t="s">
        <v>268</v>
      </c>
      <c r="X143" s="332" t="s">
        <v>269</v>
      </c>
      <c r="AE143" s="1" t="s">
        <v>291</v>
      </c>
      <c r="AF143" s="336">
        <f>COUNT(M36:M43)</f>
        <v>8</v>
      </c>
      <c r="AG143" s="337">
        <f>COUNT(M56:M59)</f>
        <v>4</v>
      </c>
    </row>
    <row r="144" spans="1:33" ht="21" customHeight="1" x14ac:dyDescent="0.25">
      <c r="A144" s="28"/>
      <c r="B144" s="28"/>
      <c r="C144" s="28"/>
      <c r="D144" s="28"/>
      <c r="E144" s="28"/>
      <c r="F144" s="28"/>
      <c r="G144" s="28"/>
      <c r="H144" s="28"/>
      <c r="I144" s="28"/>
      <c r="J144" s="28"/>
      <c r="K144" s="28"/>
      <c r="L144" s="28"/>
      <c r="M144" s="28"/>
      <c r="N144" s="28"/>
      <c r="O144" s="28"/>
      <c r="T144" s="1" t="s">
        <v>270</v>
      </c>
      <c r="U144" s="1">
        <f>COUNT(M36:M43)</f>
        <v>8</v>
      </c>
      <c r="V144" s="64">
        <f>AVERAGE(M36:M43)</f>
        <v>2.2041903264693357</v>
      </c>
      <c r="W144" s="1">
        <f>VAR(M36:M43)</f>
        <v>5.8354762533532778E-2</v>
      </c>
      <c r="AE144" s="1" t="s">
        <v>292</v>
      </c>
      <c r="AF144" s="338">
        <f>MEDIAN(M36:M43)</f>
        <v>2.1139433523068369</v>
      </c>
      <c r="AG144" s="362">
        <f>MEDIAN(M56:M59)</f>
        <v>2.1816555328183127</v>
      </c>
    </row>
    <row r="145" spans="1:33" ht="21" customHeight="1" x14ac:dyDescent="0.25">
      <c r="A145" s="28"/>
      <c r="B145" s="28"/>
      <c r="C145" s="28"/>
      <c r="D145" s="28"/>
      <c r="E145" s="28"/>
      <c r="F145" s="28"/>
      <c r="G145" s="28"/>
      <c r="H145" s="28"/>
      <c r="I145" s="28"/>
      <c r="J145" s="28"/>
      <c r="K145" s="28"/>
      <c r="L145" s="28" t="s">
        <v>279</v>
      </c>
      <c r="M145" s="358">
        <f>[1]!MANN_EXACT(M6:M23,M56:M59,1)</f>
        <v>0.3871496924128503</v>
      </c>
      <c r="N145" s="358">
        <f>2*M145</f>
        <v>0.7742993848257006</v>
      </c>
      <c r="O145" s="28"/>
      <c r="T145" s="1" t="s">
        <v>271</v>
      </c>
      <c r="U145" s="1">
        <f>COUNT(M56:M59)</f>
        <v>4</v>
      </c>
      <c r="V145" s="64">
        <f>AVERAGE(M56:M59)</f>
        <v>2.2199417772735934</v>
      </c>
      <c r="W145" s="1">
        <f>VAR(M56:M59)</f>
        <v>6.8907976880881947E-2</v>
      </c>
      <c r="AE145" s="1" t="s">
        <v>293</v>
      </c>
      <c r="AF145" s="340">
        <f>[1]!RANK_SUM(M36:M43,M56:M59,1)</f>
        <v>53</v>
      </c>
      <c r="AG145" s="341">
        <f>[1]!RANK_SUM(M56:M59,M36:M43,1)</f>
        <v>25</v>
      </c>
    </row>
    <row r="146" spans="1:33" ht="21" customHeight="1" x14ac:dyDescent="0.25">
      <c r="A146" s="28"/>
      <c r="B146" s="28"/>
      <c r="C146" s="28"/>
      <c r="D146" s="28"/>
      <c r="E146" s="28"/>
      <c r="F146" s="28"/>
      <c r="G146" s="28"/>
      <c r="H146" s="28"/>
      <c r="I146" s="28"/>
      <c r="J146" s="28"/>
      <c r="K146" s="28"/>
      <c r="L146" s="28" t="s">
        <v>303</v>
      </c>
      <c r="M146" s="360" t="str">
        <f>IF(M145&lt;M132,"yes","no")</f>
        <v>no</v>
      </c>
      <c r="N146" s="360" t="str">
        <f>IF(N145&lt;M132,"yes","no")</f>
        <v>no</v>
      </c>
      <c r="O146" s="28"/>
      <c r="T146" s="334" t="s">
        <v>272</v>
      </c>
      <c r="U146" s="334"/>
      <c r="V146" s="334"/>
      <c r="W146" s="334">
        <f>((U144-1)*W144+(U145-1)*W145)/(U144+U145-2)</f>
        <v>6.152072683773753E-2</v>
      </c>
      <c r="X146" s="334">
        <f>ABS(V144-V145-X142)/SQRT(W146)</f>
        <v>6.3505279564077657E-2</v>
      </c>
      <c r="AE146" s="1" t="s">
        <v>294</v>
      </c>
      <c r="AF146" s="342">
        <f>AF143*AG143+AF143*(AF143+1)/2-AF145</f>
        <v>15</v>
      </c>
      <c r="AG146" s="343">
        <f>AF143*AG143+AG143*(AG143+1)/2-AG145</f>
        <v>17</v>
      </c>
    </row>
    <row r="147" spans="1:33" ht="21" customHeight="1" x14ac:dyDescent="0.25">
      <c r="A147" s="28"/>
      <c r="B147" s="28"/>
      <c r="C147" s="28"/>
      <c r="D147" s="28"/>
      <c r="E147" s="28"/>
      <c r="F147" s="28"/>
      <c r="G147" s="28"/>
      <c r="H147" s="28"/>
      <c r="I147" s="28"/>
      <c r="J147" s="28"/>
      <c r="K147" s="28"/>
      <c r="L147" s="28"/>
      <c r="M147" s="28"/>
      <c r="N147" s="28"/>
      <c r="O147" s="28"/>
    </row>
    <row r="148" spans="1:33" ht="21" customHeight="1" thickBot="1" x14ac:dyDescent="0.3">
      <c r="A148" s="28"/>
      <c r="B148" s="28"/>
      <c r="C148" s="28"/>
      <c r="D148" s="28"/>
      <c r="E148" s="28"/>
      <c r="F148" s="28"/>
      <c r="G148" s="28"/>
      <c r="H148" s="28"/>
      <c r="I148" s="28"/>
      <c r="J148" s="28"/>
      <c r="K148" s="28"/>
      <c r="L148" s="28"/>
      <c r="M148" s="28"/>
      <c r="N148" s="28"/>
      <c r="O148" s="28"/>
      <c r="T148" s="1" t="s">
        <v>273</v>
      </c>
      <c r="X148" s="1" t="s">
        <v>274</v>
      </c>
      <c r="Y148" s="1">
        <v>0.05</v>
      </c>
      <c r="AF148" s="344" t="s">
        <v>295</v>
      </c>
      <c r="AG148" s="344" t="s">
        <v>296</v>
      </c>
    </row>
    <row r="149" spans="1:33" ht="21" customHeight="1" thickTop="1" x14ac:dyDescent="0.25">
      <c r="A149" s="28"/>
      <c r="B149" s="28"/>
      <c r="C149" s="28"/>
      <c r="D149" s="28"/>
      <c r="E149" s="28"/>
      <c r="F149" s="28"/>
      <c r="G149" s="28"/>
      <c r="H149" s="28"/>
      <c r="I149" s="28"/>
      <c r="J149" s="28"/>
      <c r="K149" s="28"/>
      <c r="L149" s="28"/>
      <c r="M149" s="28"/>
      <c r="N149" s="28"/>
      <c r="O149" s="28"/>
      <c r="T149" s="332" t="s">
        <v>275</v>
      </c>
      <c r="U149" s="332" t="s">
        <v>276</v>
      </c>
      <c r="V149" s="332" t="s">
        <v>277</v>
      </c>
      <c r="W149" s="332" t="s">
        <v>278</v>
      </c>
      <c r="X149" s="332" t="s">
        <v>279</v>
      </c>
      <c r="Y149" s="332" t="s">
        <v>280</v>
      </c>
      <c r="Z149" s="332" t="s">
        <v>281</v>
      </c>
      <c r="AA149" s="332" t="s">
        <v>282</v>
      </c>
      <c r="AB149" s="332" t="s">
        <v>283</v>
      </c>
      <c r="AC149" s="332" t="s">
        <v>284</v>
      </c>
      <c r="AE149" s="1" t="s">
        <v>297</v>
      </c>
      <c r="AF149" s="345">
        <v>0.05</v>
      </c>
    </row>
    <row r="150" spans="1:33" ht="21" customHeight="1" x14ac:dyDescent="0.25">
      <c r="A150" s="28"/>
      <c r="B150" s="28"/>
      <c r="C150" s="28"/>
      <c r="D150" s="28"/>
      <c r="E150" s="28"/>
      <c r="F150" s="28"/>
      <c r="G150" s="28"/>
      <c r="H150" s="28"/>
      <c r="I150" s="28"/>
      <c r="J150" s="28"/>
      <c r="K150" s="28"/>
      <c r="L150" s="28"/>
      <c r="M150" s="28"/>
      <c r="N150" s="28"/>
      <c r="O150" s="28"/>
      <c r="T150" s="1" t="s">
        <v>285</v>
      </c>
      <c r="U150" s="1">
        <f>SQRT(W146*(1/U144+1/U145))</f>
        <v>0.15188901396793508</v>
      </c>
      <c r="V150" s="1">
        <f>(ABS(V144-V145-X142))/U150</f>
        <v>0.1037036872698576</v>
      </c>
      <c r="W150" s="1">
        <f>U144+U145-2</f>
        <v>10</v>
      </c>
      <c r="X150" s="1">
        <f>TDIST(V150,W150,1)</f>
        <v>0.4597274192796556</v>
      </c>
      <c r="Y150" s="1">
        <f>TINV(Y148*2,W150)</f>
        <v>1.812461122811676</v>
      </c>
      <c r="AB150" s="327" t="str">
        <f>IF(X150&lt;Y148,"yes","no")</f>
        <v>no</v>
      </c>
      <c r="AC150" s="1">
        <f>SQRT(V150^2/(V150^2+W150))</f>
        <v>3.2776365492099578E-2</v>
      </c>
      <c r="AE150" s="1" t="s">
        <v>294</v>
      </c>
      <c r="AF150" s="346">
        <f>MIN(AF146,AG146)</f>
        <v>15</v>
      </c>
    </row>
    <row r="151" spans="1:33" ht="21" customHeight="1" x14ac:dyDescent="0.25">
      <c r="A151" s="349" t="s">
        <v>307</v>
      </c>
      <c r="B151" s="28"/>
      <c r="C151" s="28"/>
      <c r="D151" s="28"/>
      <c r="E151" s="28"/>
      <c r="F151" s="28"/>
      <c r="G151" s="28"/>
      <c r="H151" s="28"/>
      <c r="I151" s="28"/>
      <c r="J151" s="28"/>
      <c r="K151" s="28"/>
      <c r="L151" s="28"/>
      <c r="M151" s="28"/>
      <c r="N151" s="28"/>
      <c r="O151" s="28"/>
      <c r="T151" s="1" t="s">
        <v>286</v>
      </c>
      <c r="U151" s="1">
        <f>U150</f>
        <v>0.15188901396793508</v>
      </c>
      <c r="V151" s="327">
        <f t="shared" ref="V151:W151" si="30">V150</f>
        <v>0.1037036872698576</v>
      </c>
      <c r="W151" s="327">
        <f t="shared" si="30"/>
        <v>10</v>
      </c>
      <c r="X151" s="1">
        <f>TDIST(V151,W151,2)</f>
        <v>0.9194548385593112</v>
      </c>
      <c r="Y151" s="1">
        <f>TINV(Y148,W151)</f>
        <v>2.2281388519862744</v>
      </c>
      <c r="Z151" s="1">
        <f>(V144-V145)-Y151*U151</f>
        <v>-0.35418126401609984</v>
      </c>
      <c r="AA151" s="1">
        <f>(V144-V145)+Y151*U151</f>
        <v>0.3226783624075843</v>
      </c>
      <c r="AB151" s="327" t="str">
        <f>IF(X151&lt;Y148,"yes","no")</f>
        <v>no</v>
      </c>
      <c r="AC151" s="1">
        <f>AC150</f>
        <v>3.2776365492099578E-2</v>
      </c>
      <c r="AE151" s="1" t="s">
        <v>298</v>
      </c>
      <c r="AF151" s="346">
        <f>AF143*AG143/2</f>
        <v>16</v>
      </c>
    </row>
    <row r="152" spans="1:33" ht="21" customHeight="1" x14ac:dyDescent="0.25">
      <c r="A152" s="28" t="s">
        <v>263</v>
      </c>
      <c r="B152" s="28"/>
      <c r="C152" s="28"/>
      <c r="D152" s="28"/>
      <c r="E152" s="28"/>
      <c r="F152" s="28"/>
      <c r="G152" s="28"/>
      <c r="H152" s="28"/>
      <c r="I152" s="28"/>
      <c r="J152" s="28"/>
      <c r="K152" s="28"/>
      <c r="L152" s="28" t="s">
        <v>288</v>
      </c>
      <c r="M152" s="28"/>
      <c r="N152" s="28"/>
      <c r="O152" s="28"/>
      <c r="T152" s="334"/>
      <c r="U152" s="334"/>
      <c r="V152" s="334"/>
      <c r="W152" s="334"/>
      <c r="X152" s="334"/>
      <c r="Y152" s="334"/>
      <c r="Z152" s="334"/>
      <c r="AA152" s="334"/>
      <c r="AB152" s="334"/>
      <c r="AC152" s="334"/>
      <c r="AE152" s="1" t="s">
        <v>299</v>
      </c>
      <c r="AF152" s="346">
        <f>SQRT(AF151*(AF143+AG143+1)/6*(1-[1]!TiesCorrection(M36:M43,M56:M59,2)/((AF143+AG143)^3-AF143-AG143)))</f>
        <v>5.8775381364525865</v>
      </c>
      <c r="AG152" s="1" t="s">
        <v>300</v>
      </c>
    </row>
    <row r="153" spans="1:33" ht="21" customHeight="1" thickBot="1" x14ac:dyDescent="0.3">
      <c r="A153" s="28"/>
      <c r="B153" s="28"/>
      <c r="C153" s="28"/>
      <c r="D153" s="28"/>
      <c r="E153" s="28"/>
      <c r="F153" s="28"/>
      <c r="G153" s="28"/>
      <c r="H153" s="28"/>
      <c r="I153" s="28"/>
      <c r="J153" s="28"/>
      <c r="K153" s="28"/>
      <c r="L153" s="28"/>
      <c r="M153" s="28"/>
      <c r="N153" s="28"/>
      <c r="O153" s="28"/>
      <c r="T153" s="1" t="s">
        <v>287</v>
      </c>
      <c r="X153" s="1" t="s">
        <v>274</v>
      </c>
      <c r="Y153" s="1">
        <f>Y148</f>
        <v>0.05</v>
      </c>
      <c r="AE153" s="1" t="s">
        <v>19</v>
      </c>
      <c r="AF153" s="346">
        <f>ABS(STANDARDIZE(AF150,AF151,AF152))</f>
        <v>0.17013926184468015</v>
      </c>
    </row>
    <row r="154" spans="1:33" ht="21" customHeight="1" thickTop="1" thickBot="1" x14ac:dyDescent="0.3">
      <c r="A154" s="28" t="s">
        <v>264</v>
      </c>
      <c r="B154" s="28"/>
      <c r="C154" s="28"/>
      <c r="D154" s="28" t="s">
        <v>265</v>
      </c>
      <c r="E154" s="28">
        <v>0</v>
      </c>
      <c r="F154" s="28"/>
      <c r="G154" s="28"/>
      <c r="H154" s="28"/>
      <c r="I154" s="28"/>
      <c r="J154" s="28"/>
      <c r="K154" s="28"/>
      <c r="L154" s="28"/>
      <c r="M154" s="28" t="s">
        <v>289</v>
      </c>
      <c r="N154" s="28" t="s">
        <v>290</v>
      </c>
      <c r="O154" s="28"/>
      <c r="T154" s="332" t="s">
        <v>275</v>
      </c>
      <c r="U154" s="332" t="s">
        <v>276</v>
      </c>
      <c r="V154" s="332" t="s">
        <v>277</v>
      </c>
      <c r="W154" s="332" t="s">
        <v>278</v>
      </c>
      <c r="X154" s="332" t="s">
        <v>279</v>
      </c>
      <c r="Y154" s="332" t="s">
        <v>280</v>
      </c>
      <c r="Z154" s="332" t="s">
        <v>281</v>
      </c>
      <c r="AA154" s="332" t="s">
        <v>282</v>
      </c>
      <c r="AB154" s="332" t="s">
        <v>283</v>
      </c>
      <c r="AC154" s="332" t="s">
        <v>284</v>
      </c>
      <c r="AE154" s="1" t="s">
        <v>284</v>
      </c>
      <c r="AF154" s="346">
        <f>AF153/SQRT(AF143+AG143)</f>
        <v>4.9114974312875155E-2</v>
      </c>
    </row>
    <row r="155" spans="1:33" ht="21" customHeight="1" thickTop="1" x14ac:dyDescent="0.25">
      <c r="A155" s="350" t="s">
        <v>266</v>
      </c>
      <c r="B155" s="350" t="s">
        <v>267</v>
      </c>
      <c r="C155" s="350" t="s">
        <v>117</v>
      </c>
      <c r="D155" s="350" t="s">
        <v>268</v>
      </c>
      <c r="E155" s="350" t="s">
        <v>269</v>
      </c>
      <c r="F155" s="28"/>
      <c r="G155" s="28"/>
      <c r="H155" s="28"/>
      <c r="I155" s="28"/>
      <c r="J155" s="28"/>
      <c r="K155" s="28"/>
      <c r="L155" s="28" t="s">
        <v>291</v>
      </c>
      <c r="M155" s="351">
        <f>COUNT(N6:N23)</f>
        <v>16</v>
      </c>
      <c r="N155" s="352">
        <f>COUNT(N56:N59)</f>
        <v>4</v>
      </c>
      <c r="O155" s="28"/>
      <c r="T155" s="1" t="s">
        <v>285</v>
      </c>
      <c r="U155" s="1">
        <f>SQRT(W144/U144+W145/U145)</f>
        <v>0.15659291023833768</v>
      </c>
      <c r="V155" s="1">
        <f>(ABS(V144-V145-X142))/U155</f>
        <v>0.10058853098958141</v>
      </c>
      <c r="W155" s="1">
        <f>(W144/U144+W145/U145)^2/((W144/U144)^2/(U144-1)+(W145/U145)^2/(U145-1))</f>
        <v>5.6446912444361503</v>
      </c>
      <c r="X155" s="1">
        <f>TDIST(V155,ROUND(W155,0),1)</f>
        <v>0.46157704258888582</v>
      </c>
      <c r="Y155" s="1">
        <f>TINV(Y153*2,ROUND(W155,0))</f>
        <v>1.9431802805153031</v>
      </c>
      <c r="AB155" s="327" t="str">
        <f>IF(X155&lt;Y153,"yes","no")</f>
        <v>no</v>
      </c>
      <c r="AC155" s="1">
        <f>SQRT(V155^2/(V155^2+W155))</f>
        <v>4.229991396173996E-2</v>
      </c>
      <c r="AE155" s="1" t="s">
        <v>301</v>
      </c>
      <c r="AF155" s="345">
        <f>AF151+AF152*NORMSINV(AF149)</f>
        <v>6.3323100787103641</v>
      </c>
      <c r="AG155" s="337">
        <f>AF151+AF152*NORMSINV(AF149/2)</f>
        <v>4.4802369347922664</v>
      </c>
    </row>
    <row r="156" spans="1:33" ht="21" customHeight="1" x14ac:dyDescent="0.25">
      <c r="A156" s="28" t="s">
        <v>270</v>
      </c>
      <c r="B156" s="28">
        <f>COUNT(N6:N23)</f>
        <v>16</v>
      </c>
      <c r="C156" s="28">
        <f>AVERAGE(N6:N23)</f>
        <v>4.4542512931063207</v>
      </c>
      <c r="D156" s="28">
        <f>VAR(N6:N23)</f>
        <v>6.1063717509418974E-3</v>
      </c>
      <c r="E156" s="28"/>
      <c r="F156" s="28"/>
      <c r="G156" s="28"/>
      <c r="H156" s="28"/>
      <c r="I156" s="28"/>
      <c r="J156" s="28"/>
      <c r="K156" s="28"/>
      <c r="L156" s="28" t="s">
        <v>292</v>
      </c>
      <c r="M156" s="353">
        <f>MEDIAN(N6:N23)</f>
        <v>4.4149733479708182</v>
      </c>
      <c r="N156" s="339">
        <f>MEDIAN(N56:N59)</f>
        <v>4.6216703542479705</v>
      </c>
      <c r="O156" s="28"/>
      <c r="T156" s="1" t="s">
        <v>286</v>
      </c>
      <c r="U156" s="1">
        <f>U155</f>
        <v>0.15659291023833768</v>
      </c>
      <c r="V156" s="327">
        <f t="shared" ref="V156:W156" si="31">V155</f>
        <v>0.10058853098958141</v>
      </c>
      <c r="W156" s="327">
        <f t="shared" si="31"/>
        <v>5.6446912444361503</v>
      </c>
      <c r="X156" s="1">
        <f>TDIST(V156,ROUND(W156,0),2)</f>
        <v>0.92315408517777164</v>
      </c>
      <c r="Y156" s="1">
        <f>TINV(Y153,ROUND(W156,0))</f>
        <v>2.4469118511449697</v>
      </c>
      <c r="Z156" s="1">
        <f>(V144-V145)-Y156*U156</f>
        <v>-0.39892049867172669</v>
      </c>
      <c r="AA156" s="1">
        <f>(V144-V145)+Y156*U156</f>
        <v>0.36741759706321114</v>
      </c>
      <c r="AB156" s="327" t="str">
        <f>IF(X156&lt;Y153,"yes","no")</f>
        <v>no</v>
      </c>
      <c r="AC156" s="1">
        <f>AC155</f>
        <v>4.229991396173996E-2</v>
      </c>
      <c r="AE156" s="1" t="s">
        <v>279</v>
      </c>
      <c r="AF156" s="346">
        <f>1-NORMSDIST(AF153)</f>
        <v>0.4324503085680057</v>
      </c>
      <c r="AG156" s="341">
        <f>2*AF156</f>
        <v>0.86490061713601141</v>
      </c>
    </row>
    <row r="157" spans="1:33" ht="21" customHeight="1" x14ac:dyDescent="0.25">
      <c r="A157" s="28" t="s">
        <v>271</v>
      </c>
      <c r="B157" s="28">
        <f>COUNT(N56:N59)</f>
        <v>4</v>
      </c>
      <c r="C157" s="28">
        <f>AVERAGE(N56:N59)</f>
        <v>4.6282414285625642</v>
      </c>
      <c r="D157" s="28">
        <f>VAR(N56:N59)</f>
        <v>4.6379400312394958E-2</v>
      </c>
      <c r="E157" s="28"/>
      <c r="F157" s="28"/>
      <c r="G157" s="28"/>
      <c r="H157" s="28"/>
      <c r="I157" s="28"/>
      <c r="J157" s="28"/>
      <c r="K157" s="28"/>
      <c r="L157" s="28" t="s">
        <v>293</v>
      </c>
      <c r="M157" s="353">
        <v>148</v>
      </c>
      <c r="N157" s="339">
        <v>62</v>
      </c>
      <c r="O157" s="28"/>
      <c r="T157" s="334"/>
      <c r="U157" s="334"/>
      <c r="V157" s="334"/>
      <c r="W157" s="334"/>
      <c r="X157" s="334"/>
      <c r="Y157" s="334"/>
      <c r="Z157" s="334"/>
      <c r="AA157" s="334"/>
      <c r="AB157" s="334"/>
      <c r="AC157" s="334"/>
      <c r="AE157" s="1" t="s">
        <v>302</v>
      </c>
      <c r="AF157" s="347" t="str">
        <f>IF(AF156&lt;AF149,"yes","no")</f>
        <v>no</v>
      </c>
      <c r="AG157" s="348" t="str">
        <f>IF(AG156&lt;AF149,"yes","no")</f>
        <v>no</v>
      </c>
    </row>
    <row r="158" spans="1:33" ht="21" customHeight="1" x14ac:dyDescent="0.25">
      <c r="A158" s="354" t="s">
        <v>272</v>
      </c>
      <c r="B158" s="354"/>
      <c r="C158" s="354"/>
      <c r="D158" s="354">
        <f>((B156-1)*D156+(B157-1)*D157)/(B156+B157-2)</f>
        <v>1.2818543177850741E-2</v>
      </c>
      <c r="E158" s="354">
        <f>ABS(C156-C157-E154)/SQRT(D158)</f>
        <v>1.536757321632354</v>
      </c>
      <c r="F158" s="28"/>
      <c r="G158" s="28"/>
      <c r="H158" s="28"/>
      <c r="I158" s="28"/>
      <c r="J158" s="28"/>
      <c r="K158" s="28"/>
      <c r="L158" s="28" t="s">
        <v>294</v>
      </c>
      <c r="M158" s="355">
        <f>M155*N155+M155*(M155+1)/2-M157</f>
        <v>52</v>
      </c>
      <c r="N158" s="356">
        <f>M155*N155+N155*(N155+1)/2-N157</f>
        <v>12</v>
      </c>
      <c r="O158" s="28"/>
    </row>
    <row r="159" spans="1:33" ht="21" customHeight="1" x14ac:dyDescent="0.25">
      <c r="A159" s="28"/>
      <c r="B159" s="28"/>
      <c r="C159" s="28"/>
      <c r="D159" s="28"/>
      <c r="E159" s="28"/>
      <c r="F159" s="28"/>
      <c r="G159" s="28"/>
      <c r="H159" s="28"/>
      <c r="I159" s="28"/>
      <c r="J159" s="28"/>
      <c r="K159" s="28"/>
      <c r="L159" s="28"/>
      <c r="M159" s="28"/>
      <c r="N159" s="28"/>
      <c r="O159" s="28"/>
      <c r="AE159" s="1" t="s">
        <v>301</v>
      </c>
      <c r="AF159" s="345">
        <f>[1]!MCRIT(AF143,AG143,AF149,1)</f>
        <v>5</v>
      </c>
      <c r="AG159" s="345">
        <f>[1]!MCRIT(AF143,AG143,AF149,2)</f>
        <v>4</v>
      </c>
    </row>
    <row r="160" spans="1:33" ht="21" customHeight="1" thickBot="1" x14ac:dyDescent="0.3">
      <c r="A160" s="28" t="s">
        <v>273</v>
      </c>
      <c r="B160" s="28"/>
      <c r="C160" s="28"/>
      <c r="D160" s="28"/>
      <c r="E160" s="28" t="s">
        <v>274</v>
      </c>
      <c r="F160" s="28">
        <v>0.05</v>
      </c>
      <c r="G160" s="28"/>
      <c r="H160" s="28"/>
      <c r="I160" s="28"/>
      <c r="J160" s="28"/>
      <c r="K160" s="28"/>
      <c r="L160" s="28"/>
      <c r="M160" s="357" t="s">
        <v>295</v>
      </c>
      <c r="N160" s="357" t="s">
        <v>296</v>
      </c>
      <c r="O160" s="28"/>
      <c r="AE160" s="1" t="s">
        <v>311</v>
      </c>
      <c r="AF160" s="347" t="str">
        <f>IF(ISNUMBER(AF159),IF(AF150&lt;AF159,"yes","no"),"no")</f>
        <v>no</v>
      </c>
      <c r="AG160" s="347" t="str">
        <f>IF(ISNUMBER(AG159),IF(AF150&lt;AG159,"yes","no"),"no")</f>
        <v>no</v>
      </c>
    </row>
    <row r="161" spans="1:33" ht="21" customHeight="1" thickTop="1" x14ac:dyDescent="0.25">
      <c r="A161" s="350" t="s">
        <v>275</v>
      </c>
      <c r="B161" s="350" t="s">
        <v>276</v>
      </c>
      <c r="C161" s="350" t="s">
        <v>277</v>
      </c>
      <c r="D161" s="350" t="s">
        <v>278</v>
      </c>
      <c r="E161" s="350" t="s">
        <v>279</v>
      </c>
      <c r="F161" s="350" t="s">
        <v>280</v>
      </c>
      <c r="G161" s="350" t="s">
        <v>281</v>
      </c>
      <c r="H161" s="350" t="s">
        <v>282</v>
      </c>
      <c r="I161" s="350" t="s">
        <v>283</v>
      </c>
      <c r="J161" s="350" t="s">
        <v>284</v>
      </c>
      <c r="K161" s="28"/>
      <c r="L161" s="28" t="s">
        <v>297</v>
      </c>
      <c r="M161" s="358">
        <v>0.05</v>
      </c>
      <c r="N161" s="28"/>
      <c r="O161" s="28"/>
    </row>
    <row r="162" spans="1:33" ht="21" customHeight="1" x14ac:dyDescent="0.25">
      <c r="A162" s="28" t="s">
        <v>285</v>
      </c>
      <c r="B162" s="28">
        <f>SQRT(D158*(1/B156+1/B157))</f>
        <v>6.32913480902276E-2</v>
      </c>
      <c r="C162" s="28">
        <f>(ABS(C156-C157-E154))/B162</f>
        <v>2.7490350688723613</v>
      </c>
      <c r="D162" s="28">
        <f>B156+B157-2</f>
        <v>18</v>
      </c>
      <c r="E162" s="28">
        <f>TDIST(C162,D162,1)</f>
        <v>6.599743173949426E-3</v>
      </c>
      <c r="F162" s="28">
        <f>TINV(F160*2,D162)</f>
        <v>1.7340636066175394</v>
      </c>
      <c r="G162" s="28"/>
      <c r="H162" s="28"/>
      <c r="I162" s="28" t="str">
        <f>IF(E162&lt;F160,"yes","no")</f>
        <v>yes</v>
      </c>
      <c r="J162" s="28">
        <f>SQRT(C162^2/(C162^2+D162))</f>
        <v>0.54378058411622832</v>
      </c>
      <c r="K162" s="28"/>
      <c r="L162" s="28" t="s">
        <v>294</v>
      </c>
      <c r="M162" s="359">
        <f>MIN(M158,N158)</f>
        <v>12</v>
      </c>
      <c r="N162" s="28"/>
      <c r="O162" s="28"/>
      <c r="AE162" s="1" t="s">
        <v>279</v>
      </c>
      <c r="AF162" s="345">
        <f>[1]!MANN_EXACT(M36:M43,M56:M59,1)</f>
        <v>0.46666666666666667</v>
      </c>
      <c r="AG162" s="345">
        <f>2*AF162</f>
        <v>0.93333333333333335</v>
      </c>
    </row>
    <row r="163" spans="1:33" ht="21" customHeight="1" x14ac:dyDescent="0.25">
      <c r="A163" s="28" t="s">
        <v>286</v>
      </c>
      <c r="B163" s="28">
        <f>B162</f>
        <v>6.32913480902276E-2</v>
      </c>
      <c r="C163" s="28">
        <f t="shared" ref="C163:D163" si="32">C162</f>
        <v>2.7490350688723613</v>
      </c>
      <c r="D163" s="28">
        <f t="shared" si="32"/>
        <v>18</v>
      </c>
      <c r="E163" s="28">
        <f>TDIST(C163,D163,2)</f>
        <v>1.3199486347898852E-2</v>
      </c>
      <c r="F163" s="28">
        <f>TINV(F160,D163)</f>
        <v>2.1009220402410378</v>
      </c>
      <c r="G163" s="28">
        <f>(C156-C157)-F163*B163</f>
        <v>-0.30696032361557013</v>
      </c>
      <c r="H163" s="28">
        <f>(C156-C157)+F163*B163</f>
        <v>-4.1019947296916742E-2</v>
      </c>
      <c r="I163" s="28" t="str">
        <f>IF(E163&lt;F160,"yes","no")</f>
        <v>yes</v>
      </c>
      <c r="J163" s="28">
        <f>J162</f>
        <v>0.54378058411622832</v>
      </c>
      <c r="K163" s="28"/>
      <c r="L163" s="28" t="s">
        <v>298</v>
      </c>
      <c r="M163" s="359">
        <f>M155*N155/2</f>
        <v>32</v>
      </c>
      <c r="N163" s="28"/>
      <c r="O163" s="28"/>
      <c r="AE163" s="1" t="s">
        <v>303</v>
      </c>
      <c r="AF163" s="347" t="str">
        <f>IF(AF162&lt;AF149,"yes","no")</f>
        <v>no</v>
      </c>
      <c r="AG163" s="347" t="str">
        <f>IF(AG162&lt;AF149,"yes","no")</f>
        <v>no</v>
      </c>
    </row>
    <row r="164" spans="1:33" ht="21" customHeight="1" x14ac:dyDescent="0.25">
      <c r="A164" s="354"/>
      <c r="B164" s="354"/>
      <c r="C164" s="354"/>
      <c r="D164" s="354"/>
      <c r="E164" s="354"/>
      <c r="F164" s="354"/>
      <c r="G164" s="354"/>
      <c r="H164" s="354"/>
      <c r="I164" s="354"/>
      <c r="J164" s="354"/>
      <c r="K164" s="28"/>
      <c r="L164" s="28" t="s">
        <v>299</v>
      </c>
      <c r="M164" s="359">
        <v>10.47503297319267</v>
      </c>
      <c r="N164" s="28" t="s">
        <v>300</v>
      </c>
      <c r="O164" s="28"/>
    </row>
    <row r="165" spans="1:33" ht="21" customHeight="1" thickBot="1" x14ac:dyDescent="0.3">
      <c r="A165" s="28" t="s">
        <v>287</v>
      </c>
      <c r="B165" s="28"/>
      <c r="C165" s="28"/>
      <c r="D165" s="28"/>
      <c r="E165" s="28" t="s">
        <v>274</v>
      </c>
      <c r="F165" s="28">
        <f>F160</f>
        <v>0.05</v>
      </c>
      <c r="G165" s="28"/>
      <c r="H165" s="28"/>
      <c r="I165" s="28"/>
      <c r="J165" s="28"/>
      <c r="K165" s="28"/>
      <c r="L165" s="28" t="s">
        <v>19</v>
      </c>
      <c r="M165" s="359">
        <f>ABS(STANDARDIZE(M162,M163,M164))</f>
        <v>1.9093018657968224</v>
      </c>
      <c r="N165" s="28"/>
      <c r="O165" s="28"/>
    </row>
    <row r="166" spans="1:33" ht="21" customHeight="1" thickTop="1" x14ac:dyDescent="0.25">
      <c r="A166" s="350" t="s">
        <v>275</v>
      </c>
      <c r="B166" s="350" t="s">
        <v>276</v>
      </c>
      <c r="C166" s="350" t="s">
        <v>277</v>
      </c>
      <c r="D166" s="350" t="s">
        <v>278</v>
      </c>
      <c r="E166" s="350" t="s">
        <v>279</v>
      </c>
      <c r="F166" s="350" t="s">
        <v>280</v>
      </c>
      <c r="G166" s="350" t="s">
        <v>281</v>
      </c>
      <c r="H166" s="350" t="s">
        <v>282</v>
      </c>
      <c r="I166" s="350" t="s">
        <v>283</v>
      </c>
      <c r="J166" s="350" t="s">
        <v>284</v>
      </c>
      <c r="K166" s="28"/>
      <c r="L166" s="28" t="s">
        <v>284</v>
      </c>
      <c r="M166" s="359">
        <f>M165/SQRT(M155+N155)</f>
        <v>0.42693287614888753</v>
      </c>
      <c r="N166" s="28"/>
      <c r="O166" s="28"/>
    </row>
    <row r="167" spans="1:33" ht="21" customHeight="1" x14ac:dyDescent="0.25">
      <c r="A167" s="28" t="s">
        <v>285</v>
      </c>
      <c r="B167" s="28">
        <f>SQRT(D156/B156+D157/B157)</f>
        <v>0.10943718889176846</v>
      </c>
      <c r="C167" s="28">
        <f>(ABS(C156-C157-E154))/B167</f>
        <v>1.5898629818453831</v>
      </c>
      <c r="D167" s="28">
        <f>(D156/B156+D157/B157)^2/((D156/B156)^2/(B156-1)+(D157/B157)^2/(B157-1))</f>
        <v>3.2000487945159088</v>
      </c>
      <c r="E167" s="28">
        <f>TDIST(C167,ROUND(D167,0),1)</f>
        <v>0.10504346639738631</v>
      </c>
      <c r="F167" s="28">
        <f>TINV(F165*2,ROUND(D167,0))</f>
        <v>2.3533634348018233</v>
      </c>
      <c r="G167" s="28"/>
      <c r="H167" s="28"/>
      <c r="I167" s="28" t="str">
        <f>IF(E167&lt;F165,"yes","no")</f>
        <v>no</v>
      </c>
      <c r="J167" s="28">
        <f>SQRT(C167^2/(C167^2+D167))</f>
        <v>0.66430736827100945</v>
      </c>
      <c r="K167" s="28"/>
      <c r="L167" s="28" t="s">
        <v>301</v>
      </c>
      <c r="M167" s="358">
        <f>M163+M164*NORMSINV(M161)</f>
        <v>14.770104021607768</v>
      </c>
      <c r="N167" s="352">
        <f>M163+M164*NORMSINV(M161/2)</f>
        <v>11.469312635672846</v>
      </c>
      <c r="O167" s="28"/>
    </row>
    <row r="168" spans="1:33" ht="21" customHeight="1" x14ac:dyDescent="0.25">
      <c r="A168" s="28" t="s">
        <v>286</v>
      </c>
      <c r="B168" s="28">
        <f>B167</f>
        <v>0.10943718889176846</v>
      </c>
      <c r="C168" s="28">
        <f t="shared" ref="C168:D168" si="33">C167</f>
        <v>1.5898629818453831</v>
      </c>
      <c r="D168" s="28">
        <f t="shared" si="33"/>
        <v>3.2000487945159088</v>
      </c>
      <c r="E168" s="28">
        <f>TDIST(C168,ROUND(D168,0),2)</f>
        <v>0.21008693279477261</v>
      </c>
      <c r="F168" s="28">
        <f>TINV(F165,ROUND(D168,0))</f>
        <v>3.1824463052837091</v>
      </c>
      <c r="G168" s="28">
        <f>(C156-C157)-F168*B168</f>
        <v>-0.52226811290548736</v>
      </c>
      <c r="H168" s="28">
        <f>(C156-C157)+F168*B168</f>
        <v>0.17428784199300046</v>
      </c>
      <c r="I168" s="28" t="str">
        <f>IF(E168&lt;F165,"yes","no")</f>
        <v>no</v>
      </c>
      <c r="J168" s="28">
        <f>J167</f>
        <v>0.66430736827100945</v>
      </c>
      <c r="K168" s="28"/>
      <c r="L168" s="28" t="s">
        <v>279</v>
      </c>
      <c r="M168" s="359">
        <f>1-NORMSDIST(M165)</f>
        <v>2.8111580883978138E-2</v>
      </c>
      <c r="N168" s="339">
        <f>2*M168</f>
        <v>5.6223161767956276E-2</v>
      </c>
      <c r="O168" s="28"/>
      <c r="T168" s="349" t="s">
        <v>315</v>
      </c>
    </row>
    <row r="169" spans="1:33" ht="21" customHeight="1" x14ac:dyDescent="0.25">
      <c r="A169" s="354"/>
      <c r="B169" s="354"/>
      <c r="C169" s="354"/>
      <c r="D169" s="354"/>
      <c r="E169" s="354"/>
      <c r="F169" s="354"/>
      <c r="G169" s="354"/>
      <c r="H169" s="354"/>
      <c r="I169" s="354"/>
      <c r="J169" s="354"/>
      <c r="K169" s="28"/>
      <c r="L169" s="28" t="s">
        <v>302</v>
      </c>
      <c r="M169" s="360" t="str">
        <f>IF(M168&lt;M161,"yes","no")</f>
        <v>yes</v>
      </c>
      <c r="N169" s="361" t="str">
        <f>IF(N168&lt;M161,"yes","no")</f>
        <v>no</v>
      </c>
      <c r="O169" s="28"/>
      <c r="T169" s="1" t="s">
        <v>263</v>
      </c>
      <c r="AE169" s="1" t="s">
        <v>288</v>
      </c>
    </row>
    <row r="170" spans="1:33" ht="21" customHeight="1" x14ac:dyDescent="0.25">
      <c r="A170" s="28"/>
      <c r="B170" s="28"/>
      <c r="C170" s="28"/>
      <c r="D170" s="28"/>
      <c r="E170" s="28"/>
      <c r="F170" s="28"/>
      <c r="G170" s="28"/>
      <c r="H170" s="28"/>
      <c r="I170" s="28"/>
      <c r="J170" s="28"/>
      <c r="K170" s="28"/>
      <c r="L170" s="28"/>
      <c r="M170" s="28"/>
      <c r="N170" s="28"/>
      <c r="O170" s="28"/>
    </row>
    <row r="171" spans="1:33" ht="21" customHeight="1" thickBot="1" x14ac:dyDescent="0.3">
      <c r="A171" s="28"/>
      <c r="B171" s="28"/>
      <c r="C171" s="28"/>
      <c r="D171" s="28"/>
      <c r="E171" s="28"/>
      <c r="F171" s="28"/>
      <c r="G171" s="28"/>
      <c r="H171" s="28"/>
      <c r="I171" s="28"/>
      <c r="J171" s="28"/>
      <c r="K171" s="28"/>
      <c r="L171" s="28" t="s">
        <v>301</v>
      </c>
      <c r="M171" s="358">
        <f>[1]!MCRIT(M155,N155,M161,1)</f>
        <v>14</v>
      </c>
      <c r="N171" s="358">
        <f>[1]!MCRIT(M155,N155,M161,2)</f>
        <v>11</v>
      </c>
      <c r="O171" s="28"/>
      <c r="T171" s="1" t="s">
        <v>264</v>
      </c>
      <c r="W171" s="1" t="s">
        <v>265</v>
      </c>
      <c r="X171" s="1">
        <v>0</v>
      </c>
      <c r="AF171" s="1" t="s">
        <v>289</v>
      </c>
      <c r="AG171" s="1" t="s">
        <v>290</v>
      </c>
    </row>
    <row r="172" spans="1:33" ht="21" customHeight="1" thickTop="1" x14ac:dyDescent="0.25">
      <c r="A172" s="28"/>
      <c r="B172" s="28"/>
      <c r="C172" s="28"/>
      <c r="D172" s="28"/>
      <c r="E172" s="28"/>
      <c r="F172" s="28"/>
      <c r="G172" s="28"/>
      <c r="H172" s="28"/>
      <c r="I172" s="28"/>
      <c r="J172" s="28"/>
      <c r="K172" s="28"/>
      <c r="L172" s="28" t="s">
        <v>311</v>
      </c>
      <c r="M172" s="360" t="str">
        <f>IF(ISNUMBER(M171),IF(M162&lt;M171,"yes","no"),"no")</f>
        <v>yes</v>
      </c>
      <c r="N172" s="360" t="str">
        <f>IF(ISNUMBER(N171),IF(M162&lt;N171,"yes","no"),"no")</f>
        <v>no</v>
      </c>
      <c r="O172" s="28"/>
      <c r="T172" s="332" t="s">
        <v>266</v>
      </c>
      <c r="U172" s="332" t="s">
        <v>267</v>
      </c>
      <c r="V172" s="332" t="s">
        <v>117</v>
      </c>
      <c r="W172" s="332" t="s">
        <v>268</v>
      </c>
      <c r="X172" s="332" t="s">
        <v>269</v>
      </c>
      <c r="AE172" s="1" t="s">
        <v>291</v>
      </c>
      <c r="AF172" s="336">
        <f>COUNT(N36:N43)</f>
        <v>8</v>
      </c>
      <c r="AG172" s="337">
        <f>COUNT(N56:N59)</f>
        <v>4</v>
      </c>
    </row>
    <row r="173" spans="1:33" ht="21" customHeight="1" x14ac:dyDescent="0.25">
      <c r="A173" s="28"/>
      <c r="B173" s="28"/>
      <c r="C173" s="28"/>
      <c r="D173" s="28"/>
      <c r="E173" s="28"/>
      <c r="F173" s="28"/>
      <c r="G173" s="28"/>
      <c r="H173" s="28"/>
      <c r="I173" s="28"/>
      <c r="J173" s="28"/>
      <c r="K173" s="28"/>
      <c r="L173" s="28"/>
      <c r="M173" s="28"/>
      <c r="N173" s="28"/>
      <c r="O173" s="28"/>
      <c r="T173" s="1" t="s">
        <v>270</v>
      </c>
      <c r="U173" s="1">
        <f>COUNT(N36:N43)</f>
        <v>8</v>
      </c>
      <c r="V173" s="64">
        <f>AVERAGE(N36:N43)</f>
        <v>4.5952694645529499</v>
      </c>
      <c r="W173" s="1">
        <f>VAR(N36:N43)</f>
        <v>2.1373845974533307E-2</v>
      </c>
      <c r="AE173" s="1" t="s">
        <v>292</v>
      </c>
      <c r="AF173" s="338">
        <f>MEDIAN(N36:N43)</f>
        <v>4.5561348842086353</v>
      </c>
      <c r="AG173" s="362">
        <f>MEDIAN(N56:N59)</f>
        <v>4.6216703542479705</v>
      </c>
    </row>
    <row r="174" spans="1:33" ht="21" customHeight="1" x14ac:dyDescent="0.25">
      <c r="A174" s="28"/>
      <c r="B174" s="28"/>
      <c r="C174" s="28"/>
      <c r="D174" s="28"/>
      <c r="E174" s="28"/>
      <c r="F174" s="28"/>
      <c r="G174" s="28"/>
      <c r="H174" s="28"/>
      <c r="I174" s="28"/>
      <c r="J174" s="28"/>
      <c r="K174" s="28"/>
      <c r="L174" s="28" t="s">
        <v>279</v>
      </c>
      <c r="M174" s="358">
        <f>[1]!MANN_EXACT(N6:N23,N56:N59,1)</f>
        <v>3.1991744066047469E-2</v>
      </c>
      <c r="N174" s="358">
        <f>2*M174</f>
        <v>6.3983488132094937E-2</v>
      </c>
      <c r="O174" s="28"/>
      <c r="T174" s="1" t="s">
        <v>271</v>
      </c>
      <c r="U174" s="1">
        <f>COUNT(N56:N59)</f>
        <v>4</v>
      </c>
      <c r="V174" s="64">
        <f>AVERAGE(N56:N59)</f>
        <v>4.6282414285625642</v>
      </c>
      <c r="W174" s="1">
        <f>VAR(N56:N59)</f>
        <v>4.6379400312394958E-2</v>
      </c>
      <c r="AE174" s="1" t="s">
        <v>293</v>
      </c>
      <c r="AF174" s="340">
        <f>[1]!RANK_SUM(N36:N43,N56:N59,1)</f>
        <v>53</v>
      </c>
      <c r="AG174" s="341">
        <f>[1]!RANK_SUM(N56:N59,N36:N43,1)</f>
        <v>25</v>
      </c>
    </row>
    <row r="175" spans="1:33" ht="21" customHeight="1" x14ac:dyDescent="0.25">
      <c r="A175" s="28"/>
      <c r="B175" s="28"/>
      <c r="C175" s="28"/>
      <c r="D175" s="28"/>
      <c r="E175" s="28"/>
      <c r="F175" s="28"/>
      <c r="G175" s="28"/>
      <c r="H175" s="28"/>
      <c r="I175" s="28"/>
      <c r="J175" s="28"/>
      <c r="K175" s="28"/>
      <c r="L175" s="28" t="s">
        <v>303</v>
      </c>
      <c r="M175" s="360" t="str">
        <f>IF(M174&lt;M161,"yes","no")</f>
        <v>yes</v>
      </c>
      <c r="N175" s="360" t="str">
        <f>IF(N174&lt;M161,"yes","no")</f>
        <v>no</v>
      </c>
      <c r="O175" s="28"/>
      <c r="T175" s="334" t="s">
        <v>272</v>
      </c>
      <c r="U175" s="334"/>
      <c r="V175" s="334"/>
      <c r="W175" s="334">
        <f>((U173-1)*W173+(U174-1)*W174)/(U173+U174-2)</f>
        <v>2.8875512275891801E-2</v>
      </c>
      <c r="X175" s="334">
        <f>ABS(V173-V174-X171)/SQRT(W175)</f>
        <v>0.19403495232850357</v>
      </c>
      <c r="AE175" s="1" t="s">
        <v>294</v>
      </c>
      <c r="AF175" s="342">
        <f>AF172*AG172+AF172*(AF172+1)/2-AF174</f>
        <v>15</v>
      </c>
      <c r="AG175" s="343">
        <f>AF172*AG172+AG172*(AG172+1)/2-AG174</f>
        <v>17</v>
      </c>
    </row>
    <row r="176" spans="1:33" ht="21" customHeight="1" x14ac:dyDescent="0.25">
      <c r="A176" s="28"/>
      <c r="B176" s="28"/>
      <c r="C176" s="28"/>
      <c r="D176" s="28"/>
      <c r="E176" s="28"/>
      <c r="F176" s="28"/>
      <c r="G176" s="28"/>
      <c r="H176" s="28"/>
      <c r="I176" s="28"/>
      <c r="J176" s="28"/>
      <c r="K176" s="28"/>
      <c r="L176" s="28"/>
      <c r="M176" s="28"/>
      <c r="N176" s="28"/>
      <c r="O176" s="28"/>
    </row>
    <row r="177" spans="1:33" ht="21" customHeight="1" thickBot="1" x14ac:dyDescent="0.3">
      <c r="A177" s="28"/>
      <c r="B177" s="28"/>
      <c r="C177" s="28"/>
      <c r="D177" s="28"/>
      <c r="E177" s="28"/>
      <c r="F177" s="28"/>
      <c r="G177" s="28"/>
      <c r="H177" s="28"/>
      <c r="I177" s="28"/>
      <c r="J177" s="28"/>
      <c r="K177" s="28"/>
      <c r="L177" s="28"/>
      <c r="M177" s="28"/>
      <c r="N177" s="28"/>
      <c r="O177" s="28"/>
      <c r="T177" s="1" t="s">
        <v>273</v>
      </c>
      <c r="X177" s="1" t="s">
        <v>274</v>
      </c>
      <c r="Y177" s="1">
        <v>0.05</v>
      </c>
      <c r="AF177" s="344" t="s">
        <v>295</v>
      </c>
      <c r="AG177" s="344" t="s">
        <v>296</v>
      </c>
    </row>
    <row r="178" spans="1:33" ht="21" customHeight="1" thickTop="1" x14ac:dyDescent="0.25">
      <c r="A178" s="349" t="s">
        <v>308</v>
      </c>
      <c r="B178" s="28"/>
      <c r="C178" s="28"/>
      <c r="D178" s="28"/>
      <c r="E178" s="28"/>
      <c r="F178" s="28"/>
      <c r="G178" s="28"/>
      <c r="H178" s="28"/>
      <c r="I178" s="28"/>
      <c r="J178" s="28"/>
      <c r="K178" s="28"/>
      <c r="L178" s="28"/>
      <c r="M178" s="28"/>
      <c r="N178" s="28"/>
      <c r="O178" s="28"/>
      <c r="T178" s="332" t="s">
        <v>275</v>
      </c>
      <c r="U178" s="332" t="s">
        <v>276</v>
      </c>
      <c r="V178" s="332" t="s">
        <v>277</v>
      </c>
      <c r="W178" s="332" t="s">
        <v>278</v>
      </c>
      <c r="X178" s="332" t="s">
        <v>279</v>
      </c>
      <c r="Y178" s="332" t="s">
        <v>280</v>
      </c>
      <c r="Z178" s="332" t="s">
        <v>281</v>
      </c>
      <c r="AA178" s="332" t="s">
        <v>282</v>
      </c>
      <c r="AB178" s="332" t="s">
        <v>283</v>
      </c>
      <c r="AC178" s="332" t="s">
        <v>284</v>
      </c>
      <c r="AE178" s="1" t="s">
        <v>297</v>
      </c>
      <c r="AF178" s="345">
        <v>0.05</v>
      </c>
    </row>
    <row r="179" spans="1:33" ht="21" customHeight="1" x14ac:dyDescent="0.25">
      <c r="A179" s="28" t="s">
        <v>263</v>
      </c>
      <c r="B179" s="28"/>
      <c r="C179" s="28"/>
      <c r="D179" s="28"/>
      <c r="E179" s="28"/>
      <c r="F179" s="28"/>
      <c r="G179" s="28"/>
      <c r="H179" s="28"/>
      <c r="I179" s="28"/>
      <c r="J179" s="28"/>
      <c r="K179" s="28"/>
      <c r="L179" s="28" t="s">
        <v>288</v>
      </c>
      <c r="M179" s="28"/>
      <c r="N179" s="28"/>
      <c r="O179" s="28"/>
      <c r="T179" s="1" t="s">
        <v>285</v>
      </c>
      <c r="U179" s="1">
        <f>SQRT(W175*(1/U173+1/U174))</f>
        <v>0.10405919999432739</v>
      </c>
      <c r="V179" s="1">
        <f>(ABS(V173-V174-X171))/U179</f>
        <v>0.31685775031339497</v>
      </c>
      <c r="W179" s="1">
        <f>U173+U174-2</f>
        <v>10</v>
      </c>
      <c r="X179" s="1">
        <f>TDIST(V179,W179,1)</f>
        <v>0.37893371569717277</v>
      </c>
      <c r="Y179" s="1">
        <f>TINV(Y177*2,W179)</f>
        <v>1.812461122811676</v>
      </c>
      <c r="AB179" s="327" t="str">
        <f>IF(X179&lt;Y177,"yes","no")</f>
        <v>no</v>
      </c>
      <c r="AC179" s="1">
        <f>SQRT(V179^2/(V179^2+W179))</f>
        <v>9.9699980381752373E-2</v>
      </c>
      <c r="AE179" s="1" t="s">
        <v>294</v>
      </c>
      <c r="AF179" s="346">
        <f>MIN(AF175,AG175)</f>
        <v>15</v>
      </c>
    </row>
    <row r="180" spans="1:33" ht="21" customHeight="1" x14ac:dyDescent="0.25">
      <c r="A180" s="28"/>
      <c r="B180" s="28"/>
      <c r="C180" s="28"/>
      <c r="D180" s="28"/>
      <c r="E180" s="28"/>
      <c r="F180" s="28"/>
      <c r="G180" s="28"/>
      <c r="H180" s="28"/>
      <c r="I180" s="28"/>
      <c r="J180" s="28"/>
      <c r="K180" s="28"/>
      <c r="L180" s="28"/>
      <c r="M180" s="28"/>
      <c r="N180" s="28"/>
      <c r="O180" s="28"/>
      <c r="T180" s="1" t="s">
        <v>286</v>
      </c>
      <c r="U180" s="1">
        <f>U179</f>
        <v>0.10405919999432739</v>
      </c>
      <c r="V180" s="327">
        <f t="shared" ref="V180:W180" si="34">V179</f>
        <v>0.31685775031339497</v>
      </c>
      <c r="W180" s="327">
        <f t="shared" si="34"/>
        <v>10</v>
      </c>
      <c r="X180" s="1">
        <f>TDIST(V180,W180,2)</f>
        <v>0.75786743139434554</v>
      </c>
      <c r="Y180" s="1">
        <f>TINV(Y177,W180)</f>
        <v>2.2281388519862744</v>
      </c>
      <c r="Z180" s="1">
        <f>(V173-V174)-Y180*U180</f>
        <v>-0.26483031042358496</v>
      </c>
      <c r="AA180" s="1">
        <f>(V173-V174)+Y180*U180</f>
        <v>0.19888638240435655</v>
      </c>
      <c r="AB180" s="327" t="str">
        <f>IF(X180&lt;Y177,"yes","no")</f>
        <v>no</v>
      </c>
      <c r="AC180" s="1">
        <f>AC179</f>
        <v>9.9699980381752373E-2</v>
      </c>
      <c r="AE180" s="1" t="s">
        <v>298</v>
      </c>
      <c r="AF180" s="346">
        <f>AF172*AG172/2</f>
        <v>16</v>
      </c>
    </row>
    <row r="181" spans="1:33" ht="21" customHeight="1" thickBot="1" x14ac:dyDescent="0.3">
      <c r="A181" s="28" t="s">
        <v>264</v>
      </c>
      <c r="B181" s="28"/>
      <c r="C181" s="28"/>
      <c r="D181" s="28" t="s">
        <v>265</v>
      </c>
      <c r="E181" s="28">
        <v>0</v>
      </c>
      <c r="F181" s="28"/>
      <c r="G181" s="28"/>
      <c r="H181" s="28"/>
      <c r="I181" s="28"/>
      <c r="J181" s="28"/>
      <c r="K181" s="28"/>
      <c r="L181" s="28"/>
      <c r="M181" s="28" t="s">
        <v>289</v>
      </c>
      <c r="N181" s="28" t="s">
        <v>290</v>
      </c>
      <c r="O181" s="28"/>
      <c r="T181" s="334"/>
      <c r="U181" s="334"/>
      <c r="V181" s="334"/>
      <c r="W181" s="334"/>
      <c r="X181" s="334"/>
      <c r="Y181" s="334"/>
      <c r="Z181" s="334"/>
      <c r="AA181" s="334"/>
      <c r="AB181" s="334"/>
      <c r="AC181" s="334"/>
      <c r="AE181" s="1" t="s">
        <v>299</v>
      </c>
      <c r="AF181" s="346">
        <f>SQRT(AF180*(AF172+AG172+1)/6*(1-[1]!TiesCorrection(N36:N43,N56:N59,2)/((AF172+AG172)^3-AF172-AG172)))</f>
        <v>5.8775381364525865</v>
      </c>
      <c r="AG181" s="1" t="s">
        <v>300</v>
      </c>
    </row>
    <row r="182" spans="1:33" ht="21" customHeight="1" thickTop="1" thickBot="1" x14ac:dyDescent="0.3">
      <c r="A182" s="350" t="s">
        <v>266</v>
      </c>
      <c r="B182" s="350" t="s">
        <v>267</v>
      </c>
      <c r="C182" s="350" t="s">
        <v>117</v>
      </c>
      <c r="D182" s="350" t="s">
        <v>268</v>
      </c>
      <c r="E182" s="350" t="s">
        <v>269</v>
      </c>
      <c r="F182" s="28"/>
      <c r="G182" s="28"/>
      <c r="H182" s="28"/>
      <c r="I182" s="28"/>
      <c r="J182" s="28"/>
      <c r="K182" s="28"/>
      <c r="L182" s="28" t="s">
        <v>291</v>
      </c>
      <c r="M182" s="351">
        <f>COUNT(O6:O23)</f>
        <v>18</v>
      </c>
      <c r="N182" s="352">
        <f>COUNT(O56:O59)</f>
        <v>4</v>
      </c>
      <c r="O182" s="28"/>
      <c r="T182" s="1" t="s">
        <v>287</v>
      </c>
      <c r="X182" s="1" t="s">
        <v>274</v>
      </c>
      <c r="Y182" s="1">
        <f>Y177</f>
        <v>0.05</v>
      </c>
      <c r="AE182" s="1" t="s">
        <v>19</v>
      </c>
      <c r="AF182" s="346">
        <f>ABS(STANDARDIZE(AF179,AF180,AF181))</f>
        <v>0.17013926184468015</v>
      </c>
    </row>
    <row r="183" spans="1:33" ht="21" customHeight="1" thickTop="1" x14ac:dyDescent="0.25">
      <c r="A183" s="28" t="s">
        <v>270</v>
      </c>
      <c r="B183" s="28">
        <f>COUNT(O6:O23)</f>
        <v>18</v>
      </c>
      <c r="C183" s="28">
        <f>AVERAGE(O6:O23)</f>
        <v>2.5667424281990563</v>
      </c>
      <c r="D183" s="28">
        <f>VAR(O6:O23)</f>
        <v>6.6530860638635614E-2</v>
      </c>
      <c r="E183" s="28"/>
      <c r="F183" s="28"/>
      <c r="G183" s="28"/>
      <c r="H183" s="28"/>
      <c r="I183" s="28"/>
      <c r="J183" s="28"/>
      <c r="K183" s="28"/>
      <c r="L183" s="28" t="s">
        <v>292</v>
      </c>
      <c r="M183" s="353">
        <f>MEDIAN(O6:O23)</f>
        <v>2.4913616938342726</v>
      </c>
      <c r="N183" s="339">
        <f>MEDIAN(O56:O59)</f>
        <v>2.455162762268948</v>
      </c>
      <c r="O183" s="28"/>
      <c r="T183" s="332" t="s">
        <v>275</v>
      </c>
      <c r="U183" s="332" t="s">
        <v>276</v>
      </c>
      <c r="V183" s="332" t="s">
        <v>277</v>
      </c>
      <c r="W183" s="332" t="s">
        <v>278</v>
      </c>
      <c r="X183" s="332" t="s">
        <v>279</v>
      </c>
      <c r="Y183" s="332" t="s">
        <v>280</v>
      </c>
      <c r="Z183" s="332" t="s">
        <v>281</v>
      </c>
      <c r="AA183" s="332" t="s">
        <v>282</v>
      </c>
      <c r="AB183" s="332" t="s">
        <v>283</v>
      </c>
      <c r="AC183" s="332" t="s">
        <v>284</v>
      </c>
      <c r="AE183" s="1" t="s">
        <v>284</v>
      </c>
      <c r="AF183" s="346">
        <f>AF182/SQRT(AF172+AG172)</f>
        <v>4.9114974312875155E-2</v>
      </c>
    </row>
    <row r="184" spans="1:33" ht="21" customHeight="1" x14ac:dyDescent="0.25">
      <c r="A184" s="28" t="s">
        <v>271</v>
      </c>
      <c r="B184" s="28">
        <f>COUNT(O56:O59)</f>
        <v>4</v>
      </c>
      <c r="C184" s="28">
        <f>AVERAGE(O56:O59)</f>
        <v>2.4688017876784629</v>
      </c>
      <c r="D184" s="28">
        <f>VAR(O56:O59)</f>
        <v>8.7283810134629967E-3</v>
      </c>
      <c r="E184" s="28"/>
      <c r="F184" s="28"/>
      <c r="G184" s="28"/>
      <c r="H184" s="28"/>
      <c r="I184" s="28"/>
      <c r="J184" s="28"/>
      <c r="K184" s="28"/>
      <c r="L184" s="28" t="s">
        <v>293</v>
      </c>
      <c r="M184" s="353">
        <v>217</v>
      </c>
      <c r="N184" s="339">
        <v>36</v>
      </c>
      <c r="O184" s="28"/>
      <c r="T184" s="1" t="s">
        <v>285</v>
      </c>
      <c r="U184" s="1">
        <f>SQRT(W173/U173+W174/U174)</f>
        <v>0.11944279310580191</v>
      </c>
      <c r="V184" s="1">
        <f>(ABS(V173-V174-X171))/U184</f>
        <v>0.27604816625820022</v>
      </c>
      <c r="W184" s="1">
        <f>(W173/U173+W174/U174)^2/((W173/U173)^2/(U173-1)+(W174/U174)^2/(U174-1))</f>
        <v>4.4407787661330591</v>
      </c>
      <c r="X184" s="1">
        <f>TDIST(V184,ROUND(W184,0),1)</f>
        <v>0.39809312701569366</v>
      </c>
      <c r="Y184" s="1">
        <f>TINV(Y182*2,ROUND(W184,0))</f>
        <v>2.1318467863266499</v>
      </c>
      <c r="AB184" s="327" t="str">
        <f>IF(X184&lt;Y182,"yes","no")</f>
        <v>no</v>
      </c>
      <c r="AC184" s="1">
        <f>SQRT(V184^2/(V184^2+W184))</f>
        <v>0.12988551405382517</v>
      </c>
      <c r="AE184" s="1" t="s">
        <v>301</v>
      </c>
      <c r="AF184" s="345">
        <f>AF180+AF181*NORMSINV(AF178)</f>
        <v>6.3323100787103641</v>
      </c>
      <c r="AG184" s="337">
        <f>AF180+AF181*NORMSINV(AF178/2)</f>
        <v>4.4802369347922664</v>
      </c>
    </row>
    <row r="185" spans="1:33" ht="21" customHeight="1" x14ac:dyDescent="0.25">
      <c r="A185" s="354" t="s">
        <v>272</v>
      </c>
      <c r="B185" s="354"/>
      <c r="C185" s="354"/>
      <c r="D185" s="354">
        <f>((B183-1)*D183+(B184-1)*D184)/(B183+B184-2)</f>
        <v>5.7860488694859727E-2</v>
      </c>
      <c r="E185" s="354">
        <f>ABS(C183-C184-E181)/SQRT(D185)</f>
        <v>0.40716636161999997</v>
      </c>
      <c r="F185" s="28"/>
      <c r="G185" s="28"/>
      <c r="H185" s="28"/>
      <c r="I185" s="28"/>
      <c r="J185" s="28"/>
      <c r="K185" s="28"/>
      <c r="L185" s="28" t="s">
        <v>294</v>
      </c>
      <c r="M185" s="355">
        <f>M182*N182+M182*(M182+1)/2-M184</f>
        <v>26</v>
      </c>
      <c r="N185" s="356">
        <f>M182*N182+N182*(N182+1)/2-N184</f>
        <v>46</v>
      </c>
      <c r="O185" s="28"/>
      <c r="T185" s="1" t="s">
        <v>286</v>
      </c>
      <c r="U185" s="1">
        <f>U184</f>
        <v>0.11944279310580191</v>
      </c>
      <c r="V185" s="327">
        <f t="shared" ref="V185:W185" si="35">V184</f>
        <v>0.27604816625820022</v>
      </c>
      <c r="W185" s="327">
        <f t="shared" si="35"/>
        <v>4.4407787661330591</v>
      </c>
      <c r="X185" s="1">
        <f>TDIST(V185,ROUND(W185,0),2)</f>
        <v>0.79618625403138732</v>
      </c>
      <c r="Y185" s="1">
        <f>TINV(Y182,ROUND(W185,0))</f>
        <v>2.7764451051977934</v>
      </c>
      <c r="Z185" s="1">
        <f>(V173-V174)-Y185*U185</f>
        <v>-0.36459832227937067</v>
      </c>
      <c r="AA185" s="1">
        <f>(V173-V174)+Y185*U185</f>
        <v>0.29865439426014223</v>
      </c>
      <c r="AB185" s="327" t="str">
        <f>IF(X185&lt;Y182,"yes","no")</f>
        <v>no</v>
      </c>
      <c r="AC185" s="1">
        <f>AC184</f>
        <v>0.12988551405382517</v>
      </c>
      <c r="AE185" s="1" t="s">
        <v>279</v>
      </c>
      <c r="AF185" s="346">
        <f>1-NORMSDIST(AF182)</f>
        <v>0.4324503085680057</v>
      </c>
      <c r="AG185" s="341">
        <f>2*AF185</f>
        <v>0.86490061713601141</v>
      </c>
    </row>
    <row r="186" spans="1:33" ht="21" customHeight="1" x14ac:dyDescent="0.25">
      <c r="A186" s="28"/>
      <c r="B186" s="28"/>
      <c r="C186" s="28"/>
      <c r="D186" s="28"/>
      <c r="E186" s="28"/>
      <c r="F186" s="28"/>
      <c r="G186" s="28"/>
      <c r="H186" s="28"/>
      <c r="I186" s="28"/>
      <c r="J186" s="28"/>
      <c r="K186" s="28"/>
      <c r="L186" s="28"/>
      <c r="M186" s="28"/>
      <c r="N186" s="28"/>
      <c r="O186" s="28"/>
      <c r="T186" s="334"/>
      <c r="U186" s="334"/>
      <c r="V186" s="334"/>
      <c r="W186" s="334"/>
      <c r="X186" s="334"/>
      <c r="Y186" s="334"/>
      <c r="Z186" s="334"/>
      <c r="AA186" s="334"/>
      <c r="AB186" s="334"/>
      <c r="AC186" s="334"/>
      <c r="AE186" s="1" t="s">
        <v>302</v>
      </c>
      <c r="AF186" s="347" t="str">
        <f>IF(AF185&lt;AF178,"yes","no")</f>
        <v>no</v>
      </c>
      <c r="AG186" s="348" t="str">
        <f>IF(AG185&lt;AF178,"yes","no")</f>
        <v>no</v>
      </c>
    </row>
    <row r="187" spans="1:33" ht="21" customHeight="1" thickBot="1" x14ac:dyDescent="0.3">
      <c r="A187" s="28" t="s">
        <v>273</v>
      </c>
      <c r="B187" s="28"/>
      <c r="C187" s="28"/>
      <c r="D187" s="28"/>
      <c r="E187" s="28" t="s">
        <v>274</v>
      </c>
      <c r="F187" s="28">
        <v>0.05</v>
      </c>
      <c r="G187" s="28"/>
      <c r="H187" s="28"/>
      <c r="I187" s="28"/>
      <c r="J187" s="28"/>
      <c r="K187" s="28"/>
      <c r="L187" s="28"/>
      <c r="M187" s="357" t="s">
        <v>295</v>
      </c>
      <c r="N187" s="357" t="s">
        <v>296</v>
      </c>
      <c r="O187" s="28"/>
    </row>
    <row r="188" spans="1:33" ht="21" customHeight="1" thickTop="1" x14ac:dyDescent="0.25">
      <c r="A188" s="350" t="s">
        <v>275</v>
      </c>
      <c r="B188" s="350" t="s">
        <v>276</v>
      </c>
      <c r="C188" s="350" t="s">
        <v>277</v>
      </c>
      <c r="D188" s="350" t="s">
        <v>278</v>
      </c>
      <c r="E188" s="350" t="s">
        <v>279</v>
      </c>
      <c r="F188" s="350" t="s">
        <v>280</v>
      </c>
      <c r="G188" s="350" t="s">
        <v>281</v>
      </c>
      <c r="H188" s="350" t="s">
        <v>282</v>
      </c>
      <c r="I188" s="350" t="s">
        <v>283</v>
      </c>
      <c r="J188" s="350" t="s">
        <v>284</v>
      </c>
      <c r="K188" s="28"/>
      <c r="L188" s="28" t="s">
        <v>297</v>
      </c>
      <c r="M188" s="358">
        <v>0.05</v>
      </c>
      <c r="N188" s="28"/>
      <c r="O188" s="28"/>
      <c r="AE188" s="1" t="s">
        <v>301</v>
      </c>
      <c r="AF188" s="345">
        <f>[1]!MCRIT(AF172,AG172,AF178,1)</f>
        <v>5</v>
      </c>
      <c r="AG188" s="345">
        <f>[1]!MCRIT(AF172,AG172,AF178,2)</f>
        <v>4</v>
      </c>
    </row>
    <row r="189" spans="1:33" ht="21" customHeight="1" x14ac:dyDescent="0.25">
      <c r="A189" s="28" t="s">
        <v>285</v>
      </c>
      <c r="B189" s="28">
        <f>SQRT(D185*(1/B183+1/B184))</f>
        <v>0.1329646335228801</v>
      </c>
      <c r="C189" s="28">
        <f>(ABS(C183-C184-E181))/B189</f>
        <v>0.73659166295329259</v>
      </c>
      <c r="D189" s="28">
        <f>B183+B184-2</f>
        <v>20</v>
      </c>
      <c r="E189" s="28">
        <f>TDIST(C189,D189,1)</f>
        <v>0.23496173344612759</v>
      </c>
      <c r="F189" s="28">
        <f>TINV(F187*2,D189)</f>
        <v>1.7247182429207868</v>
      </c>
      <c r="G189" s="28"/>
      <c r="H189" s="28"/>
      <c r="I189" s="28" t="str">
        <f>IF(E189&lt;F187,"yes","no")</f>
        <v>no</v>
      </c>
      <c r="J189" s="28">
        <f>SQRT(C189^2/(C189^2+D189))</f>
        <v>0.16251724069481754</v>
      </c>
      <c r="K189" s="28"/>
      <c r="L189" s="28" t="s">
        <v>294</v>
      </c>
      <c r="M189" s="359">
        <f>MIN(M185,N185)</f>
        <v>26</v>
      </c>
      <c r="N189" s="28"/>
      <c r="O189" s="28"/>
      <c r="AE189" s="1" t="s">
        <v>311</v>
      </c>
      <c r="AF189" s="347" t="str">
        <f>IF(ISNUMBER(AF188),IF(AF179&lt;AF188,"yes","no"),"no")</f>
        <v>no</v>
      </c>
      <c r="AG189" s="347" t="str">
        <f>IF(ISNUMBER(AG188),IF(AF179&lt;AG188,"yes","no"),"no")</f>
        <v>no</v>
      </c>
    </row>
    <row r="190" spans="1:33" ht="21" customHeight="1" x14ac:dyDescent="0.25">
      <c r="A190" s="28" t="s">
        <v>286</v>
      </c>
      <c r="B190" s="28">
        <f>B189</f>
        <v>0.1329646335228801</v>
      </c>
      <c r="C190" s="28">
        <f t="shared" ref="C190:D190" si="36">C189</f>
        <v>0.73659166295329259</v>
      </c>
      <c r="D190" s="28">
        <f t="shared" si="36"/>
        <v>20</v>
      </c>
      <c r="E190" s="28">
        <f>TDIST(C190,D190,2)</f>
        <v>0.46992346689225517</v>
      </c>
      <c r="F190" s="28">
        <f>TINV(F187,D190)</f>
        <v>2.0859634472658648</v>
      </c>
      <c r="G190" s="28">
        <f>(C183-C184)-F190*B190</f>
        <v>-0.17941872478723597</v>
      </c>
      <c r="H190" s="28">
        <f>(C183-C184)+F190*B190</f>
        <v>0.37530000582842271</v>
      </c>
      <c r="I190" s="28" t="str">
        <f>IF(E190&lt;F187,"yes","no")</f>
        <v>no</v>
      </c>
      <c r="J190" s="28">
        <f>J189</f>
        <v>0.16251724069481754</v>
      </c>
      <c r="K190" s="28"/>
      <c r="L190" s="28" t="s">
        <v>298</v>
      </c>
      <c r="M190" s="359">
        <f>M182*N182/2</f>
        <v>36</v>
      </c>
      <c r="N190" s="28"/>
      <c r="O190" s="28"/>
    </row>
    <row r="191" spans="1:33" ht="21" customHeight="1" x14ac:dyDescent="0.25">
      <c r="A191" s="354"/>
      <c r="B191" s="354"/>
      <c r="C191" s="354"/>
      <c r="D191" s="354"/>
      <c r="E191" s="354"/>
      <c r="F191" s="354"/>
      <c r="G191" s="354"/>
      <c r="H191" s="354"/>
      <c r="I191" s="354"/>
      <c r="J191" s="354"/>
      <c r="K191" s="28"/>
      <c r="L191" s="28" t="s">
        <v>299</v>
      </c>
      <c r="M191" s="359">
        <v>11.697485577301167</v>
      </c>
      <c r="N191" s="28" t="s">
        <v>300</v>
      </c>
      <c r="O191" s="28"/>
      <c r="AE191" s="1" t="s">
        <v>279</v>
      </c>
      <c r="AF191" s="345">
        <f>[1]!MANN_EXACT(N36:N43,N56:N59,1)</f>
        <v>0.46666666666666667</v>
      </c>
      <c r="AG191" s="345">
        <f>2*AF191</f>
        <v>0.93333333333333335</v>
      </c>
    </row>
    <row r="192" spans="1:33" ht="21" customHeight="1" thickBot="1" x14ac:dyDescent="0.3">
      <c r="A192" s="28" t="s">
        <v>287</v>
      </c>
      <c r="B192" s="28"/>
      <c r="C192" s="28"/>
      <c r="D192" s="28"/>
      <c r="E192" s="28" t="s">
        <v>274</v>
      </c>
      <c r="F192" s="28">
        <f>F187</f>
        <v>0.05</v>
      </c>
      <c r="G192" s="28"/>
      <c r="H192" s="28"/>
      <c r="I192" s="28"/>
      <c r="J192" s="28"/>
      <c r="K192" s="28"/>
      <c r="L192" s="28" t="s">
        <v>19</v>
      </c>
      <c r="M192" s="359">
        <f>ABS(STANDARDIZE(M189,M190,M191))</f>
        <v>0.85488457616950453</v>
      </c>
      <c r="N192" s="28"/>
      <c r="O192" s="28"/>
      <c r="AE192" s="1" t="s">
        <v>303</v>
      </c>
      <c r="AF192" s="347" t="str">
        <f>IF(AF191&lt;AF178,"yes","no")</f>
        <v>no</v>
      </c>
      <c r="AG192" s="347" t="str">
        <f>IF(AG191&lt;AF178,"yes","no")</f>
        <v>no</v>
      </c>
    </row>
    <row r="193" spans="1:33" ht="21" customHeight="1" thickTop="1" x14ac:dyDescent="0.25">
      <c r="A193" s="350" t="s">
        <v>275</v>
      </c>
      <c r="B193" s="350" t="s">
        <v>276</v>
      </c>
      <c r="C193" s="350" t="s">
        <v>277</v>
      </c>
      <c r="D193" s="350" t="s">
        <v>278</v>
      </c>
      <c r="E193" s="350" t="s">
        <v>279</v>
      </c>
      <c r="F193" s="350" t="s">
        <v>280</v>
      </c>
      <c r="G193" s="350" t="s">
        <v>281</v>
      </c>
      <c r="H193" s="350" t="s">
        <v>282</v>
      </c>
      <c r="I193" s="350" t="s">
        <v>283</v>
      </c>
      <c r="J193" s="350" t="s">
        <v>284</v>
      </c>
      <c r="K193" s="28"/>
      <c r="L193" s="28" t="s">
        <v>284</v>
      </c>
      <c r="M193" s="359">
        <f>M192/SQRT(M182+N182)</f>
        <v>0.18226200404070078</v>
      </c>
      <c r="N193" s="28"/>
      <c r="O193" s="28"/>
    </row>
    <row r="194" spans="1:33" ht="21" customHeight="1" x14ac:dyDescent="0.25">
      <c r="A194" s="28" t="s">
        <v>285</v>
      </c>
      <c r="B194" s="28">
        <f>SQRT(D183/B183+D184/B184)</f>
        <v>7.6669773559952525E-2</v>
      </c>
      <c r="C194" s="28">
        <f>(ABS(C183-C184-E181))/B194</f>
        <v>1.2774348478283677</v>
      </c>
      <c r="D194" s="28">
        <f>(D183/B183+D184/B184)^2/((D183/B183)^2/(B183-1)+(D184/B184)^2/(B184-1))</f>
        <v>14.452831882654369</v>
      </c>
      <c r="E194" s="28">
        <f>TDIST(C194,ROUND(D194,0),1)</f>
        <v>0.11111352751510355</v>
      </c>
      <c r="F194" s="28">
        <f>TINV(F192*2,ROUND(D194,0))</f>
        <v>1.7613101357748921</v>
      </c>
      <c r="G194" s="28"/>
      <c r="H194" s="28"/>
      <c r="I194" s="28" t="str">
        <f>IF(E194&lt;F192,"yes","no")</f>
        <v>no</v>
      </c>
      <c r="J194" s="28">
        <f>SQRT(C194^2/(C194^2+D194))</f>
        <v>0.31851703121633684</v>
      </c>
      <c r="K194" s="28"/>
      <c r="L194" s="28" t="s">
        <v>301</v>
      </c>
      <c r="M194" s="358">
        <f>M190+M191*NORMSINV(M188)</f>
        <v>16.759348421963633</v>
      </c>
      <c r="N194" s="352">
        <f>M190+M191*NORMSINV(M188/2)</f>
        <v>13.073349558812993</v>
      </c>
      <c r="O194" s="28"/>
      <c r="T194" s="349" t="s">
        <v>316</v>
      </c>
    </row>
    <row r="195" spans="1:33" ht="21" customHeight="1" x14ac:dyDescent="0.25">
      <c r="A195" s="28" t="s">
        <v>286</v>
      </c>
      <c r="B195" s="28">
        <f>B194</f>
        <v>7.6669773559952525E-2</v>
      </c>
      <c r="C195" s="28">
        <f t="shared" ref="C195:D195" si="37">C194</f>
        <v>1.2774348478283677</v>
      </c>
      <c r="D195" s="28">
        <f t="shared" si="37"/>
        <v>14.452831882654369</v>
      </c>
      <c r="E195" s="28">
        <f>TDIST(C195,ROUND(D195,0),2)</f>
        <v>0.22222705503020709</v>
      </c>
      <c r="F195" s="28">
        <f>TINV(F192,ROUND(D195,0))</f>
        <v>2.1447866879178044</v>
      </c>
      <c r="G195" s="28">
        <f>(C183-C184)-F195*B195</f>
        <v>-6.6499669176465243E-2</v>
      </c>
      <c r="H195" s="28">
        <f>(C183-C184)+F195*B195</f>
        <v>0.26238095021765195</v>
      </c>
      <c r="I195" s="28" t="str">
        <f>IF(E195&lt;F192,"yes","no")</f>
        <v>no</v>
      </c>
      <c r="J195" s="28">
        <f>J194</f>
        <v>0.31851703121633684</v>
      </c>
      <c r="K195" s="28"/>
      <c r="L195" s="28" t="s">
        <v>279</v>
      </c>
      <c r="M195" s="359">
        <f>1-NORMSDIST(M192)</f>
        <v>0.19630752505556692</v>
      </c>
      <c r="N195" s="339">
        <f>2*M195</f>
        <v>0.39261505011113385</v>
      </c>
      <c r="O195" s="28"/>
      <c r="T195" s="1" t="s">
        <v>263</v>
      </c>
      <c r="AE195" s="1" t="s">
        <v>288</v>
      </c>
    </row>
    <row r="196" spans="1:33" ht="21" customHeight="1" x14ac:dyDescent="0.25">
      <c r="A196" s="354"/>
      <c r="B196" s="354"/>
      <c r="C196" s="354"/>
      <c r="D196" s="354"/>
      <c r="E196" s="354"/>
      <c r="F196" s="354"/>
      <c r="G196" s="354"/>
      <c r="H196" s="354"/>
      <c r="I196" s="354"/>
      <c r="J196" s="354"/>
      <c r="K196" s="28"/>
      <c r="L196" s="28" t="s">
        <v>302</v>
      </c>
      <c r="M196" s="360" t="str">
        <f>IF(M195&lt;M188,"yes","no")</f>
        <v>no</v>
      </c>
      <c r="N196" s="361" t="str">
        <f>IF(N195&lt;M188,"yes","no")</f>
        <v>no</v>
      </c>
      <c r="O196" s="28"/>
    </row>
    <row r="197" spans="1:33" ht="21" customHeight="1" thickBot="1" x14ac:dyDescent="0.3">
      <c r="A197" s="28"/>
      <c r="B197" s="28"/>
      <c r="C197" s="28"/>
      <c r="D197" s="28"/>
      <c r="E197" s="28"/>
      <c r="F197" s="28"/>
      <c r="G197" s="28"/>
      <c r="H197" s="28"/>
      <c r="I197" s="28"/>
      <c r="J197" s="28"/>
      <c r="K197" s="28"/>
      <c r="L197" s="28"/>
      <c r="M197" s="28"/>
      <c r="N197" s="28"/>
      <c r="O197" s="28"/>
      <c r="T197" s="1" t="s">
        <v>264</v>
      </c>
      <c r="W197" s="1" t="s">
        <v>265</v>
      </c>
      <c r="X197" s="1">
        <v>0</v>
      </c>
      <c r="AF197" s="1" t="s">
        <v>289</v>
      </c>
      <c r="AG197" s="1" t="s">
        <v>290</v>
      </c>
    </row>
    <row r="198" spans="1:33" ht="21" customHeight="1" thickTop="1" x14ac:dyDescent="0.25">
      <c r="A198" s="28"/>
      <c r="B198" s="28"/>
      <c r="C198" s="28"/>
      <c r="D198" s="28"/>
      <c r="E198" s="28"/>
      <c r="F198" s="28"/>
      <c r="G198" s="28"/>
      <c r="H198" s="28"/>
      <c r="I198" s="28"/>
      <c r="J198" s="28"/>
      <c r="K198" s="28"/>
      <c r="L198" s="28" t="s">
        <v>301</v>
      </c>
      <c r="M198" s="358">
        <f>[1]!MCRIT(M182,N182,M188,1)</f>
        <v>16</v>
      </c>
      <c r="N198" s="358">
        <f>[1]!MCRIT(M182,N182,M188,2)</f>
        <v>12</v>
      </c>
      <c r="O198" s="28"/>
      <c r="T198" s="332" t="s">
        <v>266</v>
      </c>
      <c r="U198" s="332" t="s">
        <v>267</v>
      </c>
      <c r="V198" s="332" t="s">
        <v>117</v>
      </c>
      <c r="W198" s="332" t="s">
        <v>268</v>
      </c>
      <c r="X198" s="332" t="s">
        <v>269</v>
      </c>
      <c r="AE198" s="1" t="s">
        <v>291</v>
      </c>
      <c r="AF198" s="336">
        <f>COUNT(O36:O43)</f>
        <v>8</v>
      </c>
      <c r="AG198" s="337">
        <f>COUNT(O56:O59)</f>
        <v>4</v>
      </c>
    </row>
    <row r="199" spans="1:33" ht="21" customHeight="1" x14ac:dyDescent="0.25">
      <c r="A199" s="28"/>
      <c r="B199" s="28"/>
      <c r="C199" s="28"/>
      <c r="D199" s="28"/>
      <c r="E199" s="28"/>
      <c r="F199" s="28"/>
      <c r="G199" s="28"/>
      <c r="H199" s="28"/>
      <c r="I199" s="28"/>
      <c r="J199" s="28"/>
      <c r="K199" s="28"/>
      <c r="L199" s="28" t="s">
        <v>311</v>
      </c>
      <c r="M199" s="360" t="str">
        <f>IF(ISNUMBER(M198),IF(M189&lt;M198,"yes","no"),"no")</f>
        <v>no</v>
      </c>
      <c r="N199" s="360" t="str">
        <f>IF(ISNUMBER(N198),IF(M189&lt;N198,"yes","no"),"no")</f>
        <v>no</v>
      </c>
      <c r="O199" s="28"/>
      <c r="T199" s="1" t="s">
        <v>270</v>
      </c>
      <c r="U199" s="1">
        <f>COUNT(O36:O43)</f>
        <v>8</v>
      </c>
      <c r="V199" s="64">
        <f>AVERAGE(O36:O43)</f>
        <v>2.548747846864353</v>
      </c>
      <c r="W199" s="1">
        <f>VAR(O36:O43)</f>
        <v>1.4566421776346674E-3</v>
      </c>
      <c r="AE199" s="1" t="s">
        <v>292</v>
      </c>
      <c r="AF199" s="338">
        <f>MEDIAN(O36:O43)</f>
        <v>2.5438907089047711</v>
      </c>
      <c r="AG199" s="362">
        <f>MEDIAN(O56:O59)</f>
        <v>2.455162762268948</v>
      </c>
    </row>
    <row r="200" spans="1:33" ht="21" customHeight="1" x14ac:dyDescent="0.25">
      <c r="A200" s="28"/>
      <c r="B200" s="28"/>
      <c r="C200" s="28"/>
      <c r="D200" s="28"/>
      <c r="E200" s="28"/>
      <c r="F200" s="28"/>
      <c r="G200" s="28"/>
      <c r="H200" s="28"/>
      <c r="I200" s="28"/>
      <c r="J200" s="28"/>
      <c r="K200" s="28"/>
      <c r="L200" s="28"/>
      <c r="M200" s="28"/>
      <c r="N200" s="28"/>
      <c r="O200" s="28"/>
      <c r="T200" s="1" t="s">
        <v>271</v>
      </c>
      <c r="U200" s="1">
        <f>COUNT(O56:O59)</f>
        <v>4</v>
      </c>
      <c r="V200" s="64">
        <f>AVERAGE(O56:O59)</f>
        <v>2.4688017876784629</v>
      </c>
      <c r="W200" s="1">
        <f>VAR(O56:O59)</f>
        <v>8.7283810134629967E-3</v>
      </c>
      <c r="AE200" s="1" t="s">
        <v>293</v>
      </c>
      <c r="AF200" s="340">
        <f>[1]!RANK_SUM(O36:O43,O56:O59,1)</f>
        <v>60</v>
      </c>
      <c r="AG200" s="341">
        <f>[1]!RANK_SUM(O56:O59,O36:O43,1)</f>
        <v>18</v>
      </c>
    </row>
    <row r="201" spans="1:33" ht="21" customHeight="1" x14ac:dyDescent="0.25">
      <c r="A201" s="28"/>
      <c r="B201" s="28"/>
      <c r="C201" s="28"/>
      <c r="D201" s="28"/>
      <c r="E201" s="28"/>
      <c r="F201" s="28"/>
      <c r="G201" s="28"/>
      <c r="H201" s="28"/>
      <c r="I201" s="28"/>
      <c r="J201" s="28"/>
      <c r="K201" s="28"/>
      <c r="L201" s="28" t="s">
        <v>279</v>
      </c>
      <c r="M201" s="358">
        <f>[1]!MANN_EXACT(O6:O23,O56:O59,1)</f>
        <v>0.21708817498291183</v>
      </c>
      <c r="N201" s="358">
        <f>2*M201</f>
        <v>0.43417634996582366</v>
      </c>
      <c r="O201" s="28"/>
      <c r="T201" s="334" t="s">
        <v>272</v>
      </c>
      <c r="U201" s="334"/>
      <c r="V201" s="334"/>
      <c r="W201" s="334">
        <f>((U199-1)*W199+(U200-1)*W200)/(U199+U200-2)</f>
        <v>3.6381638283831661E-3</v>
      </c>
      <c r="X201" s="334">
        <f>ABS(V199-V200-X197)/SQRT(W201)</f>
        <v>1.3254273712604554</v>
      </c>
      <c r="AE201" s="1" t="s">
        <v>294</v>
      </c>
      <c r="AF201" s="342">
        <f>AF198*AG198+AF198*(AF198+1)/2-AF200</f>
        <v>8</v>
      </c>
      <c r="AG201" s="343">
        <f>AF198*AG198+AG198*(AG198+1)/2-AG200</f>
        <v>24</v>
      </c>
    </row>
    <row r="202" spans="1:33" ht="21" customHeight="1" x14ac:dyDescent="0.25">
      <c r="A202" s="28"/>
      <c r="B202" s="28"/>
      <c r="C202" s="28"/>
      <c r="D202" s="28"/>
      <c r="E202" s="28"/>
      <c r="F202" s="28"/>
      <c r="G202" s="28"/>
      <c r="H202" s="28"/>
      <c r="I202" s="28"/>
      <c r="J202" s="28"/>
      <c r="K202" s="28"/>
      <c r="L202" s="28" t="s">
        <v>303</v>
      </c>
      <c r="M202" s="360" t="str">
        <f>IF(M201&lt;M188,"yes","no")</f>
        <v>no</v>
      </c>
      <c r="N202" s="360" t="str">
        <f>IF(N201&lt;M188,"yes","no")</f>
        <v>no</v>
      </c>
      <c r="O202" s="28"/>
    </row>
    <row r="203" spans="1:33" ht="21" customHeight="1" thickBot="1" x14ac:dyDescent="0.3">
      <c r="A203" s="28"/>
      <c r="B203" s="28"/>
      <c r="C203" s="28"/>
      <c r="D203" s="28"/>
      <c r="E203" s="28"/>
      <c r="F203" s="28"/>
      <c r="G203" s="28"/>
      <c r="H203" s="28"/>
      <c r="I203" s="28"/>
      <c r="J203" s="28"/>
      <c r="K203" s="28"/>
      <c r="L203" s="28"/>
      <c r="M203" s="28"/>
      <c r="N203" s="28"/>
      <c r="O203" s="28"/>
      <c r="T203" s="1" t="s">
        <v>273</v>
      </c>
      <c r="X203" s="1" t="s">
        <v>274</v>
      </c>
      <c r="Y203" s="1">
        <v>0.05</v>
      </c>
      <c r="AF203" s="344" t="s">
        <v>295</v>
      </c>
      <c r="AG203" s="344" t="s">
        <v>296</v>
      </c>
    </row>
    <row r="204" spans="1:33" ht="21" customHeight="1" thickTop="1" x14ac:dyDescent="0.25">
      <c r="A204" s="349" t="s">
        <v>309</v>
      </c>
      <c r="B204" s="28"/>
      <c r="C204" s="28"/>
      <c r="D204" s="28"/>
      <c r="E204" s="28"/>
      <c r="F204" s="28"/>
      <c r="G204" s="28"/>
      <c r="H204" s="28"/>
      <c r="I204" s="28"/>
      <c r="J204" s="28"/>
      <c r="K204" s="28"/>
      <c r="L204" s="28"/>
      <c r="M204" s="28"/>
      <c r="N204" s="28"/>
      <c r="O204" s="28"/>
      <c r="T204" s="332" t="s">
        <v>275</v>
      </c>
      <c r="U204" s="332" t="s">
        <v>276</v>
      </c>
      <c r="V204" s="332" t="s">
        <v>277</v>
      </c>
      <c r="W204" s="332" t="s">
        <v>278</v>
      </c>
      <c r="X204" s="332" t="s">
        <v>279</v>
      </c>
      <c r="Y204" s="332" t="s">
        <v>280</v>
      </c>
      <c r="Z204" s="332" t="s">
        <v>281</v>
      </c>
      <c r="AA204" s="332" t="s">
        <v>282</v>
      </c>
      <c r="AB204" s="332" t="s">
        <v>283</v>
      </c>
      <c r="AC204" s="332" t="s">
        <v>284</v>
      </c>
      <c r="AE204" s="1" t="s">
        <v>297</v>
      </c>
      <c r="AF204" s="345">
        <v>0.05</v>
      </c>
    </row>
    <row r="205" spans="1:33" ht="21" customHeight="1" x14ac:dyDescent="0.25">
      <c r="A205" s="28" t="s">
        <v>263</v>
      </c>
      <c r="B205" s="28"/>
      <c r="C205" s="28"/>
      <c r="D205" s="28"/>
      <c r="E205" s="28"/>
      <c r="F205" s="28"/>
      <c r="G205" s="28"/>
      <c r="H205" s="28"/>
      <c r="I205" s="28"/>
      <c r="J205" s="28"/>
      <c r="K205" s="28"/>
      <c r="L205" s="28" t="s">
        <v>288</v>
      </c>
      <c r="M205" s="28"/>
      <c r="N205" s="28"/>
      <c r="O205" s="28"/>
      <c r="T205" s="1" t="s">
        <v>285</v>
      </c>
      <c r="U205" s="1">
        <f>SQRT(W201*(1/U199+1/U200))</f>
        <v>3.6936586681008944E-2</v>
      </c>
      <c r="V205" s="1">
        <f>(ABS(V199-V200-X197))/U205</f>
        <v>2.164413833804371</v>
      </c>
      <c r="W205" s="1">
        <f>U199+U200-2</f>
        <v>10</v>
      </c>
      <c r="X205" s="1">
        <f>TDIST(V205,W205,1)</f>
        <v>2.7846469834822186E-2</v>
      </c>
      <c r="Y205" s="1">
        <f>TINV(Y203*2,W205)</f>
        <v>1.812461122811676</v>
      </c>
      <c r="AB205" s="327" t="str">
        <f>IF(X205&lt;Y203,"yes","no")</f>
        <v>yes</v>
      </c>
      <c r="AC205" s="1">
        <f>SQRT(V205^2/(V205^2+W205))</f>
        <v>0.56481724795806354</v>
      </c>
      <c r="AE205" s="1" t="s">
        <v>294</v>
      </c>
      <c r="AF205" s="346">
        <f>MIN(AF201,AG201)</f>
        <v>8</v>
      </c>
    </row>
    <row r="206" spans="1:33" ht="21" customHeight="1" x14ac:dyDescent="0.25">
      <c r="A206" s="28"/>
      <c r="B206" s="28"/>
      <c r="C206" s="28"/>
      <c r="D206" s="28"/>
      <c r="E206" s="28"/>
      <c r="F206" s="28"/>
      <c r="G206" s="28"/>
      <c r="H206" s="28"/>
      <c r="I206" s="28"/>
      <c r="J206" s="28"/>
      <c r="K206" s="28"/>
      <c r="L206" s="28"/>
      <c r="M206" s="28"/>
      <c r="N206" s="28"/>
      <c r="O206" s="28"/>
      <c r="T206" s="1" t="s">
        <v>286</v>
      </c>
      <c r="U206" s="1">
        <f>U205</f>
        <v>3.6936586681008944E-2</v>
      </c>
      <c r="V206" s="327">
        <f t="shared" ref="V206:W206" si="38">V205</f>
        <v>2.164413833804371</v>
      </c>
      <c r="W206" s="327">
        <f t="shared" si="38"/>
        <v>10</v>
      </c>
      <c r="X206" s="1">
        <f>TDIST(V206,W206,2)</f>
        <v>5.5692939669644372E-2</v>
      </c>
      <c r="Y206" s="1">
        <f>TINV(Y203,W206)</f>
        <v>2.2281388519862744</v>
      </c>
      <c r="Z206" s="1">
        <f>(V199-V200)-Y206*U206</f>
        <v>-2.3537846578247368E-3</v>
      </c>
      <c r="AA206" s="1">
        <f>(V199-V200)+Y206*U206</f>
        <v>0.16224590302960482</v>
      </c>
      <c r="AB206" s="327" t="str">
        <f>IF(X206&lt;Y203,"yes","no")</f>
        <v>no</v>
      </c>
      <c r="AC206" s="1">
        <f>AC205</f>
        <v>0.56481724795806354</v>
      </c>
      <c r="AE206" s="1" t="s">
        <v>298</v>
      </c>
      <c r="AF206" s="346">
        <f>AF198*AG198/2</f>
        <v>16</v>
      </c>
    </row>
    <row r="207" spans="1:33" ht="21" customHeight="1" thickBot="1" x14ac:dyDescent="0.3">
      <c r="A207" s="28" t="s">
        <v>264</v>
      </c>
      <c r="B207" s="28"/>
      <c r="C207" s="28"/>
      <c r="D207" s="28" t="s">
        <v>265</v>
      </c>
      <c r="E207" s="28">
        <v>0</v>
      </c>
      <c r="F207" s="28"/>
      <c r="G207" s="28"/>
      <c r="H207" s="28"/>
      <c r="I207" s="28"/>
      <c r="J207" s="28"/>
      <c r="K207" s="28"/>
      <c r="L207" s="28"/>
      <c r="M207" s="28" t="s">
        <v>289</v>
      </c>
      <c r="N207" s="28" t="s">
        <v>290</v>
      </c>
      <c r="O207" s="28"/>
      <c r="T207" s="334"/>
      <c r="U207" s="334"/>
      <c r="V207" s="334"/>
      <c r="W207" s="334"/>
      <c r="X207" s="334"/>
      <c r="Y207" s="334"/>
      <c r="Z207" s="334"/>
      <c r="AA207" s="334"/>
      <c r="AB207" s="334"/>
      <c r="AC207" s="334"/>
      <c r="AE207" s="1" t="s">
        <v>299</v>
      </c>
      <c r="AF207" s="346">
        <f>SQRT(AF206*(AF198+AG198+1)/6*(1-[1]!TiesCorrection(O36:O43,O56:O59,2)/((AF198+AG198)^3-AF198-AG198)))</f>
        <v>5.8465218875685547</v>
      </c>
      <c r="AG207" s="1" t="s">
        <v>300</v>
      </c>
    </row>
    <row r="208" spans="1:33" ht="21" customHeight="1" thickTop="1" thickBot="1" x14ac:dyDescent="0.3">
      <c r="A208" s="350" t="s">
        <v>266</v>
      </c>
      <c r="B208" s="350" t="s">
        <v>267</v>
      </c>
      <c r="C208" s="350" t="s">
        <v>117</v>
      </c>
      <c r="D208" s="350" t="s">
        <v>268</v>
      </c>
      <c r="E208" s="350" t="s">
        <v>269</v>
      </c>
      <c r="F208" s="28"/>
      <c r="G208" s="28"/>
      <c r="H208" s="28"/>
      <c r="I208" s="28"/>
      <c r="J208" s="28"/>
      <c r="K208" s="28"/>
      <c r="L208" s="28" t="s">
        <v>291</v>
      </c>
      <c r="M208" s="351">
        <f>COUNT(P6:P23)</f>
        <v>18</v>
      </c>
      <c r="N208" s="352">
        <f>COUNT(P56:P59)</f>
        <v>4</v>
      </c>
      <c r="O208" s="28"/>
      <c r="T208" s="1" t="s">
        <v>287</v>
      </c>
      <c r="X208" s="1" t="s">
        <v>274</v>
      </c>
      <c r="Y208" s="1">
        <f>Y203</f>
        <v>0.05</v>
      </c>
      <c r="AE208" s="1" t="s">
        <v>19</v>
      </c>
      <c r="AF208" s="346">
        <f>ABS(STANDARDIZE(AF205,AF206,AF207))</f>
        <v>1.3683349098564705</v>
      </c>
    </row>
    <row r="209" spans="1:33" ht="21" customHeight="1" thickTop="1" x14ac:dyDescent="0.25">
      <c r="A209" s="28" t="s">
        <v>270</v>
      </c>
      <c r="B209" s="28">
        <f>COUNT(P6:P23)</f>
        <v>18</v>
      </c>
      <c r="C209" s="28">
        <f>AVERAGE(P6:P23)</f>
        <v>3.5521359277519369</v>
      </c>
      <c r="D209" s="28">
        <f>VAR(P6:P23)</f>
        <v>5.1542815913171079E-2</v>
      </c>
      <c r="E209" s="28"/>
      <c r="F209" s="28"/>
      <c r="G209" s="28"/>
      <c r="H209" s="28"/>
      <c r="I209" s="28"/>
      <c r="J209" s="28"/>
      <c r="K209" s="28"/>
      <c r="L209" s="28" t="s">
        <v>292</v>
      </c>
      <c r="M209" s="353">
        <f>MEDIAN(P6:P23)</f>
        <v>3.5501852725587817</v>
      </c>
      <c r="N209" s="339">
        <f>MEDIAN(P56:P59)</f>
        <v>3.8099899029165267</v>
      </c>
      <c r="O209" s="28"/>
      <c r="T209" s="332" t="s">
        <v>275</v>
      </c>
      <c r="U209" s="332" t="s">
        <v>276</v>
      </c>
      <c r="V209" s="332" t="s">
        <v>277</v>
      </c>
      <c r="W209" s="332" t="s">
        <v>278</v>
      </c>
      <c r="X209" s="332" t="s">
        <v>279</v>
      </c>
      <c r="Y209" s="332" t="s">
        <v>280</v>
      </c>
      <c r="Z209" s="332" t="s">
        <v>281</v>
      </c>
      <c r="AA209" s="332" t="s">
        <v>282</v>
      </c>
      <c r="AB209" s="332" t="s">
        <v>283</v>
      </c>
      <c r="AC209" s="332" t="s">
        <v>284</v>
      </c>
      <c r="AE209" s="1" t="s">
        <v>284</v>
      </c>
      <c r="AF209" s="346">
        <f>AF208/SQRT(AF198+AG198)</f>
        <v>0.3950042642735978</v>
      </c>
    </row>
    <row r="210" spans="1:33" ht="21" customHeight="1" x14ac:dyDescent="0.25">
      <c r="A210" s="28" t="s">
        <v>271</v>
      </c>
      <c r="B210" s="28">
        <f>COUNT(P56:P59)</f>
        <v>4</v>
      </c>
      <c r="C210" s="28">
        <f>AVERAGE(P56:P59)</f>
        <v>3.7664076762318892</v>
      </c>
      <c r="D210" s="28">
        <f>VAR(P56:P59)</f>
        <v>0.13599435427560599</v>
      </c>
      <c r="E210" s="28"/>
      <c r="F210" s="28"/>
      <c r="G210" s="28"/>
      <c r="H210" s="28"/>
      <c r="I210" s="28"/>
      <c r="J210" s="28"/>
      <c r="K210" s="28"/>
      <c r="L210" s="28" t="s">
        <v>293</v>
      </c>
      <c r="M210" s="353">
        <v>194</v>
      </c>
      <c r="N210" s="339">
        <v>59</v>
      </c>
      <c r="O210" s="28"/>
      <c r="T210" s="1" t="s">
        <v>285</v>
      </c>
      <c r="U210" s="1">
        <f>SQRT(W199/U199+W200/U200)</f>
        <v>4.862278813036211E-2</v>
      </c>
      <c r="V210" s="1">
        <f>(ABS(V199-V200-X197))/U210</f>
        <v>1.6442096856220461</v>
      </c>
      <c r="W210" s="1">
        <f>(W199/U199+W200/U200)^2/((W199/U199)^2/(U199-1)+(W200/U200)^2/(U200-1))</f>
        <v>3.5110682085246538</v>
      </c>
      <c r="X210" s="1">
        <f>TDIST(V210,ROUND(W210,0),1)</f>
        <v>8.7739009376752636E-2</v>
      </c>
      <c r="Y210" s="1">
        <f>TINV(Y208*2,ROUND(W210,0))</f>
        <v>2.1318467863266499</v>
      </c>
      <c r="AB210" s="327" t="str">
        <f>IF(X210&lt;Y208,"yes","no")</f>
        <v>no</v>
      </c>
      <c r="AC210" s="1">
        <f>SQRT(V210^2/(V210^2+W210))</f>
        <v>0.65956002560516547</v>
      </c>
      <c r="AE210" s="1" t="s">
        <v>301</v>
      </c>
      <c r="AF210" s="345">
        <f>AF206+AF207*NORMSINV(AF204)</f>
        <v>6.3833272681816933</v>
      </c>
      <c r="AG210" s="337">
        <f>AF206+AF207*NORMSINV(AF204/2)</f>
        <v>4.5410276655404989</v>
      </c>
    </row>
    <row r="211" spans="1:33" ht="21" customHeight="1" x14ac:dyDescent="0.25">
      <c r="A211" s="354" t="s">
        <v>272</v>
      </c>
      <c r="B211" s="354"/>
      <c r="C211" s="354"/>
      <c r="D211" s="354">
        <f>((B209-1)*D209+(B210-1)*D210)/(B209+B210-2)</f>
        <v>6.4210546667536311E-2</v>
      </c>
      <c r="E211" s="354">
        <f>ABS(C209-C210-E207)/SQRT(D211)</f>
        <v>0.84559368282401448</v>
      </c>
      <c r="F211" s="28"/>
      <c r="G211" s="28"/>
      <c r="H211" s="28"/>
      <c r="I211" s="28"/>
      <c r="J211" s="28"/>
      <c r="K211" s="28"/>
      <c r="L211" s="28" t="s">
        <v>294</v>
      </c>
      <c r="M211" s="355">
        <f>M208*N208+M208*(M208+1)/2-M210</f>
        <v>49</v>
      </c>
      <c r="N211" s="356">
        <f>M208*N208+N208*(N208+1)/2-N210</f>
        <v>23</v>
      </c>
      <c r="O211" s="28"/>
      <c r="T211" s="1" t="s">
        <v>286</v>
      </c>
      <c r="U211" s="1">
        <f>U210</f>
        <v>4.862278813036211E-2</v>
      </c>
      <c r="V211" s="327">
        <f t="shared" ref="V211:W211" si="39">V210</f>
        <v>1.6442096856220461</v>
      </c>
      <c r="W211" s="327">
        <f t="shared" si="39"/>
        <v>3.5110682085246538</v>
      </c>
      <c r="X211" s="1">
        <f>TDIST(V211,ROUND(W211,0),2)</f>
        <v>0.17547801875350527</v>
      </c>
      <c r="Y211" s="1">
        <f>TINV(Y208,ROUND(W211,0))</f>
        <v>2.7764451051977934</v>
      </c>
      <c r="Z211" s="1">
        <f>(V199-V200)-Y211*U211</f>
        <v>-5.5052442919723221E-2</v>
      </c>
      <c r="AA211" s="1">
        <f>(V199-V200)+Y211*U211</f>
        <v>0.2149445612915033</v>
      </c>
      <c r="AB211" s="327" t="str">
        <f>IF(X211&lt;Y208,"yes","no")</f>
        <v>no</v>
      </c>
      <c r="AC211" s="1">
        <f>AC210</f>
        <v>0.65956002560516547</v>
      </c>
      <c r="AE211" s="1" t="s">
        <v>279</v>
      </c>
      <c r="AF211" s="346">
        <f>1-NORMSDIST(AF208)</f>
        <v>8.5603634113277538E-2</v>
      </c>
      <c r="AG211" s="341">
        <f>2*AF211</f>
        <v>0.17120726822655508</v>
      </c>
    </row>
    <row r="212" spans="1:33" ht="21" customHeight="1" x14ac:dyDescent="0.25">
      <c r="A212" s="28"/>
      <c r="B212" s="28"/>
      <c r="C212" s="28"/>
      <c r="D212" s="28"/>
      <c r="E212" s="28"/>
      <c r="F212" s="28"/>
      <c r="G212" s="28"/>
      <c r="H212" s="28"/>
      <c r="I212" s="28"/>
      <c r="J212" s="28"/>
      <c r="K212" s="28"/>
      <c r="L212" s="28"/>
      <c r="M212" s="28"/>
      <c r="N212" s="28"/>
      <c r="O212" s="28"/>
      <c r="T212" s="334"/>
      <c r="U212" s="334"/>
      <c r="V212" s="334"/>
      <c r="W212" s="334"/>
      <c r="X212" s="334"/>
      <c r="Y212" s="334"/>
      <c r="Z212" s="334"/>
      <c r="AA212" s="334"/>
      <c r="AB212" s="334"/>
      <c r="AC212" s="334"/>
      <c r="AE212" s="1" t="s">
        <v>302</v>
      </c>
      <c r="AF212" s="347" t="str">
        <f>IF(AF211&lt;AF204,"yes","no")</f>
        <v>no</v>
      </c>
      <c r="AG212" s="348" t="str">
        <f>IF(AG211&lt;AF204,"yes","no")</f>
        <v>no</v>
      </c>
    </row>
    <row r="213" spans="1:33" ht="21" customHeight="1" thickBot="1" x14ac:dyDescent="0.3">
      <c r="A213" s="28" t="s">
        <v>273</v>
      </c>
      <c r="B213" s="28"/>
      <c r="C213" s="28"/>
      <c r="D213" s="28"/>
      <c r="E213" s="28" t="s">
        <v>274</v>
      </c>
      <c r="F213" s="28">
        <v>0.05</v>
      </c>
      <c r="G213" s="28"/>
      <c r="H213" s="28"/>
      <c r="I213" s="28"/>
      <c r="J213" s="28"/>
      <c r="K213" s="28"/>
      <c r="L213" s="28"/>
      <c r="M213" s="357" t="s">
        <v>295</v>
      </c>
      <c r="N213" s="357" t="s">
        <v>296</v>
      </c>
      <c r="O213" s="28"/>
    </row>
    <row r="214" spans="1:33" ht="21" customHeight="1" thickTop="1" x14ac:dyDescent="0.25">
      <c r="A214" s="350" t="s">
        <v>275</v>
      </c>
      <c r="B214" s="350" t="s">
        <v>276</v>
      </c>
      <c r="C214" s="350" t="s">
        <v>277</v>
      </c>
      <c r="D214" s="350" t="s">
        <v>278</v>
      </c>
      <c r="E214" s="350" t="s">
        <v>279</v>
      </c>
      <c r="F214" s="350" t="s">
        <v>280</v>
      </c>
      <c r="G214" s="350" t="s">
        <v>281</v>
      </c>
      <c r="H214" s="350" t="s">
        <v>282</v>
      </c>
      <c r="I214" s="350" t="s">
        <v>283</v>
      </c>
      <c r="J214" s="350" t="s">
        <v>284</v>
      </c>
      <c r="K214" s="28"/>
      <c r="L214" s="28" t="s">
        <v>297</v>
      </c>
      <c r="M214" s="358">
        <v>0.05</v>
      </c>
      <c r="N214" s="28"/>
      <c r="O214" s="28"/>
      <c r="AE214" s="1" t="s">
        <v>301</v>
      </c>
      <c r="AF214" s="345">
        <f>[1]!MCRIT(AF198,AG198,AF204,1)</f>
        <v>5</v>
      </c>
      <c r="AG214" s="345">
        <f>[1]!MCRIT(AF198,AG198,AF204,2)</f>
        <v>4</v>
      </c>
    </row>
    <row r="215" spans="1:33" ht="21" customHeight="1" x14ac:dyDescent="0.25">
      <c r="A215" s="28" t="s">
        <v>285</v>
      </c>
      <c r="B215" s="28">
        <f>SQRT(D211*(1/B209+1/B210))</f>
        <v>0.14007101505852304</v>
      </c>
      <c r="C215" s="28">
        <f>(ABS(C209-C210-E207))/B215</f>
        <v>1.5297365296483896</v>
      </c>
      <c r="D215" s="28">
        <f>B209+B210-2</f>
        <v>20</v>
      </c>
      <c r="E215" s="28">
        <f>TDIST(C215,D215,1)</f>
        <v>7.0872758160433591E-2</v>
      </c>
      <c r="F215" s="28">
        <f>TINV(F213*2,D215)</f>
        <v>1.7247182429207868</v>
      </c>
      <c r="G215" s="28"/>
      <c r="H215" s="28"/>
      <c r="I215" s="28" t="str">
        <f>IF(E215&lt;F213,"yes","no")</f>
        <v>no</v>
      </c>
      <c r="J215" s="28">
        <f>SQRT(C215^2/(C215^2+D215))</f>
        <v>0.32364890425581494</v>
      </c>
      <c r="K215" s="28"/>
      <c r="L215" s="28" t="s">
        <v>294</v>
      </c>
      <c r="M215" s="359">
        <f>MIN(M211,N211)</f>
        <v>23</v>
      </c>
      <c r="N215" s="28"/>
      <c r="O215" s="28"/>
      <c r="AE215" s="1" t="s">
        <v>311</v>
      </c>
      <c r="AF215" s="347" t="str">
        <f>IF(ISNUMBER(AF214),IF(AF205&lt;AF214,"yes","no"),"no")</f>
        <v>no</v>
      </c>
      <c r="AG215" s="347" t="str">
        <f>IF(ISNUMBER(AG214),IF(AF205&lt;AG214,"yes","no"),"no")</f>
        <v>no</v>
      </c>
    </row>
    <row r="216" spans="1:33" ht="21" customHeight="1" x14ac:dyDescent="0.25">
      <c r="A216" s="28" t="s">
        <v>286</v>
      </c>
      <c r="B216" s="28">
        <f>B215</f>
        <v>0.14007101505852304</v>
      </c>
      <c r="C216" s="28">
        <f t="shared" ref="C216:D216" si="40">C215</f>
        <v>1.5297365296483896</v>
      </c>
      <c r="D216" s="28">
        <f t="shared" si="40"/>
        <v>20</v>
      </c>
      <c r="E216" s="28">
        <f>TDIST(C216,D216,2)</f>
        <v>0.14174551632086718</v>
      </c>
      <c r="F216" s="28">
        <f>TINV(F213,D216)</f>
        <v>2.0859634472658648</v>
      </c>
      <c r="G216" s="28">
        <f>(C209-C210)-F216*B216</f>
        <v>-0.50645476591345795</v>
      </c>
      <c r="H216" s="28">
        <f>(C209-C210)+F216*B216</f>
        <v>7.7911268953553214E-2</v>
      </c>
      <c r="I216" s="28" t="str">
        <f>IF(E216&lt;F213,"yes","no")</f>
        <v>no</v>
      </c>
      <c r="J216" s="28">
        <f>J215</f>
        <v>0.32364890425581494</v>
      </c>
      <c r="K216" s="28"/>
      <c r="L216" s="28" t="s">
        <v>298</v>
      </c>
      <c r="M216" s="359">
        <f>M208*N208/2</f>
        <v>36</v>
      </c>
      <c r="N216" s="28"/>
      <c r="O216" s="28"/>
    </row>
    <row r="217" spans="1:33" ht="21" customHeight="1" x14ac:dyDescent="0.25">
      <c r="A217" s="354"/>
      <c r="B217" s="354"/>
      <c r="C217" s="354"/>
      <c r="D217" s="354"/>
      <c r="E217" s="354"/>
      <c r="F217" s="354"/>
      <c r="G217" s="354"/>
      <c r="H217" s="354"/>
      <c r="I217" s="354"/>
      <c r="J217" s="354"/>
      <c r="K217" s="28"/>
      <c r="L217" s="28" t="s">
        <v>299</v>
      </c>
      <c r="M217" s="359">
        <v>11.727423738079372</v>
      </c>
      <c r="N217" s="28" t="s">
        <v>300</v>
      </c>
      <c r="O217" s="28"/>
      <c r="AE217" s="1" t="s">
        <v>279</v>
      </c>
      <c r="AF217" s="345">
        <f>[1]!MANN_EXACT(O36:O43,O56:O59,1)</f>
        <v>0.10707070707070707</v>
      </c>
      <c r="AG217" s="345">
        <f>2*AF217</f>
        <v>0.21414141414141413</v>
      </c>
    </row>
    <row r="218" spans="1:33" ht="21" customHeight="1" thickBot="1" x14ac:dyDescent="0.3">
      <c r="A218" s="28" t="s">
        <v>287</v>
      </c>
      <c r="B218" s="28"/>
      <c r="C218" s="28"/>
      <c r="D218" s="28"/>
      <c r="E218" s="28" t="s">
        <v>274</v>
      </c>
      <c r="F218" s="28">
        <f>F213</f>
        <v>0.05</v>
      </c>
      <c r="G218" s="28"/>
      <c r="H218" s="28"/>
      <c r="I218" s="28"/>
      <c r="J218" s="28"/>
      <c r="K218" s="28"/>
      <c r="L218" s="28" t="s">
        <v>19</v>
      </c>
      <c r="M218" s="359">
        <f>ABS(STANDARDIZE(M215,M216,M217))</f>
        <v>1.1085128575842729</v>
      </c>
      <c r="N218" s="28"/>
      <c r="O218" s="28"/>
      <c r="AE218" s="1" t="s">
        <v>303</v>
      </c>
      <c r="AF218" s="347" t="str">
        <f>IF(AF217&lt;AF204,"yes","no")</f>
        <v>no</v>
      </c>
      <c r="AG218" s="347" t="str">
        <f>IF(AG217&lt;AF204,"yes","no")</f>
        <v>no</v>
      </c>
    </row>
    <row r="219" spans="1:33" ht="21" customHeight="1" thickTop="1" x14ac:dyDescent="0.25">
      <c r="A219" s="350" t="s">
        <v>275</v>
      </c>
      <c r="B219" s="350" t="s">
        <v>276</v>
      </c>
      <c r="C219" s="350" t="s">
        <v>277</v>
      </c>
      <c r="D219" s="350" t="s">
        <v>278</v>
      </c>
      <c r="E219" s="350" t="s">
        <v>279</v>
      </c>
      <c r="F219" s="350" t="s">
        <v>280</v>
      </c>
      <c r="G219" s="350" t="s">
        <v>281</v>
      </c>
      <c r="H219" s="350" t="s">
        <v>282</v>
      </c>
      <c r="I219" s="350" t="s">
        <v>283</v>
      </c>
      <c r="J219" s="350" t="s">
        <v>284</v>
      </c>
      <c r="K219" s="28"/>
      <c r="L219" s="28" t="s">
        <v>284</v>
      </c>
      <c r="M219" s="359">
        <f>M218/SQRT(M208+N208)</f>
        <v>0.23633573532637173</v>
      </c>
      <c r="N219" s="28"/>
      <c r="O219" s="28"/>
    </row>
    <row r="220" spans="1:33" ht="21" customHeight="1" x14ac:dyDescent="0.25">
      <c r="A220" s="28" t="s">
        <v>285</v>
      </c>
      <c r="B220" s="28">
        <f>SQRT(D209/B209+D210/B210)</f>
        <v>0.19199499561669686</v>
      </c>
      <c r="C220" s="28">
        <f>(ABS(C209-C210-E207))/B220</f>
        <v>1.1160277787017392</v>
      </c>
      <c r="D220" s="28">
        <f>(D209/B209+D210/B210)^2/((D209/B209)^2/(B209-1)+(D210/B210)^2/(B210-1))</f>
        <v>3.5222144620962998</v>
      </c>
      <c r="E220" s="28">
        <f>TDIST(C220,ROUND(D220,0),1)</f>
        <v>0.16346373070333009</v>
      </c>
      <c r="F220" s="28">
        <f>TINV(F218*2,ROUND(D220,0))</f>
        <v>2.1318467863266499</v>
      </c>
      <c r="G220" s="28"/>
      <c r="H220" s="28"/>
      <c r="I220" s="28" t="str">
        <f>IF(E220&lt;F218,"yes","no")</f>
        <v>no</v>
      </c>
      <c r="J220" s="28">
        <f>SQRT(C220^2/(C220^2+D220))</f>
        <v>0.51111551689637191</v>
      </c>
      <c r="K220" s="28"/>
      <c r="L220" s="28" t="s">
        <v>301</v>
      </c>
      <c r="M220" s="358">
        <f>M216+M217*NORMSINV(M214)</f>
        <v>16.710104529623347</v>
      </c>
      <c r="N220" s="352">
        <f>M216+M217*NORMSINV(M214/2)</f>
        <v>13.014671841924343</v>
      </c>
      <c r="O220" s="28"/>
    </row>
    <row r="221" spans="1:33" ht="21" customHeight="1" x14ac:dyDescent="0.25">
      <c r="A221" s="28" t="s">
        <v>286</v>
      </c>
      <c r="B221" s="28">
        <f>B220</f>
        <v>0.19199499561669686</v>
      </c>
      <c r="C221" s="28">
        <f t="shared" ref="C221:D221" si="41">C220</f>
        <v>1.1160277787017392</v>
      </c>
      <c r="D221" s="28">
        <f t="shared" si="41"/>
        <v>3.5222144620962998</v>
      </c>
      <c r="E221" s="28">
        <f>TDIST(C221,ROUND(D221,0),2)</f>
        <v>0.32692746140666018</v>
      </c>
      <c r="F221" s="28">
        <f>TINV(F218,ROUND(D221,0))</f>
        <v>2.7764451051977934</v>
      </c>
      <c r="G221" s="28">
        <f>(C209-C210)-F221*B221</f>
        <v>-0.74733531428240219</v>
      </c>
      <c r="H221" s="28">
        <f>(C209-C210)+F221*B221</f>
        <v>0.31879181732249751</v>
      </c>
      <c r="I221" s="28" t="str">
        <f>IF(E221&lt;F218,"yes","no")</f>
        <v>no</v>
      </c>
      <c r="J221" s="28">
        <f>J220</f>
        <v>0.51111551689637191</v>
      </c>
      <c r="K221" s="28"/>
      <c r="L221" s="28" t="s">
        <v>279</v>
      </c>
      <c r="M221" s="359">
        <f>1-NORMSDIST(M218)</f>
        <v>0.13382019470190243</v>
      </c>
      <c r="N221" s="339">
        <f>2*M221</f>
        <v>0.26764038940380486</v>
      </c>
      <c r="O221" s="28"/>
      <c r="T221" s="349" t="s">
        <v>317</v>
      </c>
    </row>
    <row r="222" spans="1:33" ht="21" customHeight="1" x14ac:dyDescent="0.25">
      <c r="A222" s="354"/>
      <c r="B222" s="354"/>
      <c r="C222" s="354"/>
      <c r="D222" s="354"/>
      <c r="E222" s="354"/>
      <c r="F222" s="354"/>
      <c r="G222" s="354"/>
      <c r="H222" s="354"/>
      <c r="I222" s="354"/>
      <c r="J222" s="354"/>
      <c r="K222" s="28"/>
      <c r="L222" s="28" t="s">
        <v>302</v>
      </c>
      <c r="M222" s="360" t="str">
        <f>IF(M221&lt;M214,"yes","no")</f>
        <v>no</v>
      </c>
      <c r="N222" s="361" t="str">
        <f>IF(N221&lt;M214,"yes","no")</f>
        <v>no</v>
      </c>
      <c r="O222" s="28"/>
      <c r="T222" s="1" t="s">
        <v>263</v>
      </c>
      <c r="AE222" s="1" t="s">
        <v>288</v>
      </c>
    </row>
    <row r="223" spans="1:33" ht="21" customHeight="1" x14ac:dyDescent="0.25">
      <c r="A223" s="28"/>
      <c r="B223" s="28"/>
      <c r="C223" s="28"/>
      <c r="D223" s="28"/>
      <c r="E223" s="28"/>
      <c r="F223" s="28"/>
      <c r="G223" s="28"/>
      <c r="H223" s="28"/>
      <c r="I223" s="28"/>
      <c r="J223" s="28"/>
      <c r="K223" s="28"/>
      <c r="L223" s="28"/>
      <c r="M223" s="28"/>
      <c r="N223" s="28"/>
      <c r="O223" s="28"/>
    </row>
    <row r="224" spans="1:33" ht="21" customHeight="1" thickBot="1" x14ac:dyDescent="0.3">
      <c r="A224" s="28"/>
      <c r="B224" s="28"/>
      <c r="C224" s="28"/>
      <c r="D224" s="28"/>
      <c r="E224" s="28"/>
      <c r="F224" s="28"/>
      <c r="G224" s="28"/>
      <c r="H224" s="28"/>
      <c r="I224" s="28"/>
      <c r="J224" s="28"/>
      <c r="K224" s="28"/>
      <c r="L224" s="28" t="s">
        <v>301</v>
      </c>
      <c r="M224" s="358">
        <f>[1]!MCRIT(M208,N208,M214,1)</f>
        <v>16</v>
      </c>
      <c r="N224" s="358">
        <f>[1]!MCRIT(M208,N208,M214,2)</f>
        <v>12</v>
      </c>
      <c r="O224" s="28"/>
      <c r="T224" s="1" t="s">
        <v>264</v>
      </c>
      <c r="W224" s="1" t="s">
        <v>265</v>
      </c>
      <c r="X224" s="1">
        <v>0</v>
      </c>
      <c r="AF224" s="1" t="s">
        <v>289</v>
      </c>
      <c r="AG224" s="1" t="s">
        <v>290</v>
      </c>
    </row>
    <row r="225" spans="1:33" ht="21" customHeight="1" thickTop="1" x14ac:dyDescent="0.25">
      <c r="A225" s="28"/>
      <c r="B225" s="28"/>
      <c r="C225" s="28"/>
      <c r="D225" s="28"/>
      <c r="E225" s="28"/>
      <c r="F225" s="28"/>
      <c r="G225" s="28"/>
      <c r="H225" s="28"/>
      <c r="I225" s="28"/>
      <c r="J225" s="28"/>
      <c r="K225" s="28"/>
      <c r="L225" s="28" t="s">
        <v>311</v>
      </c>
      <c r="M225" s="360" t="str">
        <f>IF(ISNUMBER(M224),IF(M215&lt;M224,"yes","no"),"no")</f>
        <v>no</v>
      </c>
      <c r="N225" s="360" t="str">
        <f>IF(ISNUMBER(N224),IF(M215&lt;N224,"yes","no"),"no")</f>
        <v>no</v>
      </c>
      <c r="O225" s="28"/>
      <c r="T225" s="332" t="s">
        <v>266</v>
      </c>
      <c r="U225" s="332" t="s">
        <v>267</v>
      </c>
      <c r="V225" s="332" t="s">
        <v>117</v>
      </c>
      <c r="W225" s="332" t="s">
        <v>268</v>
      </c>
      <c r="X225" s="332" t="s">
        <v>269</v>
      </c>
      <c r="AE225" s="1" t="s">
        <v>291</v>
      </c>
      <c r="AF225" s="336">
        <f>COUNT(P36:P43)</f>
        <v>8</v>
      </c>
      <c r="AG225" s="337">
        <f>COUNT(P56:P59)</f>
        <v>4</v>
      </c>
    </row>
    <row r="226" spans="1:33" ht="21" customHeight="1" x14ac:dyDescent="0.25">
      <c r="A226" s="28"/>
      <c r="B226" s="28"/>
      <c r="C226" s="28"/>
      <c r="D226" s="28"/>
      <c r="E226" s="28"/>
      <c r="F226" s="28"/>
      <c r="G226" s="28"/>
      <c r="H226" s="28"/>
      <c r="I226" s="28"/>
      <c r="J226" s="28"/>
      <c r="K226" s="28"/>
      <c r="L226" s="28"/>
      <c r="M226" s="28"/>
      <c r="N226" s="28"/>
      <c r="O226" s="28"/>
      <c r="T226" s="1" t="s">
        <v>270</v>
      </c>
      <c r="U226" s="1">
        <f>COUNT(P36:P43)</f>
        <v>8</v>
      </c>
      <c r="V226" s="64">
        <f>AVERAGE(P36:P43)</f>
        <v>3.6168666021007803</v>
      </c>
      <c r="W226" s="1">
        <f>VAR(P36:P43)</f>
        <v>5.7743104269293147E-2</v>
      </c>
      <c r="AE226" s="1" t="s">
        <v>292</v>
      </c>
      <c r="AF226" s="338">
        <f>MEDIAN(P36:P43)</f>
        <v>3.5498403205546252</v>
      </c>
      <c r="AG226" s="362">
        <f>MEDIAN(P56:P59)</f>
        <v>3.8099899029165267</v>
      </c>
    </row>
    <row r="227" spans="1:33" ht="21" customHeight="1" x14ac:dyDescent="0.25">
      <c r="A227" s="28"/>
      <c r="B227" s="28"/>
      <c r="C227" s="28"/>
      <c r="D227" s="28"/>
      <c r="E227" s="28"/>
      <c r="F227" s="28"/>
      <c r="G227" s="28"/>
      <c r="H227" s="28"/>
      <c r="I227" s="28"/>
      <c r="J227" s="28"/>
      <c r="K227" s="28"/>
      <c r="L227" s="28" t="s">
        <v>279</v>
      </c>
      <c r="M227" s="358">
        <f>[1]!MANN_EXACT(P6:P23,P56:P59,1)</f>
        <v>0.15010252904989746</v>
      </c>
      <c r="N227" s="358">
        <f>2*M227</f>
        <v>0.30020505809979492</v>
      </c>
      <c r="O227" s="28"/>
      <c r="T227" s="1" t="s">
        <v>271</v>
      </c>
      <c r="U227" s="1">
        <f>COUNT(P56:P59)</f>
        <v>4</v>
      </c>
      <c r="V227" s="64">
        <f>AVERAGE(P56:P59)</f>
        <v>3.7664076762318892</v>
      </c>
      <c r="W227" s="1">
        <f>VAR(P56:P59)</f>
        <v>0.13599435427560599</v>
      </c>
      <c r="AE227" s="1" t="s">
        <v>293</v>
      </c>
      <c r="AF227" s="340">
        <f>[1]!RANK_SUM(P36:P43,P56:P59,1)</f>
        <v>47</v>
      </c>
      <c r="AG227" s="341">
        <f>[1]!RANK_SUM(P56:P59,P36:P43,1)</f>
        <v>31</v>
      </c>
    </row>
    <row r="228" spans="1:33" ht="21" customHeight="1" x14ac:dyDescent="0.25">
      <c r="A228" s="28"/>
      <c r="B228" s="28"/>
      <c r="C228" s="28"/>
      <c r="D228" s="28"/>
      <c r="E228" s="28"/>
      <c r="F228" s="28"/>
      <c r="G228" s="28"/>
      <c r="H228" s="28"/>
      <c r="I228" s="28"/>
      <c r="J228" s="28"/>
      <c r="K228" s="28"/>
      <c r="L228" s="28" t="s">
        <v>303</v>
      </c>
      <c r="M228" s="360" t="str">
        <f>IF(M227&lt;M214,"yes","no")</f>
        <v>no</v>
      </c>
      <c r="N228" s="360" t="str">
        <f>IF(N227&lt;M214,"yes","no")</f>
        <v>no</v>
      </c>
      <c r="O228" s="28"/>
      <c r="T228" s="334" t="s">
        <v>272</v>
      </c>
      <c r="U228" s="334"/>
      <c r="V228" s="334"/>
      <c r="W228" s="334">
        <f>((U226-1)*W226+(U227-1)*W227)/(U226+U227-2)</f>
        <v>8.1218479271187E-2</v>
      </c>
      <c r="X228" s="334">
        <f>ABS(V226-V227-X224)/SQRT(W228)</f>
        <v>0.52472658616913259</v>
      </c>
      <c r="AE228" s="1" t="s">
        <v>294</v>
      </c>
      <c r="AF228" s="342">
        <f>AF225*AG225+AF225*(AF225+1)/2-AF227</f>
        <v>21</v>
      </c>
      <c r="AG228" s="343">
        <f>AF225*AG225+AG225*(AG225+1)/2-AG227</f>
        <v>11</v>
      </c>
    </row>
    <row r="229" spans="1:33" ht="21" customHeight="1" x14ac:dyDescent="0.25">
      <c r="A229" s="28"/>
      <c r="B229" s="28"/>
      <c r="C229" s="28"/>
      <c r="D229" s="28"/>
      <c r="E229" s="28"/>
      <c r="F229" s="28"/>
      <c r="G229" s="28"/>
      <c r="H229" s="28"/>
      <c r="I229" s="28"/>
      <c r="J229" s="28"/>
      <c r="K229" s="28"/>
      <c r="L229" s="28"/>
      <c r="M229" s="28"/>
      <c r="N229" s="28"/>
      <c r="O229" s="28"/>
    </row>
    <row r="230" spans="1:33" ht="21" customHeight="1" thickBot="1" x14ac:dyDescent="0.3">
      <c r="A230" s="28"/>
      <c r="B230" s="28"/>
      <c r="C230" s="28"/>
      <c r="D230" s="28"/>
      <c r="E230" s="28"/>
      <c r="F230" s="28"/>
      <c r="G230" s="28"/>
      <c r="H230" s="28"/>
      <c r="I230" s="28"/>
      <c r="J230" s="28"/>
      <c r="K230" s="28"/>
      <c r="L230" s="28"/>
      <c r="M230" s="28"/>
      <c r="N230" s="28"/>
      <c r="O230" s="28"/>
      <c r="T230" s="1" t="s">
        <v>273</v>
      </c>
      <c r="X230" s="1" t="s">
        <v>274</v>
      </c>
      <c r="Y230" s="1">
        <v>0.05</v>
      </c>
      <c r="AF230" s="344" t="s">
        <v>295</v>
      </c>
      <c r="AG230" s="344" t="s">
        <v>296</v>
      </c>
    </row>
    <row r="231" spans="1:33" ht="21" customHeight="1" thickTop="1" x14ac:dyDescent="0.25">
      <c r="A231" s="349" t="s">
        <v>310</v>
      </c>
      <c r="B231" s="28"/>
      <c r="C231" s="28"/>
      <c r="D231" s="28"/>
      <c r="E231" s="28"/>
      <c r="F231" s="28"/>
      <c r="G231" s="28"/>
      <c r="H231" s="28"/>
      <c r="I231" s="28"/>
      <c r="J231" s="28"/>
      <c r="K231" s="28"/>
      <c r="L231" s="28"/>
      <c r="M231" s="28"/>
      <c r="N231" s="28"/>
      <c r="O231" s="28"/>
      <c r="T231" s="332" t="s">
        <v>275</v>
      </c>
      <c r="U231" s="332" t="s">
        <v>276</v>
      </c>
      <c r="V231" s="332" t="s">
        <v>277</v>
      </c>
      <c r="W231" s="332" t="s">
        <v>278</v>
      </c>
      <c r="X231" s="332" t="s">
        <v>279</v>
      </c>
      <c r="Y231" s="332" t="s">
        <v>280</v>
      </c>
      <c r="Z231" s="332" t="s">
        <v>281</v>
      </c>
      <c r="AA231" s="332" t="s">
        <v>282</v>
      </c>
      <c r="AB231" s="332" t="s">
        <v>283</v>
      </c>
      <c r="AC231" s="332" t="s">
        <v>284</v>
      </c>
      <c r="AE231" s="1" t="s">
        <v>297</v>
      </c>
      <c r="AF231" s="345">
        <v>0.05</v>
      </c>
    </row>
    <row r="232" spans="1:33" ht="21" customHeight="1" x14ac:dyDescent="0.25">
      <c r="A232" s="28" t="s">
        <v>263</v>
      </c>
      <c r="B232" s="28"/>
      <c r="C232" s="28"/>
      <c r="D232" s="28"/>
      <c r="E232" s="28"/>
      <c r="F232" s="28"/>
      <c r="G232" s="28"/>
      <c r="H232" s="28"/>
      <c r="I232" s="28"/>
      <c r="J232" s="28"/>
      <c r="K232" s="28"/>
      <c r="L232" s="28" t="s">
        <v>288</v>
      </c>
      <c r="M232" s="28"/>
      <c r="N232" s="28"/>
      <c r="O232" s="28"/>
      <c r="T232" s="1" t="s">
        <v>285</v>
      </c>
      <c r="U232" s="1">
        <f>SQRT(W228*(1/U226+1/U227))</f>
        <v>0.17451913856851095</v>
      </c>
      <c r="V232" s="1">
        <f>(ABS(V226-V227-X224))/U232</f>
        <v>0.85687492705794921</v>
      </c>
      <c r="W232" s="1">
        <f>U226+U227-2</f>
        <v>10</v>
      </c>
      <c r="X232" s="1">
        <f>TDIST(V232,W232,1)</f>
        <v>0.20578887078464231</v>
      </c>
      <c r="Y232" s="1">
        <f>TINV(Y230*2,W232)</f>
        <v>1.812461122811676</v>
      </c>
      <c r="AB232" s="327" t="str">
        <f>IF(X232&lt;Y230,"yes","no")</f>
        <v>no</v>
      </c>
      <c r="AC232" s="1">
        <f>SQRT(V232^2/(V232^2+W232))</f>
        <v>0.26153625037232819</v>
      </c>
      <c r="AE232" s="1" t="s">
        <v>294</v>
      </c>
      <c r="AF232" s="346">
        <f>MIN(AF228,AG228)</f>
        <v>11</v>
      </c>
    </row>
    <row r="233" spans="1:33" ht="21" customHeight="1" x14ac:dyDescent="0.25">
      <c r="A233" s="28"/>
      <c r="B233" s="28"/>
      <c r="C233" s="28"/>
      <c r="D233" s="28"/>
      <c r="E233" s="28"/>
      <c r="F233" s="28"/>
      <c r="G233" s="28"/>
      <c r="H233" s="28"/>
      <c r="I233" s="28"/>
      <c r="J233" s="28"/>
      <c r="K233" s="28"/>
      <c r="L233" s="28"/>
      <c r="M233" s="28"/>
      <c r="N233" s="28"/>
      <c r="O233" s="28"/>
      <c r="T233" s="1" t="s">
        <v>286</v>
      </c>
      <c r="U233" s="1">
        <f>U232</f>
        <v>0.17451913856851095</v>
      </c>
      <c r="V233" s="327">
        <f t="shared" ref="V233:W233" si="42">V232</f>
        <v>0.85687492705794921</v>
      </c>
      <c r="W233" s="327">
        <f t="shared" si="42"/>
        <v>10</v>
      </c>
      <c r="X233" s="1">
        <f>TDIST(V233,W233,2)</f>
        <v>0.41157774156928462</v>
      </c>
      <c r="Y233" s="1">
        <f>TINV(Y230,W233)</f>
        <v>2.2281388519862744</v>
      </c>
      <c r="Z233" s="1">
        <f>(V226-V227)-Y233*U233</f>
        <v>-0.53839394719078448</v>
      </c>
      <c r="AA233" s="1">
        <f>(V226-V227)+Y233*U233</f>
        <v>0.23931179892856658</v>
      </c>
      <c r="AB233" s="327" t="str">
        <f>IF(X233&lt;Y230,"yes","no")</f>
        <v>no</v>
      </c>
      <c r="AC233" s="1">
        <f>AC232</f>
        <v>0.26153625037232819</v>
      </c>
      <c r="AE233" s="1" t="s">
        <v>298</v>
      </c>
      <c r="AF233" s="346">
        <f>AF225*AG225/2</f>
        <v>16</v>
      </c>
    </row>
    <row r="234" spans="1:33" ht="21" customHeight="1" thickBot="1" x14ac:dyDescent="0.3">
      <c r="A234" s="28" t="s">
        <v>264</v>
      </c>
      <c r="B234" s="28"/>
      <c r="C234" s="28"/>
      <c r="D234" s="28" t="s">
        <v>265</v>
      </c>
      <c r="E234" s="28">
        <v>0</v>
      </c>
      <c r="F234" s="28"/>
      <c r="G234" s="28"/>
      <c r="H234" s="28"/>
      <c r="I234" s="28"/>
      <c r="J234" s="28"/>
      <c r="K234" s="28"/>
      <c r="L234" s="28"/>
      <c r="M234" s="28" t="s">
        <v>289</v>
      </c>
      <c r="N234" s="28" t="s">
        <v>290</v>
      </c>
      <c r="O234" s="28"/>
      <c r="T234" s="334"/>
      <c r="U234" s="334"/>
      <c r="V234" s="334"/>
      <c r="W234" s="334"/>
      <c r="X234" s="334"/>
      <c r="Y234" s="334"/>
      <c r="Z234" s="334"/>
      <c r="AA234" s="334"/>
      <c r="AB234" s="334"/>
      <c r="AC234" s="334"/>
      <c r="AE234" s="1" t="s">
        <v>299</v>
      </c>
      <c r="AF234" s="346">
        <f>SQRT(AF233*(AF225+AG225+1)/6*(1-[1]!TiesCorrection(P36:P43,P56:P59,2)/((AF225+AG225)^3-AF225-AG225)))</f>
        <v>5.8775381364525865</v>
      </c>
      <c r="AG234" s="1" t="s">
        <v>300</v>
      </c>
    </row>
    <row r="235" spans="1:33" ht="21" customHeight="1" thickTop="1" thickBot="1" x14ac:dyDescent="0.3">
      <c r="A235" s="350" t="s">
        <v>266</v>
      </c>
      <c r="B235" s="350" t="s">
        <v>267</v>
      </c>
      <c r="C235" s="350" t="s">
        <v>117</v>
      </c>
      <c r="D235" s="350" t="s">
        <v>268</v>
      </c>
      <c r="E235" s="350" t="s">
        <v>269</v>
      </c>
      <c r="F235" s="28"/>
      <c r="G235" s="28"/>
      <c r="H235" s="28"/>
      <c r="I235" s="28"/>
      <c r="J235" s="28"/>
      <c r="K235" s="28"/>
      <c r="L235" s="28" t="s">
        <v>291</v>
      </c>
      <c r="M235" s="351">
        <f>COUNT(Q6:Q23)</f>
        <v>18</v>
      </c>
      <c r="N235" s="352">
        <f>COUNT(Q56:Q59)</f>
        <v>4</v>
      </c>
      <c r="O235" s="28"/>
      <c r="T235" s="1" t="s">
        <v>287</v>
      </c>
      <c r="X235" s="1" t="s">
        <v>274</v>
      </c>
      <c r="Y235" s="1">
        <f>Y230</f>
        <v>0.05</v>
      </c>
      <c r="AE235" s="1" t="s">
        <v>19</v>
      </c>
      <c r="AF235" s="346">
        <f>ABS(STANDARDIZE(AF232,AF233,AF234))</f>
        <v>0.85069630922340078</v>
      </c>
    </row>
    <row r="236" spans="1:33" ht="21" customHeight="1" thickTop="1" x14ac:dyDescent="0.25">
      <c r="A236" s="28" t="s">
        <v>270</v>
      </c>
      <c r="B236" s="28">
        <f>COUNT(Q6:Q23)</f>
        <v>18</v>
      </c>
      <c r="C236" s="28">
        <f>AVERAGE(Q6:Q23)</f>
        <v>3.1494371398721328</v>
      </c>
      <c r="D236" s="28">
        <f>VAR(Q6:Q23)</f>
        <v>6.7425201489324585E-2</v>
      </c>
      <c r="E236" s="28"/>
      <c r="F236" s="28"/>
      <c r="G236" s="28"/>
      <c r="H236" s="28"/>
      <c r="I236" s="28"/>
      <c r="J236" s="28"/>
      <c r="K236" s="28"/>
      <c r="L236" s="28" t="s">
        <v>292</v>
      </c>
      <c r="M236" s="353">
        <f>MEDIAN(Q6:Q23)</f>
        <v>3.1611096473669598</v>
      </c>
      <c r="N236" s="339">
        <f>MEDIAN(Q56:Q59)</f>
        <v>3.5491903235514561</v>
      </c>
      <c r="O236" s="28"/>
      <c r="T236" s="332" t="s">
        <v>275</v>
      </c>
      <c r="U236" s="332" t="s">
        <v>276</v>
      </c>
      <c r="V236" s="332" t="s">
        <v>277</v>
      </c>
      <c r="W236" s="332" t="s">
        <v>278</v>
      </c>
      <c r="X236" s="332" t="s">
        <v>279</v>
      </c>
      <c r="Y236" s="332" t="s">
        <v>280</v>
      </c>
      <c r="Z236" s="332" t="s">
        <v>281</v>
      </c>
      <c r="AA236" s="332" t="s">
        <v>282</v>
      </c>
      <c r="AB236" s="332" t="s">
        <v>283</v>
      </c>
      <c r="AC236" s="332" t="s">
        <v>284</v>
      </c>
      <c r="AE236" s="1" t="s">
        <v>284</v>
      </c>
      <c r="AF236" s="346">
        <f>AF235/SQRT(AF225+AG225)</f>
        <v>0.2455748715643758</v>
      </c>
    </row>
    <row r="237" spans="1:33" ht="21" customHeight="1" x14ac:dyDescent="0.25">
      <c r="A237" s="28" t="s">
        <v>271</v>
      </c>
      <c r="B237" s="28">
        <f>COUNT(Q56:Q59)</f>
        <v>4</v>
      </c>
      <c r="C237" s="28">
        <f>AVERAGE(Q56:Q59)</f>
        <v>3.5667121664893493</v>
      </c>
      <c r="D237" s="28">
        <f>VAR(Q56:Q59)</f>
        <v>0.11946506889318347</v>
      </c>
      <c r="E237" s="28"/>
      <c r="F237" s="28"/>
      <c r="G237" s="28"/>
      <c r="H237" s="28"/>
      <c r="I237" s="28"/>
      <c r="J237" s="28"/>
      <c r="K237" s="28"/>
      <c r="L237" s="28" t="s">
        <v>293</v>
      </c>
      <c r="M237" s="353">
        <v>184</v>
      </c>
      <c r="N237" s="339">
        <v>69</v>
      </c>
      <c r="O237" s="28"/>
      <c r="T237" s="1" t="s">
        <v>285</v>
      </c>
      <c r="U237" s="1">
        <f>SQRT(W226/U226+W227/U227)</f>
        <v>0.20301841444204793</v>
      </c>
      <c r="V237" s="1">
        <f>(ABS(V226-V227-X224))/U237</f>
        <v>0.73658872049656254</v>
      </c>
      <c r="W237" s="1">
        <f>(W226/U226+W227/U227)^2/((W226/U226)^2/(U226-1)+(W227/U227)^2/(U227-1))</f>
        <v>4.3254597828426489</v>
      </c>
      <c r="X237" s="1">
        <f>TDIST(V237,ROUND(W237,0),1)</f>
        <v>0.25111911216668364</v>
      </c>
      <c r="Y237" s="1">
        <f>TINV(Y235*2,ROUND(W237,0))</f>
        <v>2.1318467863266499</v>
      </c>
      <c r="AB237" s="327" t="str">
        <f>IF(X237&lt;Y235,"yes","no")</f>
        <v>no</v>
      </c>
      <c r="AC237" s="1">
        <f>SQRT(V237^2/(V237^2+W237))</f>
        <v>0.33384798985503339</v>
      </c>
      <c r="AE237" s="1" t="s">
        <v>301</v>
      </c>
      <c r="AF237" s="345">
        <f>AF233+AF234*NORMSINV(AF231)</f>
        <v>6.3323100787103641</v>
      </c>
      <c r="AG237" s="337">
        <f>AF233+AF234*NORMSINV(AF231/2)</f>
        <v>4.4802369347922664</v>
      </c>
    </row>
    <row r="238" spans="1:33" ht="21" customHeight="1" x14ac:dyDescent="0.25">
      <c r="A238" s="354" t="s">
        <v>272</v>
      </c>
      <c r="B238" s="354"/>
      <c r="C238" s="354"/>
      <c r="D238" s="354">
        <f>((B236-1)*D236+(B237-1)*D237)/(B236+B237-2)</f>
        <v>7.5231181599903413E-2</v>
      </c>
      <c r="E238" s="354">
        <f>ABS(C236-C237-E234)/SQRT(D238)</f>
        <v>1.5213300789858888</v>
      </c>
      <c r="F238" s="28"/>
      <c r="G238" s="28"/>
      <c r="H238" s="28"/>
      <c r="I238" s="28"/>
      <c r="J238" s="28"/>
      <c r="K238" s="28"/>
      <c r="L238" s="28" t="s">
        <v>294</v>
      </c>
      <c r="M238" s="355">
        <f>M235*N235+M235*(M235+1)/2-M237</f>
        <v>59</v>
      </c>
      <c r="N238" s="356">
        <f>M235*N235+N235*(N235+1)/2-N237</f>
        <v>13</v>
      </c>
      <c r="O238" s="28"/>
      <c r="T238" s="1" t="s">
        <v>286</v>
      </c>
      <c r="U238" s="1">
        <f>U237</f>
        <v>0.20301841444204793</v>
      </c>
      <c r="V238" s="327">
        <f t="shared" ref="V238:W238" si="43">V237</f>
        <v>0.73658872049656254</v>
      </c>
      <c r="W238" s="327">
        <f t="shared" si="43"/>
        <v>4.3254597828426489</v>
      </c>
      <c r="X238" s="1">
        <f>TDIST(V238,ROUND(W238,0),2)</f>
        <v>0.50223822433336729</v>
      </c>
      <c r="Y238" s="1">
        <f>TINV(Y235,ROUND(W238,0))</f>
        <v>2.7764451051977934</v>
      </c>
      <c r="Z238" s="1">
        <f>(V226-V227)-Y238*U238</f>
        <v>-0.71321055717374993</v>
      </c>
      <c r="AA238" s="1">
        <f>(V226-V227)+Y238*U238</f>
        <v>0.41412840891153202</v>
      </c>
      <c r="AB238" s="327" t="str">
        <f>IF(X238&lt;Y235,"yes","no")</f>
        <v>no</v>
      </c>
      <c r="AC238" s="1">
        <f>AC237</f>
        <v>0.33384798985503339</v>
      </c>
      <c r="AE238" s="1" t="s">
        <v>279</v>
      </c>
      <c r="AF238" s="346">
        <f>1-NORMSDIST(AF235)</f>
        <v>0.19746903696835227</v>
      </c>
      <c r="AG238" s="341">
        <f>2*AF238</f>
        <v>0.39493807393670455</v>
      </c>
    </row>
    <row r="239" spans="1:33" ht="21" customHeight="1" x14ac:dyDescent="0.25">
      <c r="A239" s="28"/>
      <c r="B239" s="28"/>
      <c r="C239" s="28"/>
      <c r="D239" s="28"/>
      <c r="E239" s="28"/>
      <c r="F239" s="28"/>
      <c r="G239" s="28"/>
      <c r="H239" s="28"/>
      <c r="I239" s="28"/>
      <c r="J239" s="28"/>
      <c r="K239" s="28"/>
      <c r="L239" s="28"/>
      <c r="M239" s="28"/>
      <c r="N239" s="28"/>
      <c r="O239" s="28"/>
      <c r="T239" s="334"/>
      <c r="U239" s="334"/>
      <c r="V239" s="334"/>
      <c r="W239" s="334"/>
      <c r="X239" s="334"/>
      <c r="Y239" s="334"/>
      <c r="Z239" s="334"/>
      <c r="AA239" s="334"/>
      <c r="AB239" s="334"/>
      <c r="AC239" s="334"/>
      <c r="AE239" s="1" t="s">
        <v>302</v>
      </c>
      <c r="AF239" s="347" t="str">
        <f>IF(AF238&lt;AF231,"yes","no")</f>
        <v>no</v>
      </c>
      <c r="AG239" s="348" t="str">
        <f>IF(AG238&lt;AF231,"yes","no")</f>
        <v>no</v>
      </c>
    </row>
    <row r="240" spans="1:33" ht="21" customHeight="1" thickBot="1" x14ac:dyDescent="0.3">
      <c r="A240" s="28" t="s">
        <v>273</v>
      </c>
      <c r="B240" s="28"/>
      <c r="C240" s="28"/>
      <c r="D240" s="28"/>
      <c r="E240" s="28" t="s">
        <v>274</v>
      </c>
      <c r="F240" s="28">
        <v>0.05</v>
      </c>
      <c r="G240" s="28"/>
      <c r="H240" s="28"/>
      <c r="I240" s="28"/>
      <c r="J240" s="28"/>
      <c r="K240" s="28"/>
      <c r="L240" s="28"/>
      <c r="M240" s="357" t="s">
        <v>295</v>
      </c>
      <c r="N240" s="357" t="s">
        <v>296</v>
      </c>
      <c r="O240" s="28"/>
    </row>
    <row r="241" spans="1:33" ht="21" customHeight="1" thickTop="1" x14ac:dyDescent="0.25">
      <c r="A241" s="350" t="s">
        <v>275</v>
      </c>
      <c r="B241" s="350" t="s">
        <v>276</v>
      </c>
      <c r="C241" s="350" t="s">
        <v>277</v>
      </c>
      <c r="D241" s="350" t="s">
        <v>278</v>
      </c>
      <c r="E241" s="350" t="s">
        <v>279</v>
      </c>
      <c r="F241" s="350" t="s">
        <v>280</v>
      </c>
      <c r="G241" s="350" t="s">
        <v>281</v>
      </c>
      <c r="H241" s="350" t="s">
        <v>282</v>
      </c>
      <c r="I241" s="350" t="s">
        <v>283</v>
      </c>
      <c r="J241" s="350" t="s">
        <v>284</v>
      </c>
      <c r="K241" s="28"/>
      <c r="L241" s="28" t="s">
        <v>297</v>
      </c>
      <c r="M241" s="358">
        <v>0.05</v>
      </c>
      <c r="N241" s="28"/>
      <c r="O241" s="28"/>
      <c r="AE241" s="1" t="s">
        <v>301</v>
      </c>
      <c r="AF241" s="345">
        <f>[1]!MCRIT(AF225,AG225,AF231,1)</f>
        <v>5</v>
      </c>
      <c r="AG241" s="345">
        <f>[1]!MCRIT(AF225,AG225,AF231,2)</f>
        <v>4</v>
      </c>
    </row>
    <row r="242" spans="1:33" ht="21" customHeight="1" x14ac:dyDescent="0.25">
      <c r="A242" s="28" t="s">
        <v>285</v>
      </c>
      <c r="B242" s="28">
        <f>SQRT(D238*(1/B236+1/B237))</f>
        <v>0.15161565054063311</v>
      </c>
      <c r="C242" s="28">
        <f>(ABS(C236-C237-E234))/B242</f>
        <v>2.7521896659697838</v>
      </c>
      <c r="D242" s="28">
        <f>B236+B237-2</f>
        <v>20</v>
      </c>
      <c r="E242" s="28">
        <f>TDIST(C242,D242,1)</f>
        <v>6.1434989025152126E-3</v>
      </c>
      <c r="F242" s="28">
        <f>TINV(F240*2,D242)</f>
        <v>1.7247182429207868</v>
      </c>
      <c r="G242" s="28"/>
      <c r="H242" s="28"/>
      <c r="I242" s="28" t="str">
        <f>IF(E242&lt;F240,"yes","no")</f>
        <v>yes</v>
      </c>
      <c r="J242" s="28">
        <f>SQRT(C242^2/(C242^2+D242))</f>
        <v>0.52411206716868564</v>
      </c>
      <c r="K242" s="28"/>
      <c r="L242" s="28" t="s">
        <v>294</v>
      </c>
      <c r="M242" s="359">
        <f>MIN(M238,N238)</f>
        <v>13</v>
      </c>
      <c r="N242" s="28"/>
      <c r="O242" s="28"/>
      <c r="AE242" s="1" t="s">
        <v>311</v>
      </c>
      <c r="AF242" s="347" t="str">
        <f>IF(ISNUMBER(AF241),IF(AF232&lt;AF241,"yes","no"),"no")</f>
        <v>no</v>
      </c>
      <c r="AG242" s="347" t="str">
        <f>IF(ISNUMBER(AG241),IF(AF232&lt;AG241,"yes","no"),"no")</f>
        <v>no</v>
      </c>
    </row>
    <row r="243" spans="1:33" ht="21" customHeight="1" x14ac:dyDescent="0.25">
      <c r="A243" s="28" t="s">
        <v>286</v>
      </c>
      <c r="B243" s="28">
        <f>B242</f>
        <v>0.15161565054063311</v>
      </c>
      <c r="C243" s="28">
        <f t="shared" ref="C243:D243" si="44">C242</f>
        <v>2.7521896659697838</v>
      </c>
      <c r="D243" s="28">
        <f t="shared" si="44"/>
        <v>20</v>
      </c>
      <c r="E243" s="28">
        <f>TDIST(C243,D243,2)</f>
        <v>1.2286997805030425E-2</v>
      </c>
      <c r="F243" s="28">
        <f>TINV(F240,D243)</f>
        <v>2.0859634472658648</v>
      </c>
      <c r="G243" s="28">
        <f>(C236-C237)-F243*B243</f>
        <v>-0.73353973167841224</v>
      </c>
      <c r="H243" s="28">
        <f>(C236-C237)+F243*B243</f>
        <v>-0.10101032155602074</v>
      </c>
      <c r="I243" s="28" t="str">
        <f>IF(E243&lt;F240,"yes","no")</f>
        <v>yes</v>
      </c>
      <c r="J243" s="28">
        <f>J242</f>
        <v>0.52411206716868564</v>
      </c>
      <c r="K243" s="28"/>
      <c r="L243" s="28" t="s">
        <v>298</v>
      </c>
      <c r="M243" s="359">
        <f>M235*N235/2</f>
        <v>36</v>
      </c>
      <c r="N243" s="28"/>
      <c r="O243" s="28"/>
    </row>
    <row r="244" spans="1:33" ht="21" customHeight="1" x14ac:dyDescent="0.25">
      <c r="A244" s="354"/>
      <c r="B244" s="354"/>
      <c r="C244" s="354"/>
      <c r="D244" s="354"/>
      <c r="E244" s="354"/>
      <c r="F244" s="354"/>
      <c r="G244" s="354"/>
      <c r="H244" s="354"/>
      <c r="I244" s="354"/>
      <c r="J244" s="354"/>
      <c r="K244" s="28"/>
      <c r="L244" s="28" t="s">
        <v>299</v>
      </c>
      <c r="M244" s="359">
        <v>11.727423738079372</v>
      </c>
      <c r="N244" s="28" t="s">
        <v>300</v>
      </c>
      <c r="O244" s="28"/>
      <c r="AE244" s="1" t="s">
        <v>279</v>
      </c>
      <c r="AF244" s="345">
        <f>[1]!MANN_EXACT(P36:P43,P56:P59,1)</f>
        <v>0.23030303030303031</v>
      </c>
      <c r="AG244" s="345">
        <f>2*AF244</f>
        <v>0.46060606060606063</v>
      </c>
    </row>
    <row r="245" spans="1:33" ht="21" customHeight="1" thickBot="1" x14ac:dyDescent="0.3">
      <c r="A245" s="28" t="s">
        <v>287</v>
      </c>
      <c r="B245" s="28"/>
      <c r="C245" s="28"/>
      <c r="D245" s="28"/>
      <c r="E245" s="28" t="s">
        <v>274</v>
      </c>
      <c r="F245" s="28">
        <f>F240</f>
        <v>0.05</v>
      </c>
      <c r="G245" s="28"/>
      <c r="H245" s="28"/>
      <c r="I245" s="28"/>
      <c r="J245" s="28"/>
      <c r="K245" s="28"/>
      <c r="L245" s="28" t="s">
        <v>19</v>
      </c>
      <c r="M245" s="359">
        <f>ABS(STANDARDIZE(M242,M243,M244))</f>
        <v>1.9612150557260213</v>
      </c>
      <c r="N245" s="28"/>
      <c r="O245" s="28"/>
      <c r="AE245" s="1" t="s">
        <v>303</v>
      </c>
      <c r="AF245" s="347" t="str">
        <f>IF(AF244&lt;AF231,"yes","no")</f>
        <v>no</v>
      </c>
      <c r="AG245" s="347" t="str">
        <f>IF(AG244&lt;AF231,"yes","no")</f>
        <v>no</v>
      </c>
    </row>
    <row r="246" spans="1:33" ht="21" customHeight="1" thickTop="1" x14ac:dyDescent="0.25">
      <c r="A246" s="350" t="s">
        <v>275</v>
      </c>
      <c r="B246" s="350" t="s">
        <v>276</v>
      </c>
      <c r="C246" s="350" t="s">
        <v>277</v>
      </c>
      <c r="D246" s="350" t="s">
        <v>278</v>
      </c>
      <c r="E246" s="350" t="s">
        <v>279</v>
      </c>
      <c r="F246" s="350" t="s">
        <v>280</v>
      </c>
      <c r="G246" s="350" t="s">
        <v>281</v>
      </c>
      <c r="H246" s="350" t="s">
        <v>282</v>
      </c>
      <c r="I246" s="350" t="s">
        <v>283</v>
      </c>
      <c r="J246" s="350" t="s">
        <v>284</v>
      </c>
      <c r="K246" s="28"/>
      <c r="L246" s="28" t="s">
        <v>284</v>
      </c>
      <c r="M246" s="359">
        <f>M245/SQRT(M235+N235)</f>
        <v>0.41813245480819616</v>
      </c>
      <c r="N246" s="28"/>
      <c r="O246" s="28"/>
    </row>
    <row r="247" spans="1:33" ht="21" customHeight="1" x14ac:dyDescent="0.25">
      <c r="A247" s="28" t="s">
        <v>285</v>
      </c>
      <c r="B247" s="28">
        <f>SQRT(D236/B236+D237/B237)</f>
        <v>0.18333606232948435</v>
      </c>
      <c r="C247" s="28">
        <f>(ABS(C236-C237-E234))/B247</f>
        <v>2.276011720309048</v>
      </c>
      <c r="D247" s="28">
        <f>(D236/B236+D237/B237)^2/((D236/B236)^2/(B236-1)+(D237/B237)^2/(B237-1))</f>
        <v>3.7891958617961352</v>
      </c>
      <c r="E247" s="28">
        <f>TDIST(C247,ROUND(D247,0),1)</f>
        <v>4.2580247948634103E-2</v>
      </c>
      <c r="F247" s="28">
        <f>TINV(F245*2,ROUND(D247,0))</f>
        <v>2.1318467863266499</v>
      </c>
      <c r="G247" s="28"/>
      <c r="H247" s="28"/>
      <c r="I247" s="28" t="str">
        <f>IF(E247&lt;F245,"yes","no")</f>
        <v>yes</v>
      </c>
      <c r="J247" s="28">
        <f>SQRT(C247^2/(C247^2+D247))</f>
        <v>0.75996254347630599</v>
      </c>
      <c r="K247" s="28"/>
      <c r="L247" s="28" t="s">
        <v>301</v>
      </c>
      <c r="M247" s="358">
        <f>M243+M244*NORMSINV(M241)</f>
        <v>16.710104529623347</v>
      </c>
      <c r="N247" s="352">
        <f>M243+M244*NORMSINV(M241/2)</f>
        <v>13.014671841924343</v>
      </c>
      <c r="O247" s="28"/>
      <c r="T247" s="349" t="s">
        <v>318</v>
      </c>
    </row>
    <row r="248" spans="1:33" ht="21" customHeight="1" x14ac:dyDescent="0.25">
      <c r="A248" s="28" t="s">
        <v>286</v>
      </c>
      <c r="B248" s="28">
        <f>B247</f>
        <v>0.18333606232948435</v>
      </c>
      <c r="C248" s="28">
        <f t="shared" ref="C248:D248" si="45">C247</f>
        <v>2.276011720309048</v>
      </c>
      <c r="D248" s="28">
        <f t="shared" si="45"/>
        <v>3.7891958617961352</v>
      </c>
      <c r="E248" s="28">
        <f>TDIST(C248,ROUND(D248,0),2)</f>
        <v>8.5160495897268207E-2</v>
      </c>
      <c r="F248" s="28">
        <f>TINV(F245,ROUND(D248,0))</f>
        <v>2.7764451051977934</v>
      </c>
      <c r="G248" s="28">
        <f>(C236-C237)-F248*B248</f>
        <v>-0.92629753947815086</v>
      </c>
      <c r="H248" s="28">
        <f>(C236-C237)+F248*B248</f>
        <v>9.1747486243717868E-2</v>
      </c>
      <c r="I248" s="28" t="str">
        <f>IF(E248&lt;F245,"yes","no")</f>
        <v>no</v>
      </c>
      <c r="J248" s="28">
        <f>J247</f>
        <v>0.75996254347630599</v>
      </c>
      <c r="K248" s="28"/>
      <c r="L248" s="28" t="s">
        <v>279</v>
      </c>
      <c r="M248" s="359">
        <f>1-NORMSDIST(M245)</f>
        <v>2.4926970648831981E-2</v>
      </c>
      <c r="N248" s="339">
        <f>2*M248</f>
        <v>4.9853941297663962E-2</v>
      </c>
      <c r="O248" s="28"/>
      <c r="T248" s="1" t="s">
        <v>263</v>
      </c>
      <c r="AE248" s="1" t="s">
        <v>288</v>
      </c>
    </row>
    <row r="249" spans="1:33" ht="21" customHeight="1" x14ac:dyDescent="0.25">
      <c r="A249" s="354"/>
      <c r="B249" s="354"/>
      <c r="C249" s="354"/>
      <c r="D249" s="354"/>
      <c r="E249" s="354"/>
      <c r="F249" s="354"/>
      <c r="G249" s="354"/>
      <c r="H249" s="354"/>
      <c r="I249" s="354"/>
      <c r="J249" s="354"/>
      <c r="K249" s="28"/>
      <c r="L249" s="28" t="s">
        <v>302</v>
      </c>
      <c r="M249" s="360" t="str">
        <f>IF(M248&lt;M241,"yes","no")</f>
        <v>yes</v>
      </c>
      <c r="N249" s="361" t="str">
        <f>IF(N248&lt;M241,"yes","no")</f>
        <v>yes</v>
      </c>
      <c r="O249" s="28"/>
    </row>
    <row r="250" spans="1:33" ht="21" customHeight="1" thickBot="1" x14ac:dyDescent="0.3">
      <c r="A250" s="28"/>
      <c r="B250" s="28"/>
      <c r="C250" s="28"/>
      <c r="D250" s="28"/>
      <c r="E250" s="28"/>
      <c r="F250" s="28"/>
      <c r="G250" s="28"/>
      <c r="H250" s="28"/>
      <c r="I250" s="28"/>
      <c r="J250" s="28"/>
      <c r="K250" s="28"/>
      <c r="L250" s="28"/>
      <c r="M250" s="28"/>
      <c r="N250" s="28"/>
      <c r="O250" s="28"/>
      <c r="T250" s="1" t="s">
        <v>264</v>
      </c>
      <c r="W250" s="1" t="s">
        <v>265</v>
      </c>
      <c r="X250" s="1">
        <v>0</v>
      </c>
      <c r="AF250" s="1" t="s">
        <v>289</v>
      </c>
      <c r="AG250" s="1" t="s">
        <v>290</v>
      </c>
    </row>
    <row r="251" spans="1:33" ht="21" customHeight="1" thickTop="1" x14ac:dyDescent="0.25">
      <c r="A251" s="28"/>
      <c r="B251" s="28"/>
      <c r="C251" s="28"/>
      <c r="D251" s="28"/>
      <c r="E251" s="28"/>
      <c r="F251" s="28"/>
      <c r="G251" s="28"/>
      <c r="H251" s="28"/>
      <c r="I251" s="28"/>
      <c r="J251" s="28"/>
      <c r="K251" s="28"/>
      <c r="L251" s="28" t="s">
        <v>301</v>
      </c>
      <c r="M251" s="358">
        <f>[1]!MCRIT(M235,N235,M241,1)</f>
        <v>16</v>
      </c>
      <c r="N251" s="358">
        <f>[1]!MCRIT(M235,N235,M241,2)</f>
        <v>12</v>
      </c>
      <c r="O251" s="28"/>
      <c r="T251" s="332" t="s">
        <v>266</v>
      </c>
      <c r="U251" s="332" t="s">
        <v>267</v>
      </c>
      <c r="V251" s="332" t="s">
        <v>117</v>
      </c>
      <c r="W251" s="332" t="s">
        <v>268</v>
      </c>
      <c r="X251" s="332" t="s">
        <v>269</v>
      </c>
      <c r="AE251" s="1" t="s">
        <v>291</v>
      </c>
      <c r="AF251" s="336">
        <f>COUNT(Q36:Q43)</f>
        <v>8</v>
      </c>
      <c r="AG251" s="337">
        <f>COUNT(Q56:Q59)</f>
        <v>4</v>
      </c>
    </row>
    <row r="252" spans="1:33" ht="21" customHeight="1" x14ac:dyDescent="0.25">
      <c r="A252" s="28"/>
      <c r="B252" s="28"/>
      <c r="C252" s="28"/>
      <c r="D252" s="28"/>
      <c r="E252" s="28"/>
      <c r="F252" s="28"/>
      <c r="G252" s="28"/>
      <c r="H252" s="28"/>
      <c r="I252" s="28"/>
      <c r="J252" s="28"/>
      <c r="K252" s="28"/>
      <c r="L252" s="28" t="s">
        <v>311</v>
      </c>
      <c r="M252" s="360" t="str">
        <f>IF(ISNUMBER(M251),IF(M242&lt;M251,"yes","no"),"no")</f>
        <v>yes</v>
      </c>
      <c r="N252" s="360" t="str">
        <f>IF(ISNUMBER(N251),IF(M242&lt;N251,"yes","no"),"no")</f>
        <v>no</v>
      </c>
      <c r="O252" s="28"/>
      <c r="T252" s="1" t="s">
        <v>270</v>
      </c>
      <c r="U252" s="1">
        <f>COUNT(Q36:Q43)</f>
        <v>8</v>
      </c>
      <c r="V252" s="64">
        <f>AVERAGE(Q36:Q43)</f>
        <v>3.1063063137344189</v>
      </c>
      <c r="W252" s="1">
        <f>VAR(Q36:Q43)</f>
        <v>8.5460393016299707E-2</v>
      </c>
      <c r="AE252" s="1" t="s">
        <v>292</v>
      </c>
      <c r="AF252" s="338">
        <f>MEDIAN(Q36:Q43)</f>
        <v>3.0206963425791127</v>
      </c>
      <c r="AG252" s="362">
        <f>MEDIAN(Q56:Q59)</f>
        <v>3.5491903235514561</v>
      </c>
    </row>
    <row r="253" spans="1:33" ht="21" customHeight="1" x14ac:dyDescent="0.25">
      <c r="A253" s="28"/>
      <c r="B253" s="28"/>
      <c r="C253" s="28"/>
      <c r="D253" s="28"/>
      <c r="E253" s="28"/>
      <c r="F253" s="28"/>
      <c r="G253" s="28"/>
      <c r="H253" s="28"/>
      <c r="I253" s="28"/>
      <c r="J253" s="28"/>
      <c r="K253" s="28"/>
      <c r="L253" s="28"/>
      <c r="M253" s="28"/>
      <c r="N253" s="28"/>
      <c r="O253" s="28"/>
      <c r="T253" s="1" t="s">
        <v>271</v>
      </c>
      <c r="U253" s="1">
        <f>COUNT(Q56:Q59)</f>
        <v>4</v>
      </c>
      <c r="V253" s="64">
        <f>AVERAGE(Q56:Q59)</f>
        <v>3.5667121664893493</v>
      </c>
      <c r="W253" s="1">
        <f>VAR(Q56:Q59)</f>
        <v>0.11946506889318347</v>
      </c>
      <c r="AE253" s="1" t="s">
        <v>293</v>
      </c>
      <c r="AF253" s="340">
        <f>[1]!RANK_SUM(Q36:Q43,Q56:Q59,1)</f>
        <v>40</v>
      </c>
      <c r="AG253" s="341">
        <f>[1]!RANK_SUM(Q56:Q59,Q36:Q43,1)</f>
        <v>38</v>
      </c>
    </row>
    <row r="254" spans="1:33" ht="21" customHeight="1" x14ac:dyDescent="0.25">
      <c r="A254" s="28"/>
      <c r="B254" s="28"/>
      <c r="C254" s="28"/>
      <c r="D254" s="28"/>
      <c r="E254" s="28"/>
      <c r="F254" s="28"/>
      <c r="G254" s="28"/>
      <c r="H254" s="28"/>
      <c r="I254" s="28"/>
      <c r="J254" s="28"/>
      <c r="K254" s="28"/>
      <c r="L254" s="28" t="s">
        <v>279</v>
      </c>
      <c r="M254" s="358">
        <f>[1]!MANN_EXACT(Q6:Q23,Q56:Q59,1)</f>
        <v>2.6520847573479153E-2</v>
      </c>
      <c r="N254" s="358">
        <f>2*M254</f>
        <v>5.3041695146958306E-2</v>
      </c>
      <c r="O254" s="28"/>
      <c r="T254" s="334" t="s">
        <v>272</v>
      </c>
      <c r="U254" s="334"/>
      <c r="V254" s="334"/>
      <c r="W254" s="334">
        <f>((U252-1)*W252+(U253-1)*W253)/(U252+U253-2)</f>
        <v>9.566179577936483E-2</v>
      </c>
      <c r="X254" s="334">
        <f>ABS(V252-V253-X250)/SQRT(W254)</f>
        <v>1.4885779143411864</v>
      </c>
      <c r="AE254" s="1" t="s">
        <v>294</v>
      </c>
      <c r="AF254" s="342">
        <f>AF251*AG251+AF251*(AF251+1)/2-AF253</f>
        <v>28</v>
      </c>
      <c r="AG254" s="343">
        <f>AF251*AG251+AG251*(AG251+1)/2-AG253</f>
        <v>4</v>
      </c>
    </row>
    <row r="255" spans="1:33" ht="21" customHeight="1" x14ac:dyDescent="0.25">
      <c r="A255" s="28"/>
      <c r="B255" s="28"/>
      <c r="C255" s="28"/>
      <c r="D255" s="28"/>
      <c r="E255" s="28"/>
      <c r="F255" s="28"/>
      <c r="G255" s="28"/>
      <c r="H255" s="28"/>
      <c r="I255" s="28"/>
      <c r="J255" s="28"/>
      <c r="K255" s="28"/>
      <c r="L255" s="28" t="s">
        <v>303</v>
      </c>
      <c r="M255" s="360" t="str">
        <f>IF(M254&lt;M241,"yes","no")</f>
        <v>yes</v>
      </c>
      <c r="N255" s="360" t="str">
        <f>IF(N254&lt;M241,"yes","no")</f>
        <v>no</v>
      </c>
      <c r="O255" s="28"/>
    </row>
    <row r="256" spans="1:33" ht="21" customHeight="1" thickBot="1" x14ac:dyDescent="0.3">
      <c r="A256" s="28"/>
      <c r="B256" s="28"/>
      <c r="C256" s="28"/>
      <c r="D256" s="28"/>
      <c r="E256" s="28"/>
      <c r="F256" s="28"/>
      <c r="G256" s="28"/>
      <c r="H256" s="28"/>
      <c r="I256" s="28"/>
      <c r="J256" s="28"/>
      <c r="K256" s="28"/>
      <c r="L256" s="28"/>
      <c r="M256" s="28"/>
      <c r="N256" s="28"/>
      <c r="O256" s="28"/>
      <c r="T256" s="1" t="s">
        <v>273</v>
      </c>
      <c r="X256" s="1" t="s">
        <v>274</v>
      </c>
      <c r="Y256" s="1">
        <v>0.05</v>
      </c>
      <c r="AF256" s="344" t="s">
        <v>295</v>
      </c>
      <c r="AG256" s="344" t="s">
        <v>296</v>
      </c>
    </row>
    <row r="257" spans="1:33" ht="21" customHeight="1" thickTop="1" x14ac:dyDescent="0.25">
      <c r="A257" s="28"/>
      <c r="B257" s="28"/>
      <c r="C257" s="28"/>
      <c r="D257" s="28"/>
      <c r="E257" s="28"/>
      <c r="F257" s="28"/>
      <c r="G257" s="28"/>
      <c r="H257" s="28"/>
      <c r="I257" s="28"/>
      <c r="J257" s="28"/>
      <c r="K257" s="28"/>
      <c r="L257" s="28"/>
      <c r="M257" s="28"/>
      <c r="N257" s="28"/>
      <c r="O257" s="28"/>
      <c r="T257" s="332" t="s">
        <v>275</v>
      </c>
      <c r="U257" s="332" t="s">
        <v>276</v>
      </c>
      <c r="V257" s="332" t="s">
        <v>277</v>
      </c>
      <c r="W257" s="332" t="s">
        <v>278</v>
      </c>
      <c r="X257" s="332" t="s">
        <v>279</v>
      </c>
      <c r="Y257" s="332" t="s">
        <v>280</v>
      </c>
      <c r="Z257" s="332" t="s">
        <v>281</v>
      </c>
      <c r="AA257" s="332" t="s">
        <v>282</v>
      </c>
      <c r="AB257" s="332" t="s">
        <v>283</v>
      </c>
      <c r="AC257" s="332" t="s">
        <v>284</v>
      </c>
      <c r="AE257" s="1" t="s">
        <v>297</v>
      </c>
      <c r="AF257" s="345">
        <v>0.05</v>
      </c>
    </row>
    <row r="258" spans="1:33" ht="21" customHeight="1" x14ac:dyDescent="0.25">
      <c r="A258" s="28"/>
      <c r="B258" s="28"/>
      <c r="C258" s="28"/>
      <c r="D258" s="28"/>
      <c r="E258" s="28"/>
      <c r="F258" s="28"/>
      <c r="G258" s="28"/>
      <c r="H258" s="28"/>
      <c r="I258" s="28"/>
      <c r="J258" s="28"/>
      <c r="K258" s="28"/>
      <c r="L258" s="28"/>
      <c r="M258" s="28"/>
      <c r="N258" s="28"/>
      <c r="O258" s="28"/>
      <c r="T258" s="1" t="s">
        <v>285</v>
      </c>
      <c r="U258" s="1">
        <f>SQRT(W254*(1/U252+1/U253))</f>
        <v>0.18940214734068306</v>
      </c>
      <c r="V258" s="1">
        <f>(ABS(V252-V253-X250))/U258</f>
        <v>2.4308375550082082</v>
      </c>
      <c r="W258" s="1">
        <f>U252+U253-2</f>
        <v>10</v>
      </c>
      <c r="X258" s="1">
        <f>TDIST(V258,W258,1)</f>
        <v>1.7699725071662325E-2</v>
      </c>
      <c r="Y258" s="1">
        <f>TINV(Y256*2,W258)</f>
        <v>1.812461122811676</v>
      </c>
      <c r="AB258" s="327" t="str">
        <f>IF(X258&lt;Y256,"yes","no")</f>
        <v>yes</v>
      </c>
      <c r="AC258" s="1">
        <f>SQRT(V258^2/(V258^2+W258))</f>
        <v>0.6094455204582977</v>
      </c>
      <c r="AE258" s="1" t="s">
        <v>294</v>
      </c>
      <c r="AF258" s="346">
        <f>MIN(AF254,AG254)</f>
        <v>4</v>
      </c>
    </row>
    <row r="259" spans="1:33" ht="21" customHeight="1" x14ac:dyDescent="0.25">
      <c r="A259" s="28"/>
      <c r="B259" s="28"/>
      <c r="C259" s="28"/>
      <c r="D259" s="28"/>
      <c r="E259" s="28"/>
      <c r="F259" s="28"/>
      <c r="G259" s="28"/>
      <c r="H259" s="28"/>
      <c r="I259" s="28"/>
      <c r="J259" s="28"/>
      <c r="K259" s="28"/>
      <c r="L259" s="28"/>
      <c r="M259" s="28"/>
      <c r="N259" s="28"/>
      <c r="O259" s="28"/>
      <c r="T259" s="1" t="s">
        <v>286</v>
      </c>
      <c r="U259" s="1">
        <f>U258</f>
        <v>0.18940214734068306</v>
      </c>
      <c r="V259" s="327">
        <f t="shared" ref="V259:W259" si="46">V258</f>
        <v>2.4308375550082082</v>
      </c>
      <c r="W259" s="327">
        <f t="shared" si="46"/>
        <v>10</v>
      </c>
      <c r="X259" s="1">
        <f>TDIST(V259,W259,2)</f>
        <v>3.539945014332465E-2</v>
      </c>
      <c r="Y259" s="1">
        <f>TINV(Y256,W259)</f>
        <v>2.2281388519862744</v>
      </c>
      <c r="Z259" s="1">
        <f>(V252-V253)-Y259*U259</f>
        <v>-0.8824201358943351</v>
      </c>
      <c r="AA259" s="1">
        <f>(V252-V253)+Y259*U259</f>
        <v>-3.8391569615525645E-2</v>
      </c>
      <c r="AB259" s="327" t="str">
        <f>IF(X259&lt;Y256,"yes","no")</f>
        <v>yes</v>
      </c>
      <c r="AC259" s="1">
        <f>AC258</f>
        <v>0.6094455204582977</v>
      </c>
      <c r="AE259" s="1" t="s">
        <v>298</v>
      </c>
      <c r="AF259" s="346">
        <f>AF251*AG251/2</f>
        <v>16</v>
      </c>
    </row>
    <row r="260" spans="1:33" ht="21" customHeight="1" x14ac:dyDescent="0.25">
      <c r="A260" s="28"/>
      <c r="B260" s="28"/>
      <c r="C260" s="28"/>
      <c r="D260" s="28"/>
      <c r="E260" s="28"/>
      <c r="F260" s="28"/>
      <c r="G260" s="28"/>
      <c r="H260" s="28"/>
      <c r="I260" s="28"/>
      <c r="J260" s="28"/>
      <c r="K260" s="28"/>
      <c r="L260" s="28"/>
      <c r="M260" s="28"/>
      <c r="N260" s="28"/>
      <c r="O260" s="28"/>
      <c r="T260" s="334"/>
      <c r="U260" s="334"/>
      <c r="V260" s="334"/>
      <c r="W260" s="334"/>
      <c r="X260" s="334"/>
      <c r="Y260" s="334"/>
      <c r="Z260" s="334"/>
      <c r="AA260" s="334"/>
      <c r="AB260" s="334"/>
      <c r="AC260" s="334"/>
      <c r="AE260" s="1" t="s">
        <v>299</v>
      </c>
      <c r="AF260" s="346">
        <f>SQRT(AF259*(AF251+AG251+1)/6*(1-[1]!TiesCorrection(Q36:Q43,Q56:Q59,2)/((AF251+AG251)^3-AF251-AG251)))</f>
        <v>5.8775381364525865</v>
      </c>
      <c r="AG260" s="1" t="s">
        <v>300</v>
      </c>
    </row>
    <row r="261" spans="1:33" ht="21" customHeight="1" thickBot="1" x14ac:dyDescent="0.3">
      <c r="A261" s="28"/>
      <c r="B261" s="28"/>
      <c r="C261" s="28"/>
      <c r="D261" s="28"/>
      <c r="E261" s="28"/>
      <c r="F261" s="28"/>
      <c r="G261" s="28"/>
      <c r="H261" s="28"/>
      <c r="I261" s="28"/>
      <c r="J261" s="28"/>
      <c r="K261" s="28"/>
      <c r="L261" s="28"/>
      <c r="M261" s="28"/>
      <c r="N261" s="28"/>
      <c r="O261" s="28"/>
      <c r="T261" s="1" t="s">
        <v>287</v>
      </c>
      <c r="X261" s="1" t="s">
        <v>274</v>
      </c>
      <c r="Y261" s="1">
        <f>Y256</f>
        <v>0.05</v>
      </c>
      <c r="AE261" s="1" t="s">
        <v>19</v>
      </c>
      <c r="AF261" s="346">
        <f>ABS(STANDARDIZE(AF258,AF259,AF260))</f>
        <v>2.041671142136162</v>
      </c>
    </row>
    <row r="262" spans="1:33" ht="21" customHeight="1" thickTop="1" x14ac:dyDescent="0.25">
      <c r="A262" s="28"/>
      <c r="B262" s="28"/>
      <c r="C262" s="28"/>
      <c r="D262" s="28"/>
      <c r="E262" s="28"/>
      <c r="F262" s="28"/>
      <c r="G262" s="28"/>
      <c r="H262" s="28"/>
      <c r="I262" s="28"/>
      <c r="J262" s="28"/>
      <c r="K262" s="28"/>
      <c r="L262" s="28"/>
      <c r="M262" s="28"/>
      <c r="N262" s="28"/>
      <c r="O262" s="28"/>
      <c r="T262" s="332" t="s">
        <v>275</v>
      </c>
      <c r="U262" s="332" t="s">
        <v>276</v>
      </c>
      <c r="V262" s="332" t="s">
        <v>277</v>
      </c>
      <c r="W262" s="332" t="s">
        <v>278</v>
      </c>
      <c r="X262" s="332" t="s">
        <v>279</v>
      </c>
      <c r="Y262" s="332" t="s">
        <v>280</v>
      </c>
      <c r="Z262" s="332" t="s">
        <v>281</v>
      </c>
      <c r="AA262" s="332" t="s">
        <v>282</v>
      </c>
      <c r="AB262" s="332" t="s">
        <v>283</v>
      </c>
      <c r="AC262" s="332" t="s">
        <v>284</v>
      </c>
      <c r="AE262" s="1" t="s">
        <v>284</v>
      </c>
      <c r="AF262" s="346">
        <f>AF261/SQRT(AF251+AG251)</f>
        <v>0.58937969175450189</v>
      </c>
    </row>
    <row r="263" spans="1:33" ht="21" customHeight="1" x14ac:dyDescent="0.25">
      <c r="A263" s="28"/>
      <c r="B263" s="28"/>
      <c r="C263" s="28"/>
      <c r="D263" s="28"/>
      <c r="E263" s="28"/>
      <c r="F263" s="28"/>
      <c r="G263" s="28"/>
      <c r="H263" s="28"/>
      <c r="I263" s="28"/>
      <c r="J263" s="28"/>
      <c r="K263" s="28"/>
      <c r="L263" s="28"/>
      <c r="M263" s="28"/>
      <c r="N263" s="28"/>
      <c r="O263" s="28"/>
      <c r="T263" s="1" t="s">
        <v>285</v>
      </c>
      <c r="U263" s="1">
        <f>SQRT(W252/U252+W253/U253)</f>
        <v>0.20136736664696525</v>
      </c>
      <c r="V263" s="1">
        <f>(ABS(V252-V253-X250))/U263</f>
        <v>2.2863975450506246</v>
      </c>
      <c r="W263" s="1">
        <f>(W252/U252+W253/U253)^2/((W252/U252)^2/(U252-1)+(W253/U253)^2/(U253-1))</f>
        <v>5.2424418497959966</v>
      </c>
      <c r="X263" s="1">
        <f>TDIST(V263,ROUND(W263,0),1)</f>
        <v>3.5484071338567472E-2</v>
      </c>
      <c r="Y263" s="1">
        <f>TINV(Y261*2,ROUND(W263,0))</f>
        <v>2.0150483733330233</v>
      </c>
      <c r="AB263" s="327" t="str">
        <f>IF(X263&lt;Y261,"yes","no")</f>
        <v>yes</v>
      </c>
      <c r="AC263" s="1">
        <f>SQRT(V263^2/(V263^2+W263))</f>
        <v>0.70660588717929973</v>
      </c>
      <c r="AE263" s="1" t="s">
        <v>301</v>
      </c>
      <c r="AF263" s="345">
        <f>AF259+AF260*NORMSINV(AF257)</f>
        <v>6.3323100787103641</v>
      </c>
      <c r="AG263" s="337">
        <f>AF259+AF260*NORMSINV(AF257/2)</f>
        <v>4.4802369347922664</v>
      </c>
    </row>
    <row r="264" spans="1:33" ht="21" customHeight="1" x14ac:dyDescent="0.25">
      <c r="A264" s="28"/>
      <c r="B264" s="28"/>
      <c r="C264" s="28"/>
      <c r="D264" s="28"/>
      <c r="E264" s="28"/>
      <c r="F264" s="28"/>
      <c r="G264" s="28"/>
      <c r="H264" s="28"/>
      <c r="I264" s="28"/>
      <c r="J264" s="28"/>
      <c r="K264" s="28"/>
      <c r="L264" s="28"/>
      <c r="M264" s="28"/>
      <c r="N264" s="28"/>
      <c r="O264" s="28"/>
      <c r="T264" s="1" t="s">
        <v>286</v>
      </c>
      <c r="U264" s="1">
        <f>U263</f>
        <v>0.20136736664696525</v>
      </c>
      <c r="V264" s="327">
        <f t="shared" ref="V264:W264" si="47">V263</f>
        <v>2.2863975450506246</v>
      </c>
      <c r="W264" s="327">
        <f t="shared" si="47"/>
        <v>5.2424418497959966</v>
      </c>
      <c r="X264" s="1">
        <f>TDIST(V264,ROUND(W264,0),2)</f>
        <v>7.0968142677134943E-2</v>
      </c>
      <c r="Y264" s="1">
        <f>TINV(Y261,ROUND(W264,0))</f>
        <v>2.570581835636315</v>
      </c>
      <c r="Z264" s="1">
        <f>(V252-V253)-Y264*U264</f>
        <v>-0.97803714774753725</v>
      </c>
      <c r="AA264" s="1">
        <f>(V252-V253)+Y264*U264</f>
        <v>5.7225442237676449E-2</v>
      </c>
      <c r="AB264" s="327" t="str">
        <f>IF(X264&lt;Y261,"yes","no")</f>
        <v>no</v>
      </c>
      <c r="AC264" s="1">
        <f>AC263</f>
        <v>0.70660588717929973</v>
      </c>
      <c r="AE264" s="1" t="s">
        <v>279</v>
      </c>
      <c r="AF264" s="346">
        <f>1-NORMSDIST(AF261)</f>
        <v>2.0592081577694654E-2</v>
      </c>
      <c r="AG264" s="341">
        <f>2*AF264</f>
        <v>4.1184163155389308E-2</v>
      </c>
    </row>
    <row r="265" spans="1:33" ht="21" customHeight="1" x14ac:dyDescent="0.25">
      <c r="A265" s="28"/>
      <c r="B265" s="28"/>
      <c r="C265" s="28"/>
      <c r="D265" s="28"/>
      <c r="E265" s="28"/>
      <c r="F265" s="28"/>
      <c r="G265" s="28"/>
      <c r="H265" s="28"/>
      <c r="I265" s="28"/>
      <c r="J265" s="28"/>
      <c r="K265" s="28"/>
      <c r="L265" s="28"/>
      <c r="M265" s="28"/>
      <c r="N265" s="28"/>
      <c r="O265" s="28"/>
      <c r="T265" s="334"/>
      <c r="U265" s="334"/>
      <c r="V265" s="334"/>
      <c r="W265" s="334"/>
      <c r="X265" s="334"/>
      <c r="Y265" s="334"/>
      <c r="Z265" s="334"/>
      <c r="AA265" s="334"/>
      <c r="AB265" s="334"/>
      <c r="AC265" s="334"/>
      <c r="AE265" s="1" t="s">
        <v>302</v>
      </c>
      <c r="AF265" s="347" t="str">
        <f>IF(AF264&lt;AF257,"yes","no")</f>
        <v>yes</v>
      </c>
      <c r="AG265" s="348" t="str">
        <f>IF(AG264&lt;AF257,"yes","no")</f>
        <v>yes</v>
      </c>
    </row>
    <row r="266" spans="1:33" ht="21" customHeight="1" x14ac:dyDescent="0.25">
      <c r="A266" s="28"/>
      <c r="B266" s="28"/>
      <c r="C266" s="28"/>
      <c r="D266" s="28"/>
      <c r="E266" s="28"/>
      <c r="F266" s="28"/>
      <c r="G266" s="28"/>
      <c r="H266" s="28"/>
      <c r="I266" s="28"/>
      <c r="J266" s="28"/>
      <c r="K266" s="28"/>
      <c r="L266" s="28"/>
      <c r="M266" s="28"/>
      <c r="N266" s="28"/>
      <c r="O266" s="28"/>
    </row>
    <row r="267" spans="1:33" ht="21" customHeight="1" x14ac:dyDescent="0.25">
      <c r="A267" s="28"/>
      <c r="B267" s="28"/>
      <c r="C267" s="28"/>
      <c r="D267" s="28"/>
      <c r="E267" s="28"/>
      <c r="F267" s="28"/>
      <c r="G267" s="28"/>
      <c r="H267" s="28"/>
      <c r="I267" s="28"/>
      <c r="J267" s="28"/>
      <c r="K267" s="28"/>
      <c r="L267" s="28"/>
      <c r="M267" s="28"/>
      <c r="N267" s="28"/>
      <c r="O267" s="28"/>
      <c r="AE267" s="1" t="s">
        <v>301</v>
      </c>
      <c r="AF267" s="345">
        <f>[1]!MCRIT(AF251,AG251,AF257,1)</f>
        <v>5</v>
      </c>
      <c r="AG267" s="345">
        <f>[1]!MCRIT(AF251,AG251,AF257,2)</f>
        <v>4</v>
      </c>
    </row>
    <row r="268" spans="1:33" ht="21" customHeight="1" x14ac:dyDescent="0.25">
      <c r="A268" s="28"/>
      <c r="B268" s="28"/>
      <c r="C268" s="28"/>
      <c r="D268" s="28"/>
      <c r="E268" s="28"/>
      <c r="F268" s="28"/>
      <c r="G268" s="28"/>
      <c r="H268" s="28"/>
      <c r="I268" s="28"/>
      <c r="J268" s="28"/>
      <c r="K268" s="28"/>
      <c r="L268" s="28"/>
      <c r="M268" s="28"/>
      <c r="N268" s="28"/>
      <c r="O268" s="28"/>
      <c r="AE268" s="1" t="s">
        <v>311</v>
      </c>
      <c r="AF268" s="347" t="str">
        <f>IF(ISNUMBER(AF267),IF(AF258&lt;AF267,"yes","no"),"no")</f>
        <v>yes</v>
      </c>
      <c r="AG268" s="347" t="str">
        <f>IF(ISNUMBER(AG267),IF(AF258&lt;AG267,"yes","no"),"no")</f>
        <v>no</v>
      </c>
    </row>
    <row r="269" spans="1:33" ht="21" customHeight="1" x14ac:dyDescent="0.25">
      <c r="A269" s="28"/>
      <c r="B269" s="28"/>
      <c r="C269" s="28"/>
      <c r="D269" s="28"/>
      <c r="E269" s="28"/>
      <c r="F269" s="28"/>
      <c r="G269" s="28"/>
      <c r="H269" s="28"/>
      <c r="I269" s="28"/>
      <c r="J269" s="28"/>
      <c r="K269" s="28"/>
      <c r="L269" s="28"/>
      <c r="M269" s="28"/>
      <c r="N269" s="28"/>
      <c r="O269" s="28"/>
    </row>
    <row r="270" spans="1:33" ht="21" customHeight="1" x14ac:dyDescent="0.25">
      <c r="A270" s="28"/>
      <c r="B270" s="28"/>
      <c r="C270" s="28"/>
      <c r="D270" s="28"/>
      <c r="E270" s="28"/>
      <c r="F270" s="28"/>
      <c r="G270" s="28"/>
      <c r="H270" s="28"/>
      <c r="I270" s="28"/>
      <c r="J270" s="28"/>
      <c r="K270" s="28"/>
      <c r="L270" s="28"/>
      <c r="M270" s="28"/>
      <c r="N270" s="28"/>
      <c r="O270" s="28"/>
      <c r="AE270" s="1" t="s">
        <v>279</v>
      </c>
      <c r="AF270" s="345">
        <f>[1]!MANN_EXACT(Q36:Q43,Q56:Q59,1)</f>
        <v>2.4242424242424242E-2</v>
      </c>
      <c r="AG270" s="345">
        <f>2*AF270</f>
        <v>4.8484848484848485E-2</v>
      </c>
    </row>
    <row r="271" spans="1:33" ht="21" customHeight="1" x14ac:dyDescent="0.25">
      <c r="A271" s="28"/>
      <c r="B271" s="28"/>
      <c r="C271" s="28"/>
      <c r="D271" s="28"/>
      <c r="E271" s="28"/>
      <c r="F271" s="28"/>
      <c r="G271" s="28"/>
      <c r="H271" s="28"/>
      <c r="I271" s="28"/>
      <c r="J271" s="28"/>
      <c r="K271" s="28"/>
      <c r="L271" s="28"/>
      <c r="M271" s="28"/>
      <c r="N271" s="28"/>
      <c r="O271" s="28"/>
      <c r="AE271" s="1" t="s">
        <v>303</v>
      </c>
      <c r="AF271" s="347" t="str">
        <f>IF(AF270&lt;AF257,"yes","no")</f>
        <v>yes</v>
      </c>
      <c r="AG271" s="347" t="str">
        <f>IF(AG270&lt;AF257,"yes","no")</f>
        <v>yes</v>
      </c>
    </row>
    <row r="272" spans="1:33" ht="21" customHeight="1" x14ac:dyDescent="0.25">
      <c r="A272" s="28"/>
      <c r="B272" s="28"/>
      <c r="C272" s="28"/>
      <c r="D272" s="28"/>
      <c r="E272" s="28"/>
      <c r="F272" s="28"/>
      <c r="G272" s="28"/>
      <c r="H272" s="28"/>
      <c r="I272" s="28"/>
      <c r="J272" s="28"/>
      <c r="K272" s="28"/>
      <c r="L272" s="28"/>
      <c r="M272" s="28"/>
      <c r="N272" s="28"/>
      <c r="O272" s="28"/>
    </row>
    <row r="273" spans="1:15" ht="21" customHeight="1" x14ac:dyDescent="0.25">
      <c r="A273" s="28"/>
      <c r="B273" s="28"/>
      <c r="C273" s="28"/>
      <c r="D273" s="28"/>
      <c r="E273" s="28"/>
      <c r="F273" s="28"/>
      <c r="G273" s="28"/>
      <c r="H273" s="28"/>
      <c r="I273" s="28"/>
      <c r="J273" s="28"/>
      <c r="K273" s="28"/>
      <c r="L273" s="28"/>
      <c r="M273" s="28"/>
      <c r="N273" s="28"/>
      <c r="O273" s="28"/>
    </row>
    <row r="274" spans="1:15" ht="21" customHeight="1" x14ac:dyDescent="0.25">
      <c r="A274" s="28"/>
      <c r="B274" s="28"/>
      <c r="C274" s="28"/>
      <c r="D274" s="28"/>
      <c r="E274" s="28"/>
      <c r="F274" s="28"/>
      <c r="G274" s="28"/>
      <c r="H274" s="28"/>
      <c r="I274" s="28"/>
      <c r="J274" s="28"/>
      <c r="K274" s="28"/>
      <c r="L274" s="28"/>
      <c r="M274" s="28"/>
      <c r="N274" s="28"/>
      <c r="O274" s="28"/>
    </row>
    <row r="275" spans="1:15" ht="21" customHeight="1" x14ac:dyDescent="0.25">
      <c r="A275" s="28"/>
      <c r="B275" s="28"/>
      <c r="C275" s="28"/>
      <c r="D275" s="28"/>
      <c r="E275" s="28"/>
      <c r="F275" s="28"/>
      <c r="G275" s="28"/>
      <c r="H275" s="28"/>
      <c r="I275" s="28"/>
      <c r="J275" s="28"/>
      <c r="K275" s="28"/>
      <c r="L275" s="28"/>
      <c r="M275" s="28"/>
      <c r="N275" s="28"/>
      <c r="O275" s="28"/>
    </row>
    <row r="276" spans="1:15" ht="21" customHeight="1" x14ac:dyDescent="0.25">
      <c r="A276" s="28"/>
      <c r="B276" s="28"/>
      <c r="C276" s="28"/>
      <c r="D276" s="28"/>
      <c r="E276" s="28"/>
      <c r="F276" s="28"/>
      <c r="G276" s="28"/>
      <c r="H276" s="28"/>
      <c r="I276" s="28"/>
      <c r="J276" s="28"/>
      <c r="K276" s="28"/>
      <c r="L276" s="28"/>
      <c r="M276" s="28"/>
      <c r="N276" s="28"/>
      <c r="O276" s="28"/>
    </row>
    <row r="277" spans="1:15" ht="21" customHeight="1" x14ac:dyDescent="0.25">
      <c r="A277" s="28"/>
      <c r="B277" s="28"/>
      <c r="C277" s="28"/>
      <c r="D277" s="28"/>
      <c r="E277" s="28"/>
      <c r="F277" s="28"/>
      <c r="G277" s="28"/>
      <c r="H277" s="28"/>
      <c r="I277" s="28"/>
      <c r="J277" s="28"/>
      <c r="K277" s="28"/>
      <c r="L277" s="28"/>
      <c r="M277" s="28"/>
      <c r="N277" s="28"/>
      <c r="O277" s="28"/>
    </row>
    <row r="278" spans="1:15" ht="21" customHeight="1" x14ac:dyDescent="0.25">
      <c r="A278" s="28"/>
      <c r="B278" s="28"/>
      <c r="C278" s="28"/>
      <c r="D278" s="28"/>
      <c r="E278" s="28"/>
      <c r="F278" s="28"/>
      <c r="G278" s="28"/>
      <c r="H278" s="28"/>
      <c r="I278" s="28"/>
      <c r="J278" s="28"/>
      <c r="K278" s="28"/>
      <c r="L278" s="28"/>
      <c r="M278" s="28"/>
      <c r="N278" s="28"/>
      <c r="O278" s="28"/>
    </row>
    <row r="279" spans="1:15" ht="21" customHeight="1" x14ac:dyDescent="0.25">
      <c r="A279" s="28"/>
      <c r="B279" s="28"/>
      <c r="C279" s="28"/>
      <c r="D279" s="28"/>
      <c r="E279" s="28"/>
      <c r="F279" s="28"/>
      <c r="G279" s="28"/>
      <c r="H279" s="28"/>
      <c r="I279" s="28"/>
      <c r="J279" s="28"/>
      <c r="K279" s="28"/>
      <c r="L279" s="28"/>
      <c r="M279" s="28"/>
      <c r="N279" s="28"/>
      <c r="O279" s="28"/>
    </row>
    <row r="280" spans="1:15" ht="21" customHeight="1" x14ac:dyDescent="0.25">
      <c r="A280" s="28"/>
      <c r="B280" s="28"/>
      <c r="C280" s="28"/>
      <c r="D280" s="28"/>
      <c r="E280" s="28"/>
      <c r="F280" s="28"/>
      <c r="G280" s="28"/>
      <c r="H280" s="28"/>
      <c r="I280" s="28"/>
      <c r="J280" s="28"/>
      <c r="K280" s="28"/>
      <c r="L280" s="28"/>
      <c r="M280" s="28"/>
      <c r="N280" s="28"/>
      <c r="O280" s="28"/>
    </row>
    <row r="281" spans="1:15" ht="21" customHeight="1" x14ac:dyDescent="0.25">
      <c r="A281" s="28"/>
      <c r="B281" s="28"/>
      <c r="C281" s="28"/>
      <c r="D281" s="28"/>
      <c r="E281" s="28"/>
      <c r="F281" s="28"/>
      <c r="G281" s="28"/>
      <c r="H281" s="28"/>
      <c r="I281" s="28"/>
      <c r="J281" s="28"/>
      <c r="K281" s="28"/>
      <c r="L281" s="28"/>
      <c r="M281" s="28"/>
      <c r="N281" s="28"/>
      <c r="O281" s="28"/>
    </row>
    <row r="282" spans="1:15" ht="21" customHeight="1" x14ac:dyDescent="0.25">
      <c r="A282" s="28"/>
      <c r="B282" s="28"/>
      <c r="C282" s="28"/>
      <c r="D282" s="28"/>
      <c r="E282" s="28"/>
      <c r="F282" s="28"/>
      <c r="G282" s="28"/>
      <c r="H282" s="28"/>
      <c r="I282" s="28"/>
      <c r="J282" s="28"/>
      <c r="K282" s="28"/>
      <c r="L282" s="28"/>
      <c r="M282" s="28"/>
      <c r="N282" s="28"/>
      <c r="O282" s="28"/>
    </row>
    <row r="283" spans="1:15" ht="21" customHeight="1" x14ac:dyDescent="0.25">
      <c r="A283" s="28"/>
      <c r="B283" s="28"/>
      <c r="C283" s="28"/>
      <c r="D283" s="28"/>
      <c r="E283" s="28"/>
      <c r="F283" s="28"/>
      <c r="G283" s="28"/>
      <c r="H283" s="28"/>
      <c r="I283" s="28"/>
      <c r="J283" s="28"/>
      <c r="K283" s="28"/>
      <c r="L283" s="28"/>
      <c r="M283" s="28"/>
      <c r="N283" s="28"/>
      <c r="O283" s="28"/>
    </row>
    <row r="284" spans="1:15" ht="21" customHeight="1" x14ac:dyDescent="0.25">
      <c r="A284" s="28"/>
      <c r="B284" s="28"/>
      <c r="C284" s="28"/>
      <c r="D284" s="28"/>
      <c r="E284" s="28"/>
      <c r="F284" s="28"/>
      <c r="G284" s="28"/>
      <c r="H284" s="28"/>
      <c r="I284" s="28"/>
      <c r="J284" s="28"/>
      <c r="K284" s="28"/>
      <c r="L284" s="28"/>
      <c r="M284" s="28"/>
      <c r="N284" s="28"/>
      <c r="O284" s="28"/>
    </row>
    <row r="285" spans="1:15" ht="21" customHeight="1" x14ac:dyDescent="0.25">
      <c r="A285" s="28"/>
      <c r="B285" s="28"/>
      <c r="C285" s="28"/>
      <c r="D285" s="28"/>
      <c r="E285" s="28"/>
      <c r="F285" s="28"/>
      <c r="G285" s="28"/>
      <c r="H285" s="28"/>
      <c r="I285" s="28"/>
      <c r="J285" s="28"/>
      <c r="K285" s="28"/>
      <c r="L285" s="28"/>
      <c r="M285" s="28"/>
      <c r="N285" s="28"/>
      <c r="O285" s="28"/>
    </row>
    <row r="286" spans="1:15" ht="21" customHeight="1" x14ac:dyDescent="0.25">
      <c r="A286" s="28"/>
      <c r="B286" s="28"/>
      <c r="C286" s="28"/>
      <c r="D286" s="28"/>
      <c r="E286" s="28"/>
      <c r="F286" s="28"/>
      <c r="G286" s="28"/>
      <c r="H286" s="28"/>
      <c r="I286" s="28"/>
      <c r="J286" s="28"/>
      <c r="K286" s="28"/>
      <c r="L286" s="28"/>
      <c r="M286" s="28"/>
      <c r="N286" s="28"/>
      <c r="O286" s="28"/>
    </row>
    <row r="287" spans="1:15" ht="21" customHeight="1" x14ac:dyDescent="0.25">
      <c r="A287" s="28"/>
      <c r="B287" s="28"/>
      <c r="C287" s="28"/>
      <c r="D287" s="28"/>
      <c r="E287" s="28"/>
      <c r="F287" s="28"/>
      <c r="G287" s="28"/>
      <c r="H287" s="28"/>
      <c r="I287" s="28"/>
      <c r="J287" s="28"/>
      <c r="K287" s="28"/>
      <c r="L287" s="28"/>
      <c r="M287" s="28"/>
      <c r="N287" s="28"/>
      <c r="O287" s="28"/>
    </row>
    <row r="288" spans="1:15" ht="21" customHeight="1" x14ac:dyDescent="0.25">
      <c r="A288" s="28"/>
      <c r="B288" s="28"/>
      <c r="C288" s="28"/>
      <c r="D288" s="28"/>
      <c r="E288" s="28"/>
      <c r="F288" s="28"/>
      <c r="G288" s="28"/>
      <c r="H288" s="28"/>
      <c r="I288" s="28"/>
      <c r="J288" s="28"/>
      <c r="K288" s="28"/>
      <c r="L288" s="28"/>
      <c r="M288" s="28"/>
      <c r="N288" s="28"/>
      <c r="O288" s="28"/>
    </row>
    <row r="289" spans="1:15" ht="21" customHeight="1" x14ac:dyDescent="0.25">
      <c r="A289" s="28"/>
      <c r="B289" s="28"/>
      <c r="C289" s="28"/>
      <c r="D289" s="28"/>
      <c r="E289" s="28"/>
      <c r="F289" s="28"/>
      <c r="G289" s="28"/>
      <c r="H289" s="28"/>
      <c r="I289" s="28"/>
      <c r="J289" s="28"/>
      <c r="K289" s="28"/>
      <c r="L289" s="28"/>
      <c r="M289" s="28"/>
      <c r="N289" s="28"/>
      <c r="O289" s="28"/>
    </row>
    <row r="290" spans="1:15" ht="21" customHeight="1" x14ac:dyDescent="0.25">
      <c r="A290" s="28"/>
      <c r="B290" s="28"/>
      <c r="C290" s="28"/>
      <c r="D290" s="28"/>
      <c r="E290" s="28"/>
      <c r="F290" s="28"/>
      <c r="G290" s="28"/>
      <c r="H290" s="28"/>
      <c r="I290" s="28"/>
      <c r="J290" s="28"/>
      <c r="K290" s="28"/>
      <c r="L290" s="28"/>
      <c r="M290" s="28"/>
      <c r="N290" s="28"/>
      <c r="O290" s="28"/>
    </row>
    <row r="291" spans="1:15" ht="21" customHeight="1" x14ac:dyDescent="0.25">
      <c r="A291" s="28"/>
      <c r="B291" s="28"/>
      <c r="C291" s="28"/>
      <c r="D291" s="28"/>
      <c r="E291" s="28"/>
      <c r="F291" s="28"/>
      <c r="G291" s="28"/>
      <c r="H291" s="28"/>
      <c r="I291" s="28"/>
      <c r="J291" s="28"/>
      <c r="K291" s="28"/>
      <c r="L291" s="28"/>
      <c r="M291" s="28"/>
      <c r="N291" s="28"/>
      <c r="O291" s="28"/>
    </row>
    <row r="292" spans="1:15" ht="21" customHeight="1" x14ac:dyDescent="0.25">
      <c r="A292" s="28"/>
      <c r="B292" s="28"/>
      <c r="C292" s="28"/>
      <c r="D292" s="28"/>
      <c r="E292" s="28"/>
      <c r="F292" s="28"/>
      <c r="G292" s="28"/>
      <c r="H292" s="28"/>
      <c r="I292" s="28"/>
      <c r="J292" s="28"/>
      <c r="K292" s="28"/>
      <c r="L292" s="28"/>
      <c r="M292" s="28"/>
      <c r="N292" s="28"/>
      <c r="O292" s="28"/>
    </row>
    <row r="293" spans="1:15" ht="21" customHeight="1" x14ac:dyDescent="0.25">
      <c r="A293" s="28"/>
      <c r="B293" s="28"/>
      <c r="C293" s="28"/>
      <c r="D293" s="28"/>
      <c r="E293" s="28"/>
      <c r="F293" s="28"/>
      <c r="G293" s="28"/>
      <c r="H293" s="28"/>
      <c r="I293" s="28"/>
      <c r="J293" s="28"/>
      <c r="K293" s="28"/>
      <c r="L293" s="28"/>
      <c r="M293" s="28"/>
      <c r="N293" s="28"/>
      <c r="O293" s="28"/>
    </row>
    <row r="294" spans="1:15" ht="21" customHeight="1" x14ac:dyDescent="0.25">
      <c r="A294" s="28"/>
      <c r="B294" s="28"/>
      <c r="C294" s="28"/>
      <c r="D294" s="28"/>
      <c r="E294" s="28"/>
      <c r="F294" s="28"/>
      <c r="G294" s="28"/>
      <c r="H294" s="28"/>
      <c r="I294" s="28"/>
      <c r="J294" s="28"/>
      <c r="K294" s="28"/>
      <c r="L294" s="28"/>
      <c r="M294" s="28"/>
      <c r="N294" s="28"/>
      <c r="O294" s="28"/>
    </row>
    <row r="295" spans="1:15" ht="21" customHeight="1" x14ac:dyDescent="0.25">
      <c r="A295" s="28"/>
      <c r="B295" s="28"/>
      <c r="C295" s="28"/>
      <c r="D295" s="28"/>
      <c r="E295" s="28"/>
      <c r="F295" s="28"/>
      <c r="G295" s="28"/>
      <c r="H295" s="28"/>
      <c r="I295" s="28"/>
      <c r="J295" s="28"/>
      <c r="K295" s="28"/>
      <c r="L295" s="28"/>
      <c r="M295" s="28"/>
      <c r="N295" s="28"/>
      <c r="O295" s="28"/>
    </row>
    <row r="296" spans="1:15" ht="21" customHeight="1" x14ac:dyDescent="0.25">
      <c r="A296" s="28"/>
      <c r="B296" s="28"/>
      <c r="C296" s="28"/>
      <c r="D296" s="28"/>
      <c r="E296" s="28"/>
      <c r="F296" s="28"/>
      <c r="G296" s="28"/>
      <c r="H296" s="28"/>
      <c r="I296" s="28"/>
      <c r="J296" s="28"/>
      <c r="K296" s="28"/>
      <c r="L296" s="28"/>
      <c r="M296" s="28"/>
      <c r="N296" s="28"/>
      <c r="O296" s="28"/>
    </row>
    <row r="297" spans="1:15" ht="21" customHeight="1" x14ac:dyDescent="0.25">
      <c r="A297" s="28"/>
      <c r="B297" s="28"/>
      <c r="C297" s="28"/>
      <c r="D297" s="28"/>
      <c r="E297" s="28"/>
      <c r="F297" s="28"/>
      <c r="G297" s="28"/>
      <c r="H297" s="28"/>
      <c r="I297" s="28"/>
      <c r="J297" s="28"/>
      <c r="K297" s="28"/>
      <c r="L297" s="28"/>
      <c r="M297" s="28"/>
      <c r="N297" s="28"/>
      <c r="O297" s="28"/>
    </row>
    <row r="298" spans="1:15" ht="21" customHeight="1" x14ac:dyDescent="0.25">
      <c r="A298" s="28"/>
      <c r="B298" s="28"/>
      <c r="C298" s="28"/>
      <c r="D298" s="28"/>
      <c r="E298" s="28"/>
      <c r="F298" s="28"/>
      <c r="G298" s="28"/>
      <c r="H298" s="28"/>
      <c r="I298" s="28"/>
      <c r="J298" s="28"/>
      <c r="K298" s="28"/>
      <c r="L298" s="28"/>
      <c r="M298" s="28"/>
      <c r="N298" s="28"/>
      <c r="O298" s="28"/>
    </row>
    <row r="299" spans="1:15" ht="21" customHeight="1" x14ac:dyDescent="0.25">
      <c r="A299" s="28"/>
      <c r="B299" s="28"/>
      <c r="C299" s="28"/>
      <c r="D299" s="28"/>
      <c r="E299" s="28"/>
      <c r="F299" s="28"/>
      <c r="G299" s="28"/>
      <c r="H299" s="28"/>
      <c r="I299" s="28"/>
      <c r="J299" s="28"/>
      <c r="K299" s="28"/>
      <c r="L299" s="28"/>
      <c r="M299" s="28"/>
      <c r="N299" s="28"/>
      <c r="O299" s="28"/>
    </row>
    <row r="300" spans="1:15" ht="21" customHeight="1" x14ac:dyDescent="0.25">
      <c r="A300" s="28"/>
      <c r="B300" s="28"/>
      <c r="C300" s="28"/>
      <c r="D300" s="28"/>
      <c r="E300" s="28"/>
      <c r="F300" s="28"/>
      <c r="G300" s="28"/>
      <c r="H300" s="28"/>
      <c r="I300" s="28"/>
      <c r="J300" s="28"/>
      <c r="K300" s="28"/>
      <c r="L300" s="28"/>
      <c r="M300" s="28"/>
      <c r="N300" s="28"/>
      <c r="O300" s="28"/>
    </row>
    <row r="301" spans="1:15" ht="21" customHeight="1" x14ac:dyDescent="0.25">
      <c r="A301" s="28"/>
      <c r="B301" s="28"/>
      <c r="C301" s="28"/>
      <c r="D301" s="28"/>
      <c r="E301" s="28"/>
      <c r="F301" s="28"/>
      <c r="G301" s="28"/>
      <c r="H301" s="28"/>
      <c r="I301" s="28"/>
      <c r="J301" s="28"/>
      <c r="K301" s="28"/>
      <c r="L301" s="28"/>
      <c r="M301" s="28"/>
      <c r="N301" s="28"/>
      <c r="O301" s="28"/>
    </row>
    <row r="302" spans="1:15" ht="21" customHeight="1" x14ac:dyDescent="0.25">
      <c r="A302" s="28"/>
      <c r="B302" s="28"/>
      <c r="C302" s="28"/>
      <c r="D302" s="28"/>
      <c r="E302" s="28"/>
      <c r="F302" s="28"/>
      <c r="G302" s="28"/>
      <c r="H302" s="28"/>
      <c r="I302" s="28"/>
      <c r="J302" s="28"/>
      <c r="K302" s="28"/>
      <c r="L302" s="28"/>
      <c r="M302" s="28"/>
      <c r="N302" s="28"/>
      <c r="O302" s="28"/>
    </row>
    <row r="303" spans="1:15" ht="21" customHeight="1" x14ac:dyDescent="0.25">
      <c r="A303" s="28"/>
      <c r="B303" s="28"/>
      <c r="C303" s="28"/>
      <c r="D303" s="28"/>
      <c r="E303" s="28"/>
      <c r="F303" s="28"/>
      <c r="G303" s="28"/>
      <c r="H303" s="28"/>
      <c r="I303" s="28"/>
      <c r="J303" s="28"/>
      <c r="K303" s="28"/>
      <c r="L303" s="28"/>
      <c r="M303" s="28"/>
      <c r="N303" s="28"/>
      <c r="O303" s="28"/>
    </row>
    <row r="304" spans="1:15" ht="21" customHeight="1" x14ac:dyDescent="0.25">
      <c r="A304" s="28"/>
      <c r="B304" s="28"/>
      <c r="C304" s="28"/>
      <c r="D304" s="28"/>
      <c r="E304" s="28"/>
      <c r="F304" s="28"/>
      <c r="G304" s="28"/>
      <c r="H304" s="28"/>
      <c r="I304" s="28"/>
      <c r="J304" s="28"/>
      <c r="K304" s="28"/>
      <c r="L304" s="28"/>
      <c r="M304" s="28"/>
      <c r="N304" s="28"/>
      <c r="O304" s="28"/>
    </row>
    <row r="305" spans="1:15" ht="21" customHeight="1" x14ac:dyDescent="0.25">
      <c r="A305" s="28"/>
      <c r="B305" s="28"/>
      <c r="C305" s="28"/>
      <c r="D305" s="28"/>
      <c r="E305" s="28"/>
      <c r="F305" s="28"/>
      <c r="G305" s="28"/>
      <c r="H305" s="28"/>
      <c r="I305" s="28"/>
      <c r="J305" s="28"/>
      <c r="K305" s="28"/>
      <c r="L305" s="28"/>
      <c r="M305" s="28"/>
      <c r="N305" s="28"/>
      <c r="O305" s="28"/>
    </row>
    <row r="306" spans="1:15" ht="21" customHeight="1" x14ac:dyDescent="0.25">
      <c r="A306" s="28"/>
      <c r="B306" s="28"/>
      <c r="C306" s="28"/>
      <c r="D306" s="28"/>
      <c r="E306" s="28"/>
      <c r="F306" s="28"/>
      <c r="G306" s="28"/>
      <c r="H306" s="28"/>
      <c r="I306" s="28"/>
      <c r="J306" s="28"/>
      <c r="K306" s="28"/>
      <c r="L306" s="28"/>
      <c r="M306" s="28"/>
      <c r="N306" s="28"/>
      <c r="O306" s="28"/>
    </row>
    <row r="307" spans="1:15" ht="21" customHeight="1" x14ac:dyDescent="0.25">
      <c r="A307" s="28"/>
      <c r="B307" s="28"/>
      <c r="C307" s="28"/>
      <c r="D307" s="28"/>
      <c r="E307" s="28"/>
      <c r="F307" s="28"/>
      <c r="G307" s="28"/>
      <c r="H307" s="28"/>
      <c r="I307" s="28"/>
      <c r="J307" s="28"/>
      <c r="K307" s="28"/>
      <c r="L307" s="28"/>
      <c r="M307" s="28"/>
      <c r="N307" s="28"/>
      <c r="O307" s="28"/>
    </row>
    <row r="308" spans="1:15" ht="21" customHeight="1" x14ac:dyDescent="0.25">
      <c r="A308" s="28"/>
      <c r="B308" s="28"/>
      <c r="C308" s="28"/>
      <c r="D308" s="28"/>
      <c r="E308" s="28"/>
      <c r="F308" s="28"/>
      <c r="G308" s="28"/>
      <c r="H308" s="28"/>
      <c r="I308" s="28"/>
      <c r="J308" s="28"/>
      <c r="K308" s="28"/>
      <c r="L308" s="28"/>
      <c r="M308" s="28"/>
      <c r="N308" s="28"/>
      <c r="O308" s="28"/>
    </row>
    <row r="309" spans="1:15" ht="21" customHeight="1" x14ac:dyDescent="0.25">
      <c r="A309" s="28"/>
      <c r="B309" s="28"/>
      <c r="C309" s="28"/>
      <c r="D309" s="28"/>
      <c r="E309" s="28"/>
      <c r="F309" s="28"/>
      <c r="G309" s="28"/>
      <c r="H309" s="28"/>
      <c r="I309" s="28"/>
      <c r="J309" s="28"/>
      <c r="K309" s="28"/>
      <c r="L309" s="28"/>
      <c r="M309" s="28"/>
      <c r="N309" s="28"/>
      <c r="O309" s="28"/>
    </row>
    <row r="310" spans="1:15" ht="21" customHeight="1" x14ac:dyDescent="0.25">
      <c r="A310" s="28"/>
      <c r="B310" s="28"/>
      <c r="C310" s="28"/>
      <c r="D310" s="28"/>
      <c r="E310" s="28"/>
      <c r="F310" s="28"/>
      <c r="G310" s="28"/>
      <c r="H310" s="28"/>
      <c r="I310" s="28"/>
      <c r="J310" s="28"/>
      <c r="K310" s="28"/>
      <c r="L310" s="28"/>
      <c r="M310" s="28"/>
      <c r="N310" s="28"/>
      <c r="O310" s="28"/>
    </row>
    <row r="311" spans="1:15" ht="21" customHeight="1" x14ac:dyDescent="0.25">
      <c r="A311" s="28"/>
      <c r="B311" s="28"/>
      <c r="C311" s="28"/>
      <c r="D311" s="28"/>
      <c r="E311" s="28"/>
      <c r="F311" s="28"/>
      <c r="G311" s="28"/>
      <c r="H311" s="28"/>
      <c r="I311" s="28"/>
      <c r="J311" s="28"/>
      <c r="K311" s="28"/>
      <c r="L311" s="28"/>
      <c r="M311" s="28"/>
      <c r="N311" s="28"/>
      <c r="O311" s="28"/>
    </row>
    <row r="312" spans="1:15" ht="21" customHeight="1" x14ac:dyDescent="0.25">
      <c r="A312" s="28"/>
      <c r="B312" s="28"/>
      <c r="C312" s="28"/>
      <c r="D312" s="28"/>
      <c r="E312" s="28"/>
      <c r="F312" s="28"/>
      <c r="G312" s="28"/>
      <c r="H312" s="28"/>
      <c r="I312" s="28"/>
      <c r="J312" s="28"/>
      <c r="K312" s="28"/>
      <c r="L312" s="28"/>
      <c r="M312" s="28"/>
      <c r="N312" s="28"/>
      <c r="O312" s="28"/>
    </row>
    <row r="313" spans="1:15" ht="21" customHeight="1" x14ac:dyDescent="0.25">
      <c r="A313" s="28"/>
      <c r="B313" s="28"/>
      <c r="C313" s="28"/>
      <c r="D313" s="28"/>
      <c r="E313" s="28"/>
      <c r="F313" s="28"/>
      <c r="G313" s="28"/>
      <c r="H313" s="28"/>
      <c r="I313" s="28"/>
      <c r="J313" s="28"/>
      <c r="K313" s="28"/>
      <c r="L313" s="28"/>
      <c r="M313" s="28"/>
      <c r="N313" s="28"/>
      <c r="O313" s="28"/>
    </row>
    <row r="314" spans="1:15" ht="21" customHeight="1" x14ac:dyDescent="0.25">
      <c r="A314" s="28"/>
      <c r="B314" s="28"/>
      <c r="C314" s="28"/>
      <c r="D314" s="28"/>
      <c r="E314" s="28"/>
      <c r="F314" s="28"/>
      <c r="G314" s="28"/>
      <c r="H314" s="28"/>
      <c r="I314" s="28"/>
      <c r="J314" s="28"/>
      <c r="K314" s="28"/>
      <c r="L314" s="28"/>
      <c r="M314" s="28"/>
      <c r="N314" s="28"/>
      <c r="O314" s="28"/>
    </row>
    <row r="315" spans="1:15" ht="21" customHeight="1" x14ac:dyDescent="0.25">
      <c r="A315" s="28"/>
      <c r="B315" s="28"/>
      <c r="C315" s="28"/>
      <c r="D315" s="28"/>
      <c r="E315" s="28"/>
      <c r="F315" s="28"/>
      <c r="G315" s="28"/>
      <c r="H315" s="28"/>
      <c r="I315" s="28"/>
      <c r="J315" s="28"/>
      <c r="K315" s="28"/>
      <c r="L315" s="28"/>
      <c r="M315" s="28"/>
      <c r="N315" s="28"/>
      <c r="O315" s="28"/>
    </row>
    <row r="316" spans="1:15" ht="21" customHeight="1" x14ac:dyDescent="0.25">
      <c r="A316" s="28"/>
      <c r="B316" s="28"/>
      <c r="C316" s="28"/>
      <c r="D316" s="28"/>
      <c r="E316" s="28"/>
      <c r="F316" s="28"/>
      <c r="G316" s="28"/>
      <c r="H316" s="28"/>
      <c r="I316" s="28"/>
      <c r="J316" s="28"/>
      <c r="K316" s="28"/>
      <c r="L316" s="28"/>
      <c r="M316" s="28"/>
      <c r="N316" s="28"/>
      <c r="O316" s="28"/>
    </row>
    <row r="317" spans="1:15" ht="21" customHeight="1" x14ac:dyDescent="0.25">
      <c r="A317" s="28"/>
      <c r="B317" s="28"/>
      <c r="C317" s="28"/>
      <c r="D317" s="28"/>
      <c r="E317" s="28"/>
      <c r="F317" s="28"/>
      <c r="G317" s="28"/>
      <c r="H317" s="28"/>
      <c r="I317" s="28"/>
      <c r="J317" s="28"/>
      <c r="K317" s="28"/>
      <c r="L317" s="28"/>
      <c r="M317" s="28"/>
      <c r="N317" s="28"/>
      <c r="O317" s="28"/>
    </row>
    <row r="318" spans="1:15" ht="21" customHeight="1" x14ac:dyDescent="0.25">
      <c r="A318" s="28"/>
      <c r="B318" s="28"/>
      <c r="C318" s="28"/>
      <c r="D318" s="28"/>
      <c r="E318" s="28"/>
      <c r="F318" s="28"/>
      <c r="G318" s="28"/>
      <c r="H318" s="28"/>
      <c r="I318" s="28"/>
      <c r="J318" s="28"/>
      <c r="K318" s="28"/>
      <c r="L318" s="28"/>
      <c r="M318" s="28"/>
      <c r="N318" s="28"/>
      <c r="O318" s="28"/>
    </row>
    <row r="319" spans="1:15" ht="21" customHeight="1" x14ac:dyDescent="0.25">
      <c r="A319" s="28"/>
      <c r="B319" s="28"/>
      <c r="C319" s="28"/>
      <c r="D319" s="28"/>
      <c r="E319" s="28"/>
      <c r="F319" s="28"/>
      <c r="G319" s="28"/>
      <c r="H319" s="28"/>
      <c r="I319" s="28"/>
      <c r="J319" s="28"/>
      <c r="K319" s="28"/>
      <c r="L319" s="28"/>
      <c r="M319" s="28"/>
      <c r="N319" s="28"/>
      <c r="O319" s="28"/>
    </row>
    <row r="320" spans="1:15" ht="21" customHeight="1" x14ac:dyDescent="0.25">
      <c r="A320" s="28"/>
      <c r="B320" s="28"/>
      <c r="C320" s="28"/>
      <c r="D320" s="28"/>
      <c r="E320" s="28"/>
      <c r="F320" s="28"/>
      <c r="G320" s="28"/>
      <c r="H320" s="28"/>
      <c r="I320" s="28"/>
      <c r="J320" s="28"/>
      <c r="K320" s="28"/>
      <c r="L320" s="28"/>
      <c r="M320" s="28"/>
      <c r="N320" s="28"/>
      <c r="O320" s="28"/>
    </row>
    <row r="321" spans="1:15" ht="21" customHeight="1" x14ac:dyDescent="0.25">
      <c r="A321" s="28"/>
      <c r="B321" s="28"/>
      <c r="C321" s="28"/>
      <c r="D321" s="28"/>
      <c r="E321" s="28"/>
      <c r="F321" s="28"/>
      <c r="G321" s="28"/>
      <c r="H321" s="28"/>
      <c r="I321" s="28"/>
      <c r="J321" s="28"/>
      <c r="K321" s="28"/>
      <c r="L321" s="28"/>
      <c r="M321" s="28"/>
      <c r="N321" s="28"/>
      <c r="O321" s="28"/>
    </row>
    <row r="322" spans="1:15" ht="21" customHeight="1" x14ac:dyDescent="0.25">
      <c r="A322" s="28"/>
      <c r="B322" s="28"/>
      <c r="C322" s="28"/>
      <c r="D322" s="28"/>
      <c r="E322" s="28"/>
      <c r="F322" s="28"/>
      <c r="G322" s="28"/>
      <c r="H322" s="28"/>
      <c r="I322" s="28"/>
      <c r="J322" s="28"/>
      <c r="K322" s="28"/>
      <c r="L322" s="28"/>
      <c r="M322" s="28"/>
      <c r="N322" s="28"/>
      <c r="O322" s="28"/>
    </row>
    <row r="323" spans="1:15" ht="21" customHeight="1" x14ac:dyDescent="0.25">
      <c r="A323" s="28"/>
      <c r="B323" s="28"/>
      <c r="C323" s="28"/>
      <c r="D323" s="28"/>
      <c r="E323" s="28"/>
      <c r="F323" s="28"/>
      <c r="G323" s="28"/>
      <c r="H323" s="28"/>
      <c r="I323" s="28"/>
      <c r="J323" s="28"/>
      <c r="K323" s="28"/>
      <c r="L323" s="28"/>
      <c r="M323" s="28"/>
      <c r="N323" s="28"/>
      <c r="O323" s="28"/>
    </row>
    <row r="324" spans="1:15" ht="21" customHeight="1" x14ac:dyDescent="0.25">
      <c r="A324" s="28"/>
      <c r="B324" s="28"/>
      <c r="C324" s="28"/>
      <c r="D324" s="28"/>
      <c r="E324" s="28"/>
      <c r="F324" s="28"/>
      <c r="G324" s="28"/>
      <c r="H324" s="28"/>
      <c r="I324" s="28"/>
      <c r="J324" s="28"/>
      <c r="K324" s="28"/>
      <c r="L324" s="28"/>
      <c r="M324" s="28"/>
      <c r="N324" s="28"/>
      <c r="O324" s="28"/>
    </row>
    <row r="325" spans="1:15" ht="21" customHeight="1" x14ac:dyDescent="0.25">
      <c r="A325" s="28"/>
      <c r="B325" s="28"/>
      <c r="C325" s="28"/>
      <c r="D325" s="28"/>
      <c r="E325" s="28"/>
      <c r="F325" s="28"/>
      <c r="G325" s="28"/>
      <c r="H325" s="28"/>
      <c r="I325" s="28"/>
      <c r="J325" s="28"/>
      <c r="K325" s="28"/>
      <c r="L325" s="28"/>
      <c r="M325" s="28"/>
      <c r="N325" s="28"/>
      <c r="O325" s="28"/>
    </row>
    <row r="326" spans="1:15" ht="21" customHeight="1" x14ac:dyDescent="0.25">
      <c r="A326" s="28"/>
      <c r="B326" s="28"/>
      <c r="C326" s="28"/>
      <c r="D326" s="28"/>
      <c r="E326" s="28"/>
      <c r="F326" s="28"/>
      <c r="G326" s="28"/>
      <c r="H326" s="28"/>
      <c r="I326" s="28"/>
      <c r="J326" s="28"/>
      <c r="K326" s="28"/>
      <c r="L326" s="28"/>
      <c r="M326" s="28"/>
      <c r="N326" s="28"/>
      <c r="O326" s="28"/>
    </row>
    <row r="327" spans="1:15" ht="21" customHeight="1" x14ac:dyDescent="0.25">
      <c r="A327" s="28"/>
      <c r="B327" s="28"/>
      <c r="C327" s="28"/>
      <c r="D327" s="28"/>
      <c r="E327" s="28"/>
      <c r="F327" s="28"/>
      <c r="G327" s="28"/>
      <c r="H327" s="28"/>
      <c r="I327" s="28"/>
      <c r="J327" s="28"/>
      <c r="K327" s="28"/>
      <c r="L327" s="28"/>
      <c r="M327" s="28"/>
      <c r="N327" s="28"/>
      <c r="O327" s="28"/>
    </row>
    <row r="328" spans="1:15" ht="21" customHeight="1" x14ac:dyDescent="0.25">
      <c r="A328" s="28"/>
      <c r="B328" s="28"/>
      <c r="C328" s="28"/>
      <c r="D328" s="28"/>
      <c r="E328" s="28"/>
      <c r="F328" s="28"/>
      <c r="G328" s="28"/>
      <c r="H328" s="28"/>
      <c r="I328" s="28"/>
      <c r="J328" s="28"/>
      <c r="K328" s="28"/>
      <c r="L328" s="28"/>
      <c r="M328" s="28"/>
      <c r="N328" s="28"/>
      <c r="O328" s="28"/>
    </row>
    <row r="329" spans="1:15" ht="21" customHeight="1" x14ac:dyDescent="0.25">
      <c r="A329" s="28"/>
      <c r="B329" s="28"/>
      <c r="C329" s="28"/>
      <c r="D329" s="28"/>
      <c r="E329" s="28"/>
      <c r="F329" s="28"/>
      <c r="G329" s="28"/>
      <c r="H329" s="28"/>
      <c r="I329" s="28"/>
      <c r="J329" s="28"/>
      <c r="K329" s="28"/>
      <c r="L329" s="28"/>
      <c r="M329" s="28"/>
      <c r="N329" s="28"/>
      <c r="O329" s="28"/>
    </row>
    <row r="330" spans="1:15" ht="21" customHeight="1" x14ac:dyDescent="0.25">
      <c r="A330" s="28"/>
      <c r="B330" s="28"/>
      <c r="C330" s="28"/>
      <c r="D330" s="28"/>
      <c r="E330" s="28"/>
      <c r="F330" s="28"/>
      <c r="G330" s="28"/>
      <c r="H330" s="28"/>
      <c r="I330" s="28"/>
      <c r="J330" s="28"/>
      <c r="K330" s="28"/>
      <c r="L330" s="28"/>
      <c r="M330" s="28"/>
      <c r="N330" s="28"/>
      <c r="O330" s="28"/>
    </row>
    <row r="331" spans="1:15" ht="21" customHeight="1" x14ac:dyDescent="0.25">
      <c r="A331" s="28"/>
      <c r="B331" s="28"/>
      <c r="C331" s="28"/>
      <c r="D331" s="28"/>
      <c r="E331" s="28"/>
      <c r="F331" s="28"/>
      <c r="G331" s="28"/>
      <c r="H331" s="28"/>
      <c r="I331" s="28"/>
      <c r="J331" s="28"/>
      <c r="K331" s="28"/>
      <c r="L331" s="28"/>
      <c r="M331" s="28"/>
      <c r="N331" s="28"/>
      <c r="O331" s="28"/>
    </row>
    <row r="332" spans="1:15" ht="21" customHeight="1" x14ac:dyDescent="0.25">
      <c r="A332" s="28"/>
      <c r="B332" s="28"/>
      <c r="C332" s="28"/>
      <c r="D332" s="28"/>
      <c r="E332" s="28"/>
      <c r="F332" s="28"/>
      <c r="G332" s="28"/>
      <c r="H332" s="28"/>
      <c r="I332" s="28"/>
      <c r="J332" s="28"/>
      <c r="K332" s="28"/>
      <c r="L332" s="28"/>
      <c r="M332" s="28"/>
      <c r="N332" s="28"/>
      <c r="O332" s="28"/>
    </row>
    <row r="333" spans="1:15" ht="21" customHeight="1" x14ac:dyDescent="0.25">
      <c r="A333" s="28"/>
      <c r="B333" s="28"/>
      <c r="C333" s="28"/>
      <c r="D333" s="28"/>
      <c r="E333" s="28"/>
      <c r="F333" s="28"/>
      <c r="G333" s="28"/>
      <c r="H333" s="28"/>
      <c r="I333" s="28"/>
      <c r="J333" s="28"/>
      <c r="K333" s="28"/>
      <c r="L333" s="28"/>
      <c r="M333" s="28"/>
      <c r="N333" s="28"/>
      <c r="O333" s="28"/>
    </row>
    <row r="334" spans="1:15" ht="21" customHeight="1" x14ac:dyDescent="0.25">
      <c r="A334" s="28"/>
      <c r="B334" s="28"/>
      <c r="C334" s="28"/>
      <c r="D334" s="28"/>
      <c r="E334" s="28"/>
      <c r="F334" s="28"/>
      <c r="G334" s="28"/>
      <c r="H334" s="28"/>
      <c r="I334" s="28"/>
      <c r="J334" s="28"/>
      <c r="K334" s="28"/>
      <c r="L334" s="28"/>
      <c r="M334" s="28"/>
      <c r="N334" s="28"/>
      <c r="O334" s="28"/>
    </row>
    <row r="335" spans="1:15" ht="21" customHeight="1" x14ac:dyDescent="0.25">
      <c r="A335" s="28"/>
      <c r="B335" s="28"/>
      <c r="C335" s="28"/>
      <c r="D335" s="28"/>
      <c r="E335" s="28"/>
      <c r="F335" s="28"/>
      <c r="G335" s="28"/>
      <c r="H335" s="28"/>
      <c r="I335" s="28"/>
      <c r="J335" s="28"/>
      <c r="K335" s="28"/>
      <c r="L335" s="28"/>
      <c r="M335" s="28"/>
      <c r="N335" s="28"/>
      <c r="O335" s="28"/>
    </row>
    <row r="336" spans="1:15" ht="21" customHeight="1" x14ac:dyDescent="0.25">
      <c r="A336" s="28"/>
      <c r="B336" s="28"/>
      <c r="C336" s="28"/>
      <c r="D336" s="28"/>
      <c r="E336" s="28"/>
      <c r="F336" s="28"/>
      <c r="G336" s="28"/>
      <c r="H336" s="28"/>
      <c r="I336" s="28"/>
      <c r="J336" s="28"/>
      <c r="K336" s="28"/>
      <c r="L336" s="28"/>
      <c r="M336" s="28"/>
      <c r="N336" s="28"/>
      <c r="O336" s="28"/>
    </row>
    <row r="337" spans="1:15" ht="21" customHeight="1" x14ac:dyDescent="0.25">
      <c r="A337" s="28"/>
      <c r="B337" s="28"/>
      <c r="C337" s="28"/>
      <c r="D337" s="28"/>
      <c r="E337" s="28"/>
      <c r="F337" s="28"/>
      <c r="G337" s="28"/>
      <c r="H337" s="28"/>
      <c r="I337" s="28"/>
      <c r="J337" s="28"/>
      <c r="K337" s="28"/>
      <c r="L337" s="28"/>
      <c r="M337" s="28"/>
      <c r="N337" s="28"/>
      <c r="O337" s="28"/>
    </row>
    <row r="338" spans="1:15" ht="21" customHeight="1" x14ac:dyDescent="0.25">
      <c r="A338" s="28"/>
      <c r="B338" s="28"/>
      <c r="C338" s="28"/>
      <c r="D338" s="28"/>
      <c r="E338" s="28"/>
      <c r="F338" s="28"/>
      <c r="G338" s="28"/>
      <c r="H338" s="28"/>
      <c r="I338" s="28"/>
      <c r="J338" s="28"/>
      <c r="K338" s="28"/>
      <c r="L338" s="28"/>
      <c r="M338" s="28"/>
      <c r="N338" s="28"/>
      <c r="O338" s="28"/>
    </row>
    <row r="339" spans="1:15" ht="21" customHeight="1" x14ac:dyDescent="0.25">
      <c r="A339" s="28"/>
      <c r="B339" s="28"/>
      <c r="C339" s="28"/>
      <c r="D339" s="28"/>
      <c r="E339" s="28"/>
      <c r="F339" s="28"/>
      <c r="G339" s="28"/>
      <c r="H339" s="28"/>
      <c r="I339" s="28"/>
      <c r="J339" s="28"/>
      <c r="K339" s="28"/>
      <c r="L339" s="28"/>
      <c r="M339" s="28"/>
      <c r="N339" s="28"/>
      <c r="O339" s="28"/>
    </row>
    <row r="340" spans="1:15" ht="21" customHeight="1" x14ac:dyDescent="0.25">
      <c r="A340" s="28"/>
      <c r="B340" s="28"/>
      <c r="C340" s="28"/>
      <c r="D340" s="28"/>
      <c r="E340" s="28"/>
      <c r="F340" s="28"/>
      <c r="G340" s="28"/>
      <c r="H340" s="28"/>
      <c r="I340" s="28"/>
      <c r="J340" s="28"/>
      <c r="K340" s="28"/>
      <c r="L340" s="28"/>
      <c r="M340" s="28"/>
      <c r="N340" s="28"/>
      <c r="O340" s="28"/>
    </row>
    <row r="341" spans="1:15" ht="21" customHeight="1" x14ac:dyDescent="0.25">
      <c r="A341" s="28"/>
      <c r="B341" s="28"/>
      <c r="C341" s="28"/>
      <c r="D341" s="28"/>
      <c r="E341" s="28"/>
      <c r="F341" s="28"/>
      <c r="G341" s="28"/>
      <c r="H341" s="28"/>
      <c r="I341" s="28"/>
      <c r="J341" s="28"/>
      <c r="K341" s="28"/>
      <c r="L341" s="28"/>
      <c r="M341" s="28"/>
      <c r="N341" s="28"/>
      <c r="O341" s="28"/>
    </row>
    <row r="342" spans="1:15" ht="21" customHeight="1" x14ac:dyDescent="0.25">
      <c r="A342" s="28"/>
      <c r="B342" s="28"/>
      <c r="C342" s="28"/>
      <c r="D342" s="28"/>
      <c r="E342" s="28"/>
      <c r="F342" s="28"/>
      <c r="G342" s="28"/>
      <c r="H342" s="28"/>
      <c r="I342" s="28"/>
      <c r="J342" s="28"/>
      <c r="K342" s="28"/>
      <c r="L342" s="28"/>
      <c r="M342" s="28"/>
      <c r="N342" s="28"/>
      <c r="O342" s="28"/>
    </row>
    <row r="343" spans="1:15" ht="21" customHeight="1" x14ac:dyDescent="0.25">
      <c r="A343" s="28"/>
      <c r="B343" s="28"/>
      <c r="C343" s="28"/>
      <c r="D343" s="28"/>
      <c r="E343" s="28"/>
      <c r="F343" s="28"/>
      <c r="G343" s="28"/>
      <c r="H343" s="28"/>
      <c r="I343" s="28"/>
      <c r="J343" s="28"/>
      <c r="K343" s="28"/>
      <c r="L343" s="28"/>
      <c r="M343" s="28"/>
      <c r="N343" s="28"/>
      <c r="O343" s="28"/>
    </row>
    <row r="344" spans="1:15" ht="21" customHeight="1" x14ac:dyDescent="0.25">
      <c r="A344" s="28"/>
      <c r="B344" s="28"/>
      <c r="C344" s="28"/>
      <c r="D344" s="28"/>
      <c r="E344" s="28"/>
      <c r="F344" s="28"/>
      <c r="G344" s="28"/>
      <c r="H344" s="28"/>
      <c r="I344" s="28"/>
      <c r="J344" s="28"/>
      <c r="K344" s="28"/>
      <c r="L344" s="28"/>
      <c r="M344" s="28"/>
      <c r="N344" s="28"/>
      <c r="O344" s="28"/>
    </row>
    <row r="345" spans="1:15" ht="21" customHeight="1" x14ac:dyDescent="0.25">
      <c r="A345" s="28"/>
      <c r="B345" s="28"/>
      <c r="C345" s="28"/>
      <c r="D345" s="28"/>
      <c r="E345" s="28"/>
      <c r="F345" s="28"/>
      <c r="G345" s="28"/>
      <c r="H345" s="28"/>
      <c r="I345" s="28"/>
      <c r="J345" s="28"/>
      <c r="K345" s="28"/>
      <c r="L345" s="28"/>
      <c r="M345" s="28"/>
      <c r="N345" s="28"/>
      <c r="O345" s="28"/>
    </row>
    <row r="346" spans="1:15" ht="21" customHeight="1" x14ac:dyDescent="0.25">
      <c r="A346" s="28"/>
      <c r="B346" s="28"/>
      <c r="C346" s="28"/>
      <c r="D346" s="28"/>
      <c r="E346" s="28"/>
      <c r="F346" s="28"/>
      <c r="G346" s="28"/>
      <c r="H346" s="28"/>
      <c r="I346" s="28"/>
      <c r="J346" s="28"/>
      <c r="K346" s="28"/>
      <c r="L346" s="28"/>
      <c r="M346" s="28"/>
      <c r="N346" s="28"/>
      <c r="O346" s="28"/>
    </row>
    <row r="347" spans="1:15" ht="21" customHeight="1" x14ac:dyDescent="0.25">
      <c r="A347" s="28"/>
      <c r="B347" s="28"/>
      <c r="C347" s="28"/>
      <c r="D347" s="28"/>
      <c r="E347" s="28"/>
      <c r="F347" s="28"/>
      <c r="G347" s="28"/>
      <c r="H347" s="28"/>
      <c r="I347" s="28"/>
      <c r="J347" s="28"/>
      <c r="K347" s="28"/>
      <c r="L347" s="28"/>
      <c r="M347" s="28"/>
      <c r="N347" s="28"/>
      <c r="O347" s="28"/>
    </row>
    <row r="348" spans="1:15" ht="21" customHeight="1" x14ac:dyDescent="0.25">
      <c r="A348" s="28"/>
      <c r="B348" s="28"/>
      <c r="C348" s="28"/>
      <c r="D348" s="28"/>
      <c r="E348" s="28"/>
      <c r="F348" s="28"/>
      <c r="G348" s="28"/>
      <c r="H348" s="28"/>
      <c r="I348" s="28"/>
      <c r="J348" s="28"/>
      <c r="K348" s="28"/>
      <c r="L348" s="28"/>
      <c r="M348" s="28"/>
      <c r="N348" s="28"/>
      <c r="O348" s="28"/>
    </row>
    <row r="349" spans="1:15" ht="21" customHeight="1" x14ac:dyDescent="0.25">
      <c r="A349" s="28"/>
      <c r="B349" s="28"/>
      <c r="C349" s="28"/>
      <c r="D349" s="28"/>
      <c r="E349" s="28"/>
      <c r="F349" s="28"/>
      <c r="G349" s="28"/>
      <c r="H349" s="28"/>
      <c r="I349" s="28"/>
      <c r="J349" s="28"/>
      <c r="K349" s="28"/>
      <c r="L349" s="28"/>
      <c r="M349" s="28"/>
      <c r="N349" s="28"/>
      <c r="O349" s="28"/>
    </row>
    <row r="350" spans="1:15" ht="21" customHeight="1" x14ac:dyDescent="0.25">
      <c r="A350" s="28"/>
      <c r="B350" s="28"/>
      <c r="C350" s="28"/>
      <c r="D350" s="28"/>
      <c r="E350" s="28"/>
      <c r="F350" s="28"/>
      <c r="G350" s="28"/>
      <c r="H350" s="28"/>
      <c r="I350" s="28"/>
      <c r="J350" s="28"/>
      <c r="K350" s="28"/>
      <c r="L350" s="28"/>
      <c r="M350" s="28"/>
      <c r="N350" s="28"/>
      <c r="O350" s="28"/>
    </row>
    <row r="351" spans="1:15" ht="21" customHeight="1" x14ac:dyDescent="0.25">
      <c r="A351" s="28"/>
      <c r="B351" s="28"/>
      <c r="C351" s="28"/>
      <c r="D351" s="28"/>
      <c r="E351" s="28"/>
      <c r="F351" s="28"/>
      <c r="G351" s="28"/>
      <c r="H351" s="28"/>
      <c r="I351" s="28"/>
      <c r="J351" s="28"/>
      <c r="K351" s="28"/>
      <c r="L351" s="28"/>
      <c r="M351" s="28"/>
      <c r="N351" s="28"/>
      <c r="O351" s="28"/>
    </row>
    <row r="352" spans="1:15" ht="21" customHeight="1" x14ac:dyDescent="0.25">
      <c r="A352" s="28"/>
      <c r="B352" s="28"/>
      <c r="C352" s="28"/>
      <c r="D352" s="28"/>
      <c r="E352" s="28"/>
      <c r="F352" s="28"/>
      <c r="G352" s="28"/>
      <c r="H352" s="28"/>
      <c r="I352" s="28"/>
      <c r="J352" s="28"/>
      <c r="K352" s="28"/>
      <c r="L352" s="28"/>
      <c r="M352" s="28"/>
      <c r="N352" s="28"/>
      <c r="O352" s="28"/>
    </row>
    <row r="353" spans="1:15" ht="21" customHeight="1" x14ac:dyDescent="0.25">
      <c r="A353" s="28"/>
      <c r="B353" s="28"/>
      <c r="C353" s="28"/>
      <c r="D353" s="28"/>
      <c r="E353" s="28"/>
      <c r="F353" s="28"/>
      <c r="G353" s="28"/>
      <c r="H353" s="28"/>
      <c r="I353" s="28"/>
      <c r="J353" s="28"/>
      <c r="K353" s="28"/>
      <c r="L353" s="28"/>
      <c r="M353" s="28"/>
      <c r="N353" s="28"/>
      <c r="O353" s="28"/>
    </row>
    <row r="354" spans="1:15" ht="21" customHeight="1" x14ac:dyDescent="0.25">
      <c r="A354" s="28"/>
      <c r="B354" s="28"/>
      <c r="C354" s="28"/>
      <c r="D354" s="28"/>
      <c r="E354" s="28"/>
      <c r="F354" s="28"/>
      <c r="G354" s="28"/>
      <c r="H354" s="28"/>
      <c r="I354" s="28"/>
      <c r="J354" s="28"/>
      <c r="K354" s="28"/>
      <c r="L354" s="28"/>
      <c r="M354" s="28"/>
      <c r="N354" s="28"/>
      <c r="O354" s="28"/>
    </row>
    <row r="355" spans="1:15" ht="21" customHeight="1" x14ac:dyDescent="0.25">
      <c r="A355" s="28"/>
      <c r="B355" s="28"/>
      <c r="C355" s="28"/>
      <c r="D355" s="28"/>
      <c r="E355" s="28"/>
      <c r="F355" s="28"/>
      <c r="G355" s="28"/>
      <c r="H355" s="28"/>
      <c r="I355" s="28"/>
      <c r="J355" s="28"/>
      <c r="K355" s="28"/>
      <c r="L355" s="28"/>
      <c r="M355" s="28"/>
      <c r="N355" s="28"/>
      <c r="O355" s="28"/>
    </row>
    <row r="356" spans="1:15" ht="21" customHeight="1" x14ac:dyDescent="0.25">
      <c r="A356" s="28"/>
      <c r="B356" s="28"/>
      <c r="C356" s="28"/>
      <c r="D356" s="28"/>
      <c r="E356" s="28"/>
      <c r="F356" s="28"/>
      <c r="G356" s="28"/>
      <c r="H356" s="28"/>
      <c r="I356" s="28"/>
      <c r="J356" s="28"/>
      <c r="K356" s="28"/>
      <c r="L356" s="28"/>
      <c r="M356" s="28"/>
      <c r="N356" s="28"/>
      <c r="O356" s="28"/>
    </row>
    <row r="357" spans="1:15" ht="21" customHeight="1" x14ac:dyDescent="0.25">
      <c r="A357" s="28"/>
      <c r="B357" s="28"/>
      <c r="C357" s="28"/>
      <c r="D357" s="28"/>
      <c r="E357" s="28"/>
      <c r="F357" s="28"/>
      <c r="G357" s="28"/>
      <c r="H357" s="28"/>
      <c r="I357" s="28"/>
      <c r="J357" s="28"/>
      <c r="K357" s="28"/>
      <c r="L357" s="28"/>
      <c r="M357" s="28"/>
      <c r="N357" s="28"/>
      <c r="O357" s="28"/>
    </row>
    <row r="358" spans="1:15" ht="21" customHeight="1" x14ac:dyDescent="0.25">
      <c r="A358" s="28"/>
      <c r="B358" s="28"/>
      <c r="C358" s="28"/>
      <c r="D358" s="28"/>
      <c r="E358" s="28"/>
      <c r="F358" s="28"/>
      <c r="G358" s="28"/>
      <c r="H358" s="28"/>
      <c r="I358" s="28"/>
      <c r="J358" s="28"/>
      <c r="K358" s="28"/>
      <c r="L358" s="28"/>
      <c r="M358" s="28"/>
      <c r="N358" s="28"/>
      <c r="O358" s="28"/>
    </row>
    <row r="359" spans="1:15" ht="21" customHeight="1" x14ac:dyDescent="0.25">
      <c r="A359" s="28"/>
      <c r="B359" s="28"/>
      <c r="C359" s="28"/>
      <c r="D359" s="28"/>
      <c r="E359" s="28"/>
      <c r="F359" s="28"/>
      <c r="G359" s="28"/>
      <c r="H359" s="28"/>
      <c r="I359" s="28"/>
      <c r="J359" s="28"/>
      <c r="K359" s="28"/>
      <c r="L359" s="28"/>
      <c r="M359" s="28"/>
      <c r="N359" s="28"/>
      <c r="O359" s="28"/>
    </row>
    <row r="360" spans="1:15" ht="21" customHeight="1" x14ac:dyDescent="0.25">
      <c r="A360" s="28"/>
      <c r="B360" s="28"/>
      <c r="C360" s="28"/>
      <c r="D360" s="28"/>
      <c r="E360" s="28"/>
      <c r="F360" s="28"/>
      <c r="G360" s="28"/>
      <c r="H360" s="28"/>
      <c r="I360" s="28"/>
      <c r="J360" s="28"/>
      <c r="K360" s="28"/>
      <c r="L360" s="28"/>
      <c r="M360" s="28"/>
      <c r="N360" s="28"/>
      <c r="O360" s="28"/>
    </row>
    <row r="361" spans="1:15" ht="21" customHeight="1" x14ac:dyDescent="0.25">
      <c r="A361" s="28"/>
      <c r="B361" s="28"/>
      <c r="C361" s="28"/>
      <c r="D361" s="28"/>
      <c r="E361" s="28"/>
      <c r="F361" s="28"/>
      <c r="G361" s="28"/>
      <c r="H361" s="28"/>
      <c r="I361" s="28"/>
      <c r="J361" s="28"/>
      <c r="K361" s="28"/>
      <c r="L361" s="28"/>
      <c r="M361" s="28"/>
      <c r="N361" s="28"/>
      <c r="O361" s="28"/>
    </row>
    <row r="362" spans="1:15" ht="21" customHeight="1" x14ac:dyDescent="0.25">
      <c r="A362" s="28"/>
      <c r="B362" s="28"/>
      <c r="C362" s="28"/>
      <c r="D362" s="28"/>
      <c r="E362" s="28"/>
      <c r="F362" s="28"/>
      <c r="G362" s="28"/>
      <c r="H362" s="28"/>
      <c r="I362" s="28"/>
      <c r="J362" s="28"/>
      <c r="K362" s="28"/>
      <c r="L362" s="28"/>
      <c r="M362" s="28"/>
      <c r="N362" s="28"/>
      <c r="O362" s="28"/>
    </row>
    <row r="363" spans="1:15" ht="21" customHeight="1" x14ac:dyDescent="0.25">
      <c r="A363" s="28"/>
      <c r="B363" s="28"/>
      <c r="C363" s="28"/>
      <c r="D363" s="28"/>
      <c r="E363" s="28"/>
      <c r="F363" s="28"/>
      <c r="G363" s="28"/>
      <c r="H363" s="28"/>
      <c r="I363" s="28"/>
      <c r="J363" s="28"/>
      <c r="K363" s="28"/>
      <c r="L363" s="28"/>
      <c r="M363" s="28"/>
      <c r="N363" s="28"/>
      <c r="O363" s="28"/>
    </row>
    <row r="364" spans="1:15" ht="21" customHeight="1" x14ac:dyDescent="0.25">
      <c r="A364" s="28"/>
      <c r="B364" s="28"/>
      <c r="C364" s="28"/>
      <c r="D364" s="28"/>
      <c r="E364" s="28"/>
      <c r="F364" s="28"/>
      <c r="G364" s="28"/>
      <c r="H364" s="28"/>
      <c r="I364" s="28"/>
      <c r="J364" s="28"/>
      <c r="K364" s="28"/>
      <c r="L364" s="28"/>
      <c r="M364" s="28"/>
      <c r="N364" s="28"/>
      <c r="O364" s="28"/>
    </row>
    <row r="365" spans="1:15" ht="21" customHeight="1" x14ac:dyDescent="0.25">
      <c r="A365" s="28"/>
      <c r="B365" s="28"/>
      <c r="C365" s="28"/>
      <c r="D365" s="28"/>
      <c r="E365" s="28"/>
      <c r="F365" s="28"/>
      <c r="G365" s="28"/>
      <c r="H365" s="28"/>
      <c r="I365" s="28"/>
      <c r="J365" s="28"/>
      <c r="K365" s="28"/>
      <c r="L365" s="28"/>
      <c r="M365" s="28"/>
      <c r="N365" s="28"/>
      <c r="O365" s="28"/>
    </row>
    <row r="366" spans="1:15" ht="21" customHeight="1" x14ac:dyDescent="0.25">
      <c r="A366" s="28"/>
      <c r="B366" s="28"/>
      <c r="C366" s="28"/>
      <c r="D366" s="28"/>
      <c r="E366" s="28"/>
      <c r="F366" s="28"/>
      <c r="G366" s="28"/>
      <c r="H366" s="28"/>
      <c r="I366" s="28"/>
      <c r="J366" s="28"/>
      <c r="K366" s="28"/>
      <c r="L366" s="28"/>
      <c r="M366" s="28"/>
      <c r="N366" s="28"/>
      <c r="O366" s="28"/>
    </row>
    <row r="367" spans="1:15" ht="21" customHeight="1" x14ac:dyDescent="0.25">
      <c r="A367" s="28"/>
      <c r="B367" s="28"/>
      <c r="C367" s="28"/>
      <c r="D367" s="28"/>
      <c r="E367" s="28"/>
      <c r="F367" s="28"/>
      <c r="G367" s="28"/>
      <c r="H367" s="28"/>
      <c r="I367" s="28"/>
      <c r="J367" s="28"/>
      <c r="K367" s="28"/>
      <c r="L367" s="28"/>
      <c r="M367" s="28"/>
      <c r="N367" s="28"/>
      <c r="O367" s="28"/>
    </row>
    <row r="368" spans="1:15" ht="21" customHeight="1" x14ac:dyDescent="0.25">
      <c r="A368" s="28"/>
      <c r="B368" s="28"/>
      <c r="C368" s="28"/>
      <c r="D368" s="28"/>
      <c r="E368" s="28"/>
      <c r="F368" s="28"/>
      <c r="G368" s="28"/>
      <c r="H368" s="28"/>
      <c r="I368" s="28"/>
      <c r="J368" s="28"/>
      <c r="K368" s="28"/>
      <c r="L368" s="28"/>
      <c r="M368" s="28"/>
      <c r="N368" s="28"/>
      <c r="O368" s="28"/>
    </row>
    <row r="369" spans="1:15" ht="21" customHeight="1" x14ac:dyDescent="0.25">
      <c r="A369" s="28"/>
      <c r="B369" s="28"/>
      <c r="C369" s="28"/>
      <c r="D369" s="28"/>
      <c r="E369" s="28"/>
      <c r="F369" s="28"/>
      <c r="G369" s="28"/>
      <c r="H369" s="28"/>
      <c r="I369" s="28"/>
      <c r="J369" s="28"/>
      <c r="K369" s="28"/>
      <c r="L369" s="28"/>
      <c r="M369" s="28"/>
      <c r="N369" s="28"/>
      <c r="O369" s="28"/>
    </row>
    <row r="370" spans="1:15" ht="21" customHeight="1" x14ac:dyDescent="0.25">
      <c r="A370" s="28"/>
      <c r="B370" s="28"/>
      <c r="C370" s="28"/>
      <c r="D370" s="28"/>
      <c r="E370" s="28"/>
      <c r="F370" s="28"/>
      <c r="G370" s="28"/>
      <c r="H370" s="28"/>
      <c r="I370" s="28"/>
      <c r="J370" s="28"/>
      <c r="K370" s="28"/>
      <c r="L370" s="28"/>
      <c r="M370" s="28"/>
      <c r="N370" s="28"/>
      <c r="O370" s="28"/>
    </row>
    <row r="371" spans="1:15" ht="21" customHeight="1" x14ac:dyDescent="0.25">
      <c r="A371" s="28"/>
      <c r="B371" s="28"/>
      <c r="C371" s="28"/>
      <c r="D371" s="28"/>
      <c r="E371" s="28"/>
      <c r="F371" s="28"/>
      <c r="G371" s="28"/>
      <c r="H371" s="28"/>
      <c r="I371" s="28"/>
      <c r="J371" s="28"/>
      <c r="K371" s="28"/>
      <c r="L371" s="28"/>
      <c r="M371" s="28"/>
      <c r="N371" s="28"/>
      <c r="O371" s="28"/>
    </row>
    <row r="372" spans="1:15" ht="21" customHeight="1" x14ac:dyDescent="0.25">
      <c r="A372" s="28"/>
      <c r="B372" s="28"/>
      <c r="C372" s="28"/>
      <c r="D372" s="28"/>
      <c r="E372" s="28"/>
      <c r="F372" s="28"/>
      <c r="G372" s="28"/>
      <c r="H372" s="28"/>
      <c r="I372" s="28"/>
      <c r="J372" s="28"/>
      <c r="K372" s="28"/>
      <c r="L372" s="28"/>
      <c r="M372" s="28"/>
      <c r="N372" s="28"/>
      <c r="O372" s="28"/>
    </row>
    <row r="373" spans="1:15" ht="21" customHeight="1" x14ac:dyDescent="0.25">
      <c r="A373" s="28"/>
      <c r="B373" s="28"/>
      <c r="C373" s="28"/>
      <c r="D373" s="28"/>
      <c r="E373" s="28"/>
      <c r="F373" s="28"/>
      <c r="G373" s="28"/>
      <c r="H373" s="28"/>
      <c r="I373" s="28"/>
      <c r="J373" s="28"/>
      <c r="K373" s="28"/>
      <c r="L373" s="28"/>
      <c r="M373" s="28"/>
      <c r="N373" s="28"/>
      <c r="O373" s="28"/>
    </row>
    <row r="374" spans="1:15" ht="21" customHeight="1" x14ac:dyDescent="0.25">
      <c r="A374" s="28"/>
      <c r="B374" s="28"/>
      <c r="C374" s="28"/>
      <c r="D374" s="28"/>
      <c r="E374" s="28"/>
      <c r="F374" s="28"/>
      <c r="G374" s="28"/>
      <c r="H374" s="28"/>
      <c r="I374" s="28"/>
      <c r="J374" s="28"/>
      <c r="K374" s="28"/>
      <c r="L374" s="28"/>
      <c r="M374" s="28"/>
      <c r="N374" s="28"/>
      <c r="O374" s="28"/>
    </row>
    <row r="375" spans="1:15" ht="21" customHeight="1" x14ac:dyDescent="0.25">
      <c r="A375" s="28"/>
      <c r="B375" s="28"/>
      <c r="C375" s="28"/>
      <c r="D375" s="28"/>
      <c r="E375" s="28"/>
      <c r="F375" s="28"/>
      <c r="G375" s="28"/>
      <c r="H375" s="28"/>
      <c r="I375" s="28"/>
      <c r="J375" s="28"/>
      <c r="K375" s="28"/>
      <c r="L375" s="28"/>
      <c r="M375" s="28"/>
      <c r="N375" s="28"/>
      <c r="O375" s="28"/>
    </row>
    <row r="376" spans="1:15" ht="21" customHeight="1" x14ac:dyDescent="0.25">
      <c r="A376" s="28"/>
      <c r="B376" s="28"/>
      <c r="C376" s="28"/>
      <c r="D376" s="28"/>
      <c r="E376" s="28"/>
      <c r="F376" s="28"/>
      <c r="G376" s="28"/>
      <c r="H376" s="28"/>
      <c r="I376" s="28"/>
      <c r="J376" s="28"/>
      <c r="K376" s="28"/>
      <c r="L376" s="28"/>
      <c r="M376" s="28"/>
      <c r="N376" s="28"/>
      <c r="O376" s="28"/>
    </row>
    <row r="377" spans="1:15" ht="21" customHeight="1" x14ac:dyDescent="0.25">
      <c r="A377" s="28"/>
      <c r="B377" s="28"/>
      <c r="C377" s="28"/>
      <c r="D377" s="28"/>
      <c r="E377" s="28"/>
      <c r="F377" s="28"/>
      <c r="G377" s="28"/>
      <c r="H377" s="28"/>
      <c r="I377" s="28"/>
      <c r="J377" s="28"/>
      <c r="K377" s="28"/>
      <c r="L377" s="28"/>
      <c r="M377" s="28"/>
      <c r="N377" s="28"/>
      <c r="O377" s="28"/>
    </row>
    <row r="378" spans="1:15" ht="21" customHeight="1" x14ac:dyDescent="0.25">
      <c r="A378" s="28"/>
      <c r="B378" s="28"/>
      <c r="C378" s="28"/>
      <c r="D378" s="28"/>
      <c r="E378" s="28"/>
      <c r="F378" s="28"/>
      <c r="G378" s="28"/>
      <c r="H378" s="28"/>
      <c r="I378" s="28"/>
      <c r="J378" s="28"/>
      <c r="K378" s="28"/>
      <c r="L378" s="28"/>
      <c r="M378" s="28"/>
      <c r="N378" s="28"/>
      <c r="O378" s="28"/>
    </row>
    <row r="379" spans="1:15" ht="21" customHeight="1" x14ac:dyDescent="0.25">
      <c r="A379" s="28"/>
      <c r="B379" s="28"/>
      <c r="C379" s="28"/>
      <c r="D379" s="28"/>
      <c r="E379" s="28"/>
      <c r="F379" s="28"/>
      <c r="G379" s="28"/>
      <c r="H379" s="28"/>
      <c r="I379" s="28"/>
      <c r="J379" s="28"/>
      <c r="K379" s="28"/>
      <c r="L379" s="28"/>
      <c r="M379" s="28"/>
      <c r="N379" s="28"/>
      <c r="O379" s="28"/>
    </row>
    <row r="380" spans="1:15" ht="21" customHeight="1" x14ac:dyDescent="0.25">
      <c r="A380" s="28"/>
      <c r="B380" s="28"/>
      <c r="C380" s="28"/>
      <c r="D380" s="28"/>
      <c r="E380" s="28"/>
      <c r="F380" s="28"/>
      <c r="G380" s="28"/>
      <c r="H380" s="28"/>
      <c r="I380" s="28"/>
      <c r="J380" s="28"/>
      <c r="K380" s="28"/>
      <c r="L380" s="28"/>
      <c r="M380" s="28"/>
      <c r="N380" s="28"/>
      <c r="O380" s="28"/>
    </row>
    <row r="381" spans="1:15" ht="21" customHeight="1" x14ac:dyDescent="0.25">
      <c r="A381" s="28"/>
      <c r="B381" s="28"/>
      <c r="C381" s="28"/>
      <c r="D381" s="28"/>
      <c r="E381" s="28"/>
      <c r="F381" s="28"/>
      <c r="G381" s="28"/>
      <c r="H381" s="28"/>
      <c r="I381" s="28"/>
      <c r="J381" s="28"/>
      <c r="K381" s="28"/>
      <c r="L381" s="28"/>
      <c r="M381" s="28"/>
      <c r="N381" s="28"/>
      <c r="O381" s="28"/>
    </row>
    <row r="382" spans="1:15" ht="21" customHeight="1" x14ac:dyDescent="0.25">
      <c r="A382" s="28"/>
      <c r="B382" s="28"/>
      <c r="C382" s="28"/>
      <c r="D382" s="28"/>
      <c r="E382" s="28"/>
      <c r="F382" s="28"/>
      <c r="G382" s="28"/>
      <c r="H382" s="28"/>
      <c r="I382" s="28"/>
      <c r="J382" s="28"/>
      <c r="K382" s="28"/>
      <c r="L382" s="28"/>
      <c r="M382" s="28"/>
      <c r="N382" s="28"/>
      <c r="O382" s="28"/>
    </row>
    <row r="383" spans="1:15" ht="21" customHeight="1" x14ac:dyDescent="0.25">
      <c r="A383" s="28"/>
      <c r="B383" s="28"/>
      <c r="C383" s="28"/>
      <c r="D383" s="28"/>
      <c r="E383" s="28"/>
      <c r="F383" s="28"/>
      <c r="G383" s="28"/>
      <c r="H383" s="28"/>
      <c r="I383" s="28"/>
      <c r="J383" s="28"/>
      <c r="K383" s="28"/>
      <c r="L383" s="28"/>
      <c r="M383" s="28"/>
      <c r="N383" s="28"/>
      <c r="O383" s="28"/>
    </row>
    <row r="384" spans="1:15" ht="21" customHeight="1" x14ac:dyDescent="0.25">
      <c r="A384" s="28"/>
      <c r="B384" s="28"/>
      <c r="C384" s="28"/>
      <c r="D384" s="28"/>
      <c r="E384" s="28"/>
      <c r="F384" s="28"/>
      <c r="G384" s="28"/>
      <c r="H384" s="28"/>
      <c r="I384" s="28"/>
      <c r="J384" s="28"/>
      <c r="K384" s="28"/>
      <c r="L384" s="28"/>
      <c r="M384" s="28"/>
      <c r="N384" s="28"/>
      <c r="O384" s="28"/>
    </row>
    <row r="385" spans="1:15" ht="21" customHeight="1" x14ac:dyDescent="0.25">
      <c r="A385" s="28"/>
      <c r="B385" s="28"/>
      <c r="C385" s="28"/>
      <c r="D385" s="28"/>
      <c r="E385" s="28"/>
      <c r="F385" s="28"/>
      <c r="G385" s="28"/>
      <c r="H385" s="28"/>
      <c r="I385" s="28"/>
      <c r="J385" s="28"/>
      <c r="K385" s="28"/>
      <c r="L385" s="28"/>
      <c r="M385" s="28"/>
      <c r="N385" s="28"/>
      <c r="O385" s="28"/>
    </row>
    <row r="386" spans="1:15" ht="21" customHeight="1" x14ac:dyDescent="0.25">
      <c r="A386" s="28"/>
      <c r="B386" s="28"/>
      <c r="C386" s="28"/>
      <c r="D386" s="28"/>
      <c r="E386" s="28"/>
      <c r="F386" s="28"/>
      <c r="G386" s="28"/>
      <c r="H386" s="28"/>
      <c r="I386" s="28"/>
      <c r="J386" s="28"/>
      <c r="K386" s="28"/>
      <c r="L386" s="28"/>
      <c r="M386" s="28"/>
      <c r="N386" s="28"/>
      <c r="O386" s="28"/>
    </row>
    <row r="387" spans="1:15" ht="21" customHeight="1" x14ac:dyDescent="0.25">
      <c r="A387" s="28"/>
      <c r="B387" s="28"/>
      <c r="C387" s="28"/>
      <c r="D387" s="28"/>
      <c r="E387" s="28"/>
      <c r="F387" s="28"/>
      <c r="G387" s="28"/>
      <c r="H387" s="28"/>
      <c r="I387" s="28"/>
      <c r="J387" s="28"/>
      <c r="K387" s="28"/>
      <c r="L387" s="28"/>
      <c r="M387" s="28"/>
      <c r="N387" s="28"/>
      <c r="O387" s="28"/>
    </row>
    <row r="388" spans="1:15" ht="21" customHeight="1" x14ac:dyDescent="0.25">
      <c r="A388" s="28"/>
      <c r="B388" s="28"/>
      <c r="C388" s="28"/>
      <c r="D388" s="28"/>
      <c r="E388" s="28"/>
      <c r="F388" s="28"/>
      <c r="G388" s="28"/>
      <c r="H388" s="28"/>
      <c r="I388" s="28"/>
      <c r="J388" s="28"/>
      <c r="K388" s="28"/>
      <c r="L388" s="28"/>
      <c r="M388" s="28"/>
      <c r="N388" s="28"/>
      <c r="O388" s="28"/>
    </row>
    <row r="389" spans="1:15" ht="21" customHeight="1" x14ac:dyDescent="0.25">
      <c r="A389" s="28"/>
      <c r="B389" s="28"/>
      <c r="C389" s="28"/>
      <c r="D389" s="28"/>
      <c r="E389" s="28"/>
      <c r="F389" s="28"/>
      <c r="G389" s="28"/>
      <c r="H389" s="28"/>
      <c r="I389" s="28"/>
      <c r="J389" s="28"/>
      <c r="K389" s="28"/>
      <c r="L389" s="28"/>
      <c r="M389" s="28"/>
      <c r="N389" s="28"/>
      <c r="O389" s="28"/>
    </row>
    <row r="390" spans="1:15" ht="21" customHeight="1" x14ac:dyDescent="0.25">
      <c r="A390" s="28"/>
      <c r="B390" s="28"/>
      <c r="C390" s="28"/>
      <c r="D390" s="28"/>
      <c r="E390" s="28"/>
      <c r="F390" s="28"/>
      <c r="G390" s="28"/>
      <c r="H390" s="28"/>
      <c r="I390" s="28"/>
      <c r="J390" s="28"/>
      <c r="K390" s="28"/>
      <c r="L390" s="28"/>
      <c r="M390" s="28"/>
      <c r="N390" s="28"/>
      <c r="O390" s="28"/>
    </row>
    <row r="391" spans="1:15" ht="21" customHeight="1" x14ac:dyDescent="0.25">
      <c r="A391" s="28"/>
      <c r="B391" s="28"/>
      <c r="C391" s="28"/>
      <c r="D391" s="28"/>
      <c r="E391" s="28"/>
      <c r="F391" s="28"/>
      <c r="G391" s="28"/>
      <c r="H391" s="28"/>
      <c r="I391" s="28"/>
      <c r="J391" s="28"/>
      <c r="K391" s="28"/>
      <c r="L391" s="28"/>
      <c r="M391" s="28"/>
      <c r="N391" s="28"/>
      <c r="O391" s="28"/>
    </row>
    <row r="392" spans="1:15" ht="21" customHeight="1" x14ac:dyDescent="0.25">
      <c r="A392" s="28"/>
      <c r="B392" s="28"/>
      <c r="C392" s="28"/>
      <c r="D392" s="28"/>
      <c r="E392" s="28"/>
      <c r="F392" s="28"/>
      <c r="G392" s="28"/>
      <c r="H392" s="28"/>
      <c r="I392" s="28"/>
      <c r="J392" s="28"/>
      <c r="K392" s="28"/>
      <c r="L392" s="28"/>
      <c r="M392" s="28"/>
      <c r="N392" s="28"/>
      <c r="O392" s="28"/>
    </row>
    <row r="393" spans="1:15" ht="21" customHeight="1" x14ac:dyDescent="0.25">
      <c r="A393" s="28"/>
      <c r="B393" s="28"/>
      <c r="C393" s="28"/>
      <c r="D393" s="28"/>
      <c r="E393" s="28"/>
      <c r="F393" s="28"/>
      <c r="G393" s="28"/>
      <c r="H393" s="28"/>
      <c r="I393" s="28"/>
      <c r="J393" s="28"/>
      <c r="K393" s="28"/>
      <c r="L393" s="28"/>
      <c r="M393" s="28"/>
      <c r="N393" s="28"/>
      <c r="O393" s="28"/>
    </row>
    <row r="394" spans="1:15" ht="21" customHeight="1" x14ac:dyDescent="0.25">
      <c r="A394" s="28"/>
      <c r="B394" s="28"/>
      <c r="C394" s="28"/>
      <c r="D394" s="28"/>
      <c r="E394" s="28"/>
      <c r="F394" s="28"/>
      <c r="G394" s="28"/>
      <c r="H394" s="28"/>
      <c r="I394" s="28"/>
      <c r="J394" s="28"/>
      <c r="K394" s="28"/>
      <c r="L394" s="28"/>
      <c r="M394" s="28"/>
      <c r="N394" s="28"/>
      <c r="O394" s="28"/>
    </row>
    <row r="395" spans="1:15" ht="21" customHeight="1" x14ac:dyDescent="0.25">
      <c r="A395" s="28"/>
      <c r="B395" s="28"/>
      <c r="C395" s="28"/>
      <c r="D395" s="28"/>
      <c r="E395" s="28"/>
      <c r="F395" s="28"/>
      <c r="G395" s="28"/>
      <c r="H395" s="28"/>
      <c r="I395" s="28"/>
      <c r="J395" s="28"/>
      <c r="K395" s="28"/>
      <c r="L395" s="28"/>
      <c r="M395" s="28"/>
      <c r="N395" s="28"/>
      <c r="O395" s="28"/>
    </row>
    <row r="396" spans="1:15" ht="21" customHeight="1" x14ac:dyDescent="0.25">
      <c r="A396" s="28"/>
      <c r="B396" s="28"/>
      <c r="C396" s="28"/>
      <c r="D396" s="28"/>
      <c r="E396" s="28"/>
      <c r="F396" s="28"/>
      <c r="G396" s="28"/>
      <c r="H396" s="28"/>
      <c r="I396" s="28"/>
      <c r="J396" s="28"/>
      <c r="K396" s="28"/>
      <c r="L396" s="28"/>
      <c r="M396" s="28"/>
      <c r="N396" s="28"/>
      <c r="O396" s="28"/>
    </row>
    <row r="397" spans="1:15" ht="21" customHeight="1" x14ac:dyDescent="0.25">
      <c r="A397" s="28"/>
      <c r="B397" s="28"/>
      <c r="C397" s="28"/>
      <c r="D397" s="28"/>
      <c r="E397" s="28"/>
      <c r="F397" s="28"/>
      <c r="G397" s="28"/>
      <c r="H397" s="28"/>
      <c r="I397" s="28"/>
      <c r="J397" s="28"/>
      <c r="K397" s="28"/>
      <c r="L397" s="28"/>
      <c r="M397" s="28"/>
      <c r="N397" s="28"/>
      <c r="O397" s="28"/>
    </row>
    <row r="398" spans="1:15" ht="21" customHeight="1" x14ac:dyDescent="0.25">
      <c r="A398" s="28"/>
      <c r="B398" s="28"/>
      <c r="C398" s="28"/>
      <c r="D398" s="28"/>
      <c r="E398" s="28"/>
      <c r="F398" s="28"/>
      <c r="G398" s="28"/>
      <c r="H398" s="28"/>
      <c r="I398" s="28"/>
      <c r="J398" s="28"/>
      <c r="K398" s="28"/>
      <c r="L398" s="28"/>
      <c r="M398" s="28"/>
      <c r="N398" s="28"/>
      <c r="O398" s="28"/>
    </row>
    <row r="399" spans="1:15" ht="21" customHeight="1" x14ac:dyDescent="0.25">
      <c r="A399" s="28"/>
      <c r="B399" s="28"/>
      <c r="C399" s="28"/>
      <c r="D399" s="28"/>
      <c r="E399" s="28"/>
      <c r="F399" s="28"/>
      <c r="G399" s="28"/>
      <c r="H399" s="28"/>
      <c r="I399" s="28"/>
      <c r="J399" s="28"/>
      <c r="K399" s="28"/>
      <c r="L399" s="28"/>
      <c r="M399" s="28"/>
      <c r="N399" s="28"/>
      <c r="O399" s="28"/>
    </row>
    <row r="400" spans="1:15" ht="21" customHeight="1" x14ac:dyDescent="0.25">
      <c r="A400" s="28"/>
      <c r="B400" s="28"/>
      <c r="C400" s="28"/>
      <c r="D400" s="28"/>
      <c r="E400" s="28"/>
      <c r="F400" s="28"/>
      <c r="G400" s="28"/>
      <c r="H400" s="28"/>
      <c r="I400" s="28"/>
      <c r="J400" s="28"/>
      <c r="K400" s="28"/>
      <c r="L400" s="28"/>
      <c r="M400" s="28"/>
      <c r="N400" s="28"/>
      <c r="O400" s="28"/>
    </row>
    <row r="401" spans="1:15" ht="21" customHeight="1" x14ac:dyDescent="0.25">
      <c r="A401" s="28"/>
      <c r="B401" s="28"/>
      <c r="C401" s="28"/>
      <c r="D401" s="28"/>
      <c r="E401" s="28"/>
      <c r="F401" s="28"/>
      <c r="G401" s="28"/>
      <c r="H401" s="28"/>
      <c r="I401" s="28"/>
      <c r="J401" s="28"/>
      <c r="K401" s="28"/>
      <c r="L401" s="28"/>
      <c r="M401" s="28"/>
      <c r="N401" s="28"/>
      <c r="O401" s="28"/>
    </row>
    <row r="402" spans="1:15" ht="21" customHeight="1" x14ac:dyDescent="0.25">
      <c r="A402" s="28"/>
      <c r="B402" s="28"/>
      <c r="C402" s="28"/>
      <c r="D402" s="28"/>
      <c r="E402" s="28"/>
      <c r="F402" s="28"/>
      <c r="G402" s="28"/>
      <c r="H402" s="28"/>
      <c r="I402" s="28"/>
      <c r="J402" s="28"/>
      <c r="K402" s="28"/>
      <c r="L402" s="28"/>
      <c r="M402" s="28"/>
      <c r="N402" s="28"/>
      <c r="O402" s="28"/>
    </row>
    <row r="403" spans="1:15" ht="21" customHeight="1" x14ac:dyDescent="0.25">
      <c r="A403" s="28"/>
      <c r="B403" s="28"/>
      <c r="C403" s="28"/>
      <c r="D403" s="28"/>
      <c r="E403" s="28"/>
      <c r="F403" s="28"/>
      <c r="G403" s="28"/>
      <c r="H403" s="28"/>
      <c r="I403" s="28"/>
      <c r="J403" s="28"/>
      <c r="K403" s="28"/>
      <c r="L403" s="28"/>
      <c r="M403" s="28"/>
      <c r="N403" s="28"/>
      <c r="O403" s="28"/>
    </row>
    <row r="404" spans="1:15" ht="21" customHeight="1" x14ac:dyDescent="0.25">
      <c r="A404" s="28"/>
      <c r="B404" s="28"/>
      <c r="C404" s="28"/>
      <c r="D404" s="28"/>
      <c r="E404" s="28"/>
      <c r="F404" s="28"/>
      <c r="G404" s="28"/>
      <c r="H404" s="28"/>
      <c r="I404" s="28"/>
      <c r="J404" s="28"/>
      <c r="K404" s="28"/>
      <c r="L404" s="28"/>
      <c r="M404" s="28"/>
      <c r="N404" s="28"/>
      <c r="O404" s="28"/>
    </row>
    <row r="405" spans="1:15" ht="21" customHeight="1" x14ac:dyDescent="0.25">
      <c r="A405" s="28"/>
      <c r="B405" s="28"/>
      <c r="C405" s="28"/>
      <c r="D405" s="28"/>
      <c r="E405" s="28"/>
      <c r="F405" s="28"/>
      <c r="G405" s="28"/>
      <c r="H405" s="28"/>
      <c r="I405" s="28"/>
      <c r="J405" s="28"/>
      <c r="K405" s="28"/>
      <c r="L405" s="28"/>
      <c r="M405" s="28"/>
      <c r="N405" s="28"/>
      <c r="O405" s="28"/>
    </row>
    <row r="406" spans="1:15" ht="21" customHeight="1" x14ac:dyDescent="0.25">
      <c r="A406" s="28"/>
      <c r="B406" s="28"/>
      <c r="C406" s="28"/>
      <c r="D406" s="28"/>
      <c r="E406" s="28"/>
      <c r="F406" s="28"/>
      <c r="G406" s="28"/>
      <c r="H406" s="28"/>
      <c r="I406" s="28"/>
      <c r="J406" s="28"/>
      <c r="K406" s="28"/>
      <c r="L406" s="28"/>
      <c r="M406" s="28"/>
      <c r="N406" s="28"/>
      <c r="O406" s="28"/>
    </row>
    <row r="407" spans="1:15" ht="21" customHeight="1" x14ac:dyDescent="0.25">
      <c r="A407" s="28"/>
      <c r="B407" s="28"/>
      <c r="C407" s="28"/>
      <c r="D407" s="28"/>
      <c r="E407" s="28"/>
      <c r="F407" s="28"/>
      <c r="G407" s="28"/>
      <c r="H407" s="28"/>
      <c r="I407" s="28"/>
      <c r="J407" s="28"/>
      <c r="K407" s="28"/>
      <c r="L407" s="28"/>
      <c r="M407" s="28"/>
      <c r="N407" s="28"/>
      <c r="O407" s="28"/>
    </row>
    <row r="408" spans="1:15" ht="21" customHeight="1" x14ac:dyDescent="0.25">
      <c r="A408" s="28"/>
      <c r="B408" s="28"/>
      <c r="C408" s="28"/>
      <c r="D408" s="28"/>
      <c r="E408" s="28"/>
      <c r="F408" s="28"/>
      <c r="G408" s="28"/>
      <c r="H408" s="28"/>
      <c r="I408" s="28"/>
      <c r="J408" s="28"/>
      <c r="K408" s="28"/>
      <c r="L408" s="28"/>
      <c r="M408" s="28"/>
      <c r="N408" s="28"/>
      <c r="O408" s="28"/>
    </row>
    <row r="409" spans="1:15" ht="21" customHeight="1" x14ac:dyDescent="0.25">
      <c r="A409" s="28"/>
      <c r="B409" s="28"/>
      <c r="C409" s="28"/>
      <c r="D409" s="28"/>
      <c r="E409" s="28"/>
      <c r="F409" s="28"/>
      <c r="G409" s="28"/>
      <c r="H409" s="28"/>
      <c r="I409" s="28"/>
      <c r="J409" s="28"/>
      <c r="K409" s="28"/>
      <c r="L409" s="28"/>
      <c r="M409" s="28"/>
      <c r="N409" s="28"/>
      <c r="O409" s="28"/>
    </row>
    <row r="410" spans="1:15" ht="21" customHeight="1" x14ac:dyDescent="0.25">
      <c r="A410" s="28"/>
      <c r="B410" s="28"/>
      <c r="C410" s="28"/>
      <c r="D410" s="28"/>
      <c r="E410" s="28"/>
      <c r="F410" s="28"/>
      <c r="G410" s="28"/>
      <c r="H410" s="28"/>
      <c r="I410" s="28"/>
      <c r="J410" s="28"/>
      <c r="K410" s="28"/>
      <c r="L410" s="28"/>
      <c r="M410" s="28"/>
      <c r="N410" s="28"/>
      <c r="O410" s="28"/>
    </row>
    <row r="411" spans="1:15" ht="21" customHeight="1" x14ac:dyDescent="0.25">
      <c r="A411" s="28"/>
      <c r="B411" s="28"/>
      <c r="C411" s="28"/>
      <c r="D411" s="28"/>
      <c r="E411" s="28"/>
      <c r="F411" s="28"/>
      <c r="G411" s="28"/>
      <c r="H411" s="28"/>
      <c r="I411" s="28"/>
      <c r="J411" s="28"/>
      <c r="K411" s="28"/>
      <c r="L411" s="28"/>
      <c r="M411" s="28"/>
      <c r="N411" s="28"/>
      <c r="O411" s="28"/>
    </row>
    <row r="412" spans="1:15" ht="21" customHeight="1" x14ac:dyDescent="0.25">
      <c r="A412" s="28"/>
      <c r="B412" s="28"/>
      <c r="C412" s="28"/>
      <c r="D412" s="28"/>
      <c r="E412" s="28"/>
      <c r="F412" s="28"/>
      <c r="G412" s="28"/>
      <c r="H412" s="28"/>
      <c r="I412" s="28"/>
      <c r="J412" s="28"/>
      <c r="K412" s="28"/>
      <c r="L412" s="28"/>
      <c r="M412" s="28"/>
      <c r="N412" s="28"/>
      <c r="O412" s="28"/>
    </row>
    <row r="413" spans="1:15" ht="21" customHeight="1" x14ac:dyDescent="0.25">
      <c r="A413" s="28"/>
      <c r="B413" s="28"/>
      <c r="C413" s="28"/>
      <c r="D413" s="28"/>
      <c r="E413" s="28"/>
      <c r="F413" s="28"/>
      <c r="G413" s="28"/>
      <c r="H413" s="28"/>
      <c r="I413" s="28"/>
      <c r="J413" s="28"/>
      <c r="K413" s="28"/>
      <c r="L413" s="28"/>
      <c r="M413" s="28"/>
      <c r="N413" s="28"/>
      <c r="O413" s="28"/>
    </row>
    <row r="414" spans="1:15" ht="21" customHeight="1" x14ac:dyDescent="0.25">
      <c r="A414" s="28"/>
      <c r="B414" s="28"/>
      <c r="C414" s="28"/>
      <c r="D414" s="28"/>
      <c r="E414" s="28"/>
      <c r="F414" s="28"/>
      <c r="G414" s="28"/>
      <c r="H414" s="28"/>
      <c r="I414" s="28"/>
      <c r="J414" s="28"/>
      <c r="K414" s="28"/>
      <c r="L414" s="28"/>
      <c r="M414" s="28"/>
      <c r="N414" s="28"/>
      <c r="O414" s="28"/>
    </row>
    <row r="415" spans="1:15" ht="21" customHeight="1" x14ac:dyDescent="0.25">
      <c r="A415" s="28"/>
      <c r="B415" s="28"/>
      <c r="C415" s="28"/>
      <c r="D415" s="28"/>
      <c r="E415" s="28"/>
      <c r="F415" s="28"/>
      <c r="G415" s="28"/>
      <c r="H415" s="28"/>
      <c r="I415" s="28"/>
      <c r="J415" s="28"/>
      <c r="K415" s="28"/>
      <c r="L415" s="28"/>
      <c r="M415" s="28"/>
      <c r="N415" s="28"/>
      <c r="O415" s="28"/>
    </row>
    <row r="416" spans="1:15" ht="21" customHeight="1" x14ac:dyDescent="0.25">
      <c r="A416" s="28"/>
      <c r="B416" s="28"/>
      <c r="C416" s="28"/>
      <c r="D416" s="28"/>
      <c r="E416" s="28"/>
      <c r="F416" s="28"/>
      <c r="G416" s="28"/>
      <c r="H416" s="28"/>
      <c r="I416" s="28"/>
      <c r="J416" s="28"/>
      <c r="K416" s="28"/>
      <c r="L416" s="28"/>
      <c r="M416" s="28"/>
      <c r="N416" s="28"/>
      <c r="O416" s="28"/>
    </row>
    <row r="417" spans="1:15" ht="21" customHeight="1" x14ac:dyDescent="0.25">
      <c r="A417" s="28"/>
      <c r="B417" s="28"/>
      <c r="C417" s="28"/>
      <c r="D417" s="28"/>
      <c r="E417" s="28"/>
      <c r="F417" s="28"/>
      <c r="G417" s="28"/>
      <c r="H417" s="28"/>
      <c r="I417" s="28"/>
      <c r="J417" s="28"/>
      <c r="K417" s="28"/>
      <c r="L417" s="28"/>
      <c r="M417" s="28"/>
      <c r="N417" s="28"/>
      <c r="O417" s="28"/>
    </row>
    <row r="418" spans="1:15" ht="21" customHeight="1" x14ac:dyDescent="0.25">
      <c r="A418" s="28"/>
      <c r="B418" s="28"/>
      <c r="C418" s="28"/>
      <c r="D418" s="28"/>
      <c r="E418" s="28"/>
      <c r="F418" s="28"/>
      <c r="G418" s="28"/>
      <c r="H418" s="28"/>
      <c r="I418" s="28"/>
      <c r="J418" s="28"/>
      <c r="K418" s="28"/>
      <c r="L418" s="28"/>
      <c r="M418" s="28"/>
      <c r="N418" s="28"/>
      <c r="O418" s="28"/>
    </row>
    <row r="419" spans="1:15" ht="21" customHeight="1" x14ac:dyDescent="0.25">
      <c r="A419" s="28"/>
      <c r="B419" s="28"/>
      <c r="C419" s="28"/>
      <c r="D419" s="28"/>
      <c r="E419" s="28"/>
      <c r="F419" s="28"/>
      <c r="G419" s="28"/>
      <c r="H419" s="28"/>
      <c r="I419" s="28"/>
      <c r="J419" s="28"/>
      <c r="K419" s="28"/>
      <c r="L419" s="28"/>
      <c r="M419" s="28"/>
      <c r="N419" s="28"/>
      <c r="O419" s="28"/>
    </row>
    <row r="420" spans="1:15" ht="21" customHeight="1" x14ac:dyDescent="0.25">
      <c r="A420" s="28"/>
      <c r="B420" s="28"/>
      <c r="C420" s="28"/>
      <c r="D420" s="28"/>
      <c r="E420" s="28"/>
      <c r="F420" s="28"/>
      <c r="G420" s="28"/>
      <c r="H420" s="28"/>
      <c r="I420" s="28"/>
      <c r="J420" s="28"/>
      <c r="K420" s="28"/>
      <c r="L420" s="28"/>
      <c r="M420" s="28"/>
      <c r="N420" s="28"/>
      <c r="O420" s="28"/>
    </row>
    <row r="421" spans="1:15" ht="21" customHeight="1" x14ac:dyDescent="0.25">
      <c r="A421" s="28"/>
      <c r="B421" s="28"/>
      <c r="C421" s="28"/>
      <c r="D421" s="28"/>
      <c r="E421" s="28"/>
      <c r="F421" s="28"/>
      <c r="G421" s="28"/>
      <c r="H421" s="28"/>
      <c r="I421" s="28"/>
      <c r="J421" s="28"/>
      <c r="K421" s="28"/>
      <c r="L421" s="28"/>
      <c r="M421" s="28"/>
      <c r="N421" s="28"/>
      <c r="O421" s="28"/>
    </row>
    <row r="422" spans="1:15" ht="21" customHeight="1" x14ac:dyDescent="0.25">
      <c r="A422" s="28"/>
      <c r="B422" s="28"/>
      <c r="C422" s="28"/>
      <c r="D422" s="28"/>
      <c r="E422" s="28"/>
      <c r="F422" s="28"/>
      <c r="G422" s="28"/>
      <c r="H422" s="28"/>
      <c r="I422" s="28"/>
      <c r="J422" s="28"/>
      <c r="K422" s="28"/>
      <c r="L422" s="28"/>
      <c r="M422" s="28"/>
      <c r="N422" s="28"/>
      <c r="O422" s="28"/>
    </row>
    <row r="423" spans="1:15" ht="21" customHeight="1" x14ac:dyDescent="0.25">
      <c r="A423" s="28"/>
      <c r="B423" s="28"/>
      <c r="C423" s="28"/>
      <c r="D423" s="28"/>
      <c r="E423" s="28"/>
      <c r="F423" s="28"/>
      <c r="G423" s="28"/>
      <c r="H423" s="28"/>
      <c r="I423" s="28"/>
      <c r="J423" s="28"/>
      <c r="K423" s="28"/>
      <c r="L423" s="28"/>
      <c r="M423" s="28"/>
      <c r="N423" s="28"/>
      <c r="O423" s="28"/>
    </row>
    <row r="424" spans="1:15" ht="21" customHeight="1" x14ac:dyDescent="0.25">
      <c r="A424" s="28"/>
      <c r="B424" s="28"/>
      <c r="C424" s="28"/>
      <c r="D424" s="28"/>
      <c r="E424" s="28"/>
      <c r="F424" s="28"/>
      <c r="G424" s="28"/>
      <c r="H424" s="28"/>
      <c r="I424" s="28"/>
      <c r="J424" s="28"/>
      <c r="K424" s="28"/>
      <c r="L424" s="28"/>
      <c r="M424" s="28"/>
      <c r="N424" s="28"/>
      <c r="O424" s="28"/>
    </row>
    <row r="425" spans="1:15" ht="21" customHeight="1" x14ac:dyDescent="0.25">
      <c r="A425" s="28"/>
      <c r="B425" s="28"/>
      <c r="C425" s="28"/>
      <c r="D425" s="28"/>
      <c r="E425" s="28"/>
      <c r="F425" s="28"/>
      <c r="G425" s="28"/>
      <c r="H425" s="28"/>
      <c r="I425" s="28"/>
      <c r="J425" s="28"/>
      <c r="K425" s="28"/>
      <c r="L425" s="28"/>
      <c r="M425" s="28"/>
      <c r="N425" s="28"/>
      <c r="O425" s="28"/>
    </row>
    <row r="426" spans="1:15" ht="21" customHeight="1" x14ac:dyDescent="0.25">
      <c r="A426" s="28"/>
      <c r="B426" s="28"/>
      <c r="C426" s="28"/>
      <c r="D426" s="28"/>
      <c r="E426" s="28"/>
      <c r="F426" s="28"/>
      <c r="G426" s="28"/>
      <c r="H426" s="28"/>
      <c r="I426" s="28"/>
      <c r="J426" s="28"/>
      <c r="K426" s="28"/>
      <c r="L426" s="28"/>
      <c r="M426" s="28"/>
      <c r="N426" s="28"/>
      <c r="O426" s="28"/>
    </row>
    <row r="427" spans="1:15" ht="21" customHeight="1" x14ac:dyDescent="0.25">
      <c r="A427" s="28"/>
      <c r="B427" s="28"/>
      <c r="C427" s="28"/>
      <c r="D427" s="28"/>
      <c r="E427" s="28"/>
      <c r="F427" s="28"/>
      <c r="G427" s="28"/>
      <c r="H427" s="28"/>
      <c r="I427" s="28"/>
      <c r="J427" s="28"/>
      <c r="K427" s="28"/>
      <c r="L427" s="28"/>
      <c r="M427" s="28"/>
      <c r="N427" s="28"/>
      <c r="O427" s="28"/>
    </row>
    <row r="428" spans="1:15" ht="21" customHeight="1" x14ac:dyDescent="0.25">
      <c r="A428" s="28"/>
      <c r="B428" s="28"/>
      <c r="C428" s="28"/>
      <c r="D428" s="28"/>
      <c r="E428" s="28"/>
      <c r="F428" s="28"/>
      <c r="G428" s="28"/>
      <c r="H428" s="28"/>
      <c r="I428" s="28"/>
      <c r="J428" s="28"/>
      <c r="K428" s="28"/>
      <c r="L428" s="28"/>
      <c r="M428" s="28"/>
      <c r="N428" s="28"/>
      <c r="O428" s="28"/>
    </row>
    <row r="429" spans="1:15" ht="21" customHeight="1" x14ac:dyDescent="0.25">
      <c r="A429" s="28"/>
      <c r="B429" s="28"/>
      <c r="C429" s="28"/>
      <c r="D429" s="28"/>
      <c r="E429" s="28"/>
      <c r="F429" s="28"/>
      <c r="G429" s="28"/>
      <c r="H429" s="28"/>
      <c r="I429" s="28"/>
      <c r="J429" s="28"/>
      <c r="K429" s="28"/>
      <c r="L429" s="28"/>
      <c r="M429" s="28"/>
      <c r="N429" s="28"/>
      <c r="O429" s="28"/>
    </row>
    <row r="430" spans="1:15" ht="21" customHeight="1" x14ac:dyDescent="0.25">
      <c r="A430" s="28"/>
      <c r="B430" s="28"/>
      <c r="C430" s="28"/>
      <c r="D430" s="28"/>
      <c r="E430" s="28"/>
      <c r="F430" s="28"/>
      <c r="G430" s="28"/>
      <c r="H430" s="28"/>
      <c r="I430" s="28"/>
      <c r="J430" s="28"/>
      <c r="K430" s="28"/>
      <c r="L430" s="28"/>
      <c r="M430" s="28"/>
      <c r="N430" s="28"/>
      <c r="O430" s="28"/>
    </row>
    <row r="431" spans="1:15" ht="21" customHeight="1" x14ac:dyDescent="0.25">
      <c r="A431" s="28"/>
      <c r="B431" s="28"/>
      <c r="C431" s="28"/>
      <c r="D431" s="28"/>
      <c r="E431" s="28"/>
      <c r="F431" s="28"/>
      <c r="G431" s="28"/>
      <c r="H431" s="28"/>
      <c r="I431" s="28"/>
      <c r="J431" s="28"/>
      <c r="K431" s="28"/>
      <c r="L431" s="28"/>
      <c r="M431" s="28"/>
      <c r="N431" s="28"/>
      <c r="O431" s="28"/>
    </row>
    <row r="432" spans="1:15" ht="21" customHeight="1" x14ac:dyDescent="0.25">
      <c r="A432" s="28"/>
      <c r="B432" s="28"/>
      <c r="C432" s="28"/>
      <c r="D432" s="28"/>
      <c r="E432" s="28"/>
      <c r="F432" s="28"/>
      <c r="G432" s="28"/>
      <c r="H432" s="28"/>
      <c r="I432" s="28"/>
      <c r="J432" s="28"/>
      <c r="K432" s="28"/>
      <c r="L432" s="28"/>
      <c r="M432" s="28"/>
      <c r="N432" s="28"/>
      <c r="O432" s="28"/>
    </row>
    <row r="433" spans="1:15" ht="21" customHeight="1" x14ac:dyDescent="0.25">
      <c r="A433" s="28"/>
      <c r="B433" s="28"/>
      <c r="C433" s="28"/>
      <c r="D433" s="28"/>
      <c r="E433" s="28"/>
      <c r="F433" s="28"/>
      <c r="G433" s="28"/>
      <c r="H433" s="28"/>
      <c r="I433" s="28"/>
      <c r="J433" s="28"/>
      <c r="K433" s="28"/>
      <c r="L433" s="28"/>
      <c r="M433" s="28"/>
      <c r="N433" s="28"/>
      <c r="O433" s="28"/>
    </row>
    <row r="434" spans="1:15" ht="21" customHeight="1" x14ac:dyDescent="0.25">
      <c r="A434" s="28"/>
      <c r="B434" s="28"/>
      <c r="C434" s="28"/>
      <c r="D434" s="28"/>
      <c r="E434" s="28"/>
      <c r="F434" s="28"/>
      <c r="G434" s="28"/>
      <c r="H434" s="28"/>
      <c r="I434" s="28"/>
      <c r="J434" s="28"/>
      <c r="K434" s="28"/>
      <c r="L434" s="28"/>
      <c r="M434" s="28"/>
      <c r="N434" s="28"/>
      <c r="O434" s="28"/>
    </row>
    <row r="435" spans="1:15" ht="21" customHeight="1" x14ac:dyDescent="0.25">
      <c r="A435" s="28"/>
      <c r="B435" s="28"/>
      <c r="C435" s="28"/>
      <c r="D435" s="28"/>
      <c r="E435" s="28"/>
      <c r="F435" s="28"/>
      <c r="G435" s="28"/>
      <c r="H435" s="28"/>
      <c r="I435" s="28"/>
      <c r="J435" s="28"/>
      <c r="K435" s="28"/>
      <c r="L435" s="28"/>
      <c r="M435" s="28"/>
      <c r="N435" s="28"/>
      <c r="O435" s="28"/>
    </row>
    <row r="436" spans="1:15" ht="21" customHeight="1" x14ac:dyDescent="0.25">
      <c r="A436" s="28"/>
      <c r="B436" s="28"/>
      <c r="C436" s="28"/>
      <c r="D436" s="28"/>
      <c r="E436" s="28"/>
      <c r="F436" s="28"/>
      <c r="G436" s="28"/>
      <c r="H436" s="28"/>
      <c r="I436" s="28"/>
      <c r="J436" s="28"/>
      <c r="K436" s="28"/>
      <c r="L436" s="28"/>
      <c r="M436" s="28"/>
      <c r="N436" s="28"/>
      <c r="O436" s="28"/>
    </row>
    <row r="437" spans="1:15" ht="21" customHeight="1" x14ac:dyDescent="0.25">
      <c r="A437" s="28"/>
      <c r="B437" s="28"/>
      <c r="C437" s="28"/>
      <c r="D437" s="28"/>
      <c r="E437" s="28"/>
      <c r="F437" s="28"/>
      <c r="G437" s="28"/>
      <c r="H437" s="28"/>
      <c r="I437" s="28"/>
      <c r="J437" s="28"/>
      <c r="K437" s="28"/>
      <c r="L437" s="28"/>
      <c r="M437" s="28"/>
      <c r="N437" s="28"/>
      <c r="O437" s="28"/>
    </row>
    <row r="438" spans="1:15" ht="21" customHeight="1" x14ac:dyDescent="0.25">
      <c r="A438" s="28"/>
      <c r="B438" s="28"/>
      <c r="C438" s="28"/>
      <c r="D438" s="28"/>
      <c r="E438" s="28"/>
      <c r="F438" s="28"/>
      <c r="G438" s="28"/>
      <c r="H438" s="28"/>
      <c r="I438" s="28"/>
      <c r="J438" s="28"/>
      <c r="K438" s="28"/>
      <c r="L438" s="28"/>
      <c r="M438" s="28"/>
      <c r="N438" s="28"/>
      <c r="O438" s="28"/>
    </row>
    <row r="439" spans="1:15" ht="21" customHeight="1" x14ac:dyDescent="0.25">
      <c r="A439" s="28"/>
      <c r="B439" s="28"/>
      <c r="C439" s="28"/>
      <c r="D439" s="28"/>
      <c r="E439" s="28"/>
      <c r="F439" s="28"/>
      <c r="G439" s="28"/>
      <c r="H439" s="28"/>
      <c r="I439" s="28"/>
      <c r="J439" s="28"/>
      <c r="K439" s="28"/>
      <c r="L439" s="28"/>
      <c r="M439" s="28"/>
      <c r="N439" s="28"/>
      <c r="O439" s="28"/>
    </row>
    <row r="440" spans="1:15" ht="21" customHeight="1" x14ac:dyDescent="0.25">
      <c r="A440" s="28"/>
      <c r="B440" s="28"/>
      <c r="C440" s="28"/>
      <c r="D440" s="28"/>
      <c r="E440" s="28"/>
      <c r="F440" s="28"/>
      <c r="G440" s="28"/>
      <c r="H440" s="28"/>
      <c r="I440" s="28"/>
      <c r="J440" s="28"/>
      <c r="K440" s="28"/>
      <c r="L440" s="28"/>
      <c r="M440" s="28"/>
      <c r="N440" s="28"/>
      <c r="O440" s="28"/>
    </row>
    <row r="441" spans="1:15" ht="21" customHeight="1" x14ac:dyDescent="0.25">
      <c r="A441" s="28"/>
      <c r="B441" s="28"/>
      <c r="C441" s="28"/>
      <c r="D441" s="28"/>
      <c r="E441" s="28"/>
      <c r="F441" s="28"/>
      <c r="G441" s="28"/>
      <c r="H441" s="28"/>
      <c r="I441" s="28"/>
      <c r="J441" s="28"/>
      <c r="K441" s="28"/>
      <c r="L441" s="28"/>
      <c r="M441" s="28"/>
      <c r="N441" s="28"/>
      <c r="O441" s="28"/>
    </row>
    <row r="442" spans="1:15" ht="21" customHeight="1" x14ac:dyDescent="0.25">
      <c r="A442" s="28"/>
      <c r="B442" s="28"/>
      <c r="C442" s="28"/>
      <c r="D442" s="28"/>
      <c r="E442" s="28"/>
      <c r="F442" s="28"/>
      <c r="G442" s="28"/>
      <c r="H442" s="28"/>
      <c r="I442" s="28"/>
      <c r="J442" s="28"/>
      <c r="K442" s="28"/>
      <c r="L442" s="28"/>
      <c r="M442" s="28"/>
      <c r="N442" s="28"/>
      <c r="O442" s="28"/>
    </row>
    <row r="443" spans="1:15" ht="21" customHeight="1" x14ac:dyDescent="0.25">
      <c r="A443" s="28"/>
      <c r="B443" s="28"/>
      <c r="C443" s="28"/>
      <c r="D443" s="28"/>
      <c r="E443" s="28"/>
      <c r="F443" s="28"/>
      <c r="G443" s="28"/>
      <c r="H443" s="28"/>
      <c r="I443" s="28"/>
      <c r="J443" s="28"/>
      <c r="K443" s="28"/>
      <c r="L443" s="28"/>
      <c r="M443" s="28"/>
      <c r="N443" s="28"/>
      <c r="O443" s="28"/>
    </row>
    <row r="444" spans="1:15" ht="21" customHeight="1" x14ac:dyDescent="0.25">
      <c r="A444" s="28"/>
      <c r="B444" s="28"/>
      <c r="C444" s="28"/>
      <c r="D444" s="28"/>
      <c r="E444" s="28"/>
      <c r="F444" s="28"/>
      <c r="G444" s="28"/>
      <c r="H444" s="28"/>
      <c r="I444" s="28"/>
      <c r="J444" s="28"/>
      <c r="K444" s="28"/>
      <c r="L444" s="28"/>
      <c r="M444" s="28"/>
      <c r="N444" s="28"/>
      <c r="O444" s="28"/>
    </row>
    <row r="445" spans="1:15" ht="21" customHeight="1" x14ac:dyDescent="0.25">
      <c r="A445" s="28"/>
      <c r="B445" s="28"/>
      <c r="C445" s="28"/>
      <c r="D445" s="28"/>
      <c r="E445" s="28"/>
      <c r="F445" s="28"/>
      <c r="G445" s="28"/>
      <c r="H445" s="28"/>
      <c r="I445" s="28"/>
      <c r="J445" s="28"/>
      <c r="K445" s="28"/>
      <c r="L445" s="28"/>
      <c r="M445" s="28"/>
      <c r="N445" s="28"/>
      <c r="O445" s="28"/>
    </row>
    <row r="446" spans="1:15" ht="21" customHeight="1" x14ac:dyDescent="0.25">
      <c r="A446" s="28"/>
      <c r="B446" s="28"/>
      <c r="C446" s="28"/>
      <c r="D446" s="28"/>
      <c r="E446" s="28"/>
      <c r="F446" s="28"/>
      <c r="G446" s="28"/>
      <c r="H446" s="28"/>
      <c r="I446" s="28"/>
      <c r="J446" s="28"/>
      <c r="K446" s="28"/>
      <c r="L446" s="28"/>
      <c r="M446" s="28"/>
      <c r="N446" s="28"/>
      <c r="O446" s="28"/>
    </row>
    <row r="447" spans="1:15" ht="21" customHeight="1" x14ac:dyDescent="0.25">
      <c r="A447" s="28"/>
      <c r="B447" s="28"/>
      <c r="C447" s="28"/>
      <c r="D447" s="28"/>
      <c r="E447" s="28"/>
      <c r="F447" s="28"/>
      <c r="G447" s="28"/>
      <c r="H447" s="28"/>
      <c r="I447" s="28"/>
      <c r="J447" s="28"/>
      <c r="K447" s="28"/>
      <c r="L447" s="28"/>
      <c r="M447" s="28"/>
      <c r="N447" s="28"/>
      <c r="O447" s="28"/>
    </row>
    <row r="448" spans="1:15" ht="21" customHeight="1" x14ac:dyDescent="0.25">
      <c r="A448" s="28"/>
      <c r="B448" s="28"/>
      <c r="C448" s="28"/>
      <c r="D448" s="28"/>
      <c r="E448" s="28"/>
      <c r="F448" s="28"/>
      <c r="G448" s="28"/>
      <c r="H448" s="28"/>
      <c r="I448" s="28"/>
      <c r="J448" s="28"/>
      <c r="K448" s="28"/>
      <c r="L448" s="28"/>
      <c r="M448" s="28"/>
      <c r="N448" s="28"/>
      <c r="O448" s="28"/>
    </row>
    <row r="449" spans="1:15" ht="21" customHeight="1" x14ac:dyDescent="0.25">
      <c r="A449" s="28"/>
      <c r="B449" s="28"/>
      <c r="C449" s="28"/>
      <c r="D449" s="28"/>
      <c r="E449" s="28"/>
      <c r="F449" s="28"/>
      <c r="G449" s="28"/>
      <c r="H449" s="28"/>
      <c r="I449" s="28"/>
      <c r="J449" s="28"/>
      <c r="K449" s="28"/>
      <c r="L449" s="28"/>
      <c r="M449" s="28"/>
      <c r="N449" s="28"/>
      <c r="O449" s="28"/>
    </row>
    <row r="450" spans="1:15" ht="21" customHeight="1" x14ac:dyDescent="0.25">
      <c r="A450" s="28"/>
      <c r="B450" s="28"/>
      <c r="C450" s="28"/>
      <c r="D450" s="28"/>
      <c r="E450" s="28"/>
      <c r="F450" s="28"/>
      <c r="G450" s="28"/>
      <c r="H450" s="28"/>
      <c r="I450" s="28"/>
      <c r="J450" s="28"/>
      <c r="K450" s="28"/>
      <c r="L450" s="28"/>
      <c r="M450" s="28"/>
      <c r="N450" s="28"/>
      <c r="O450" s="28"/>
    </row>
    <row r="451" spans="1:15" ht="21" customHeight="1" x14ac:dyDescent="0.25">
      <c r="A451" s="28"/>
      <c r="B451" s="28"/>
      <c r="C451" s="28"/>
      <c r="D451" s="28"/>
      <c r="E451" s="28"/>
      <c r="F451" s="28"/>
      <c r="G451" s="28"/>
      <c r="H451" s="28"/>
      <c r="I451" s="28"/>
      <c r="J451" s="28"/>
      <c r="K451" s="28"/>
      <c r="L451" s="28"/>
      <c r="M451" s="28"/>
      <c r="N451" s="28"/>
      <c r="O451" s="28"/>
    </row>
    <row r="452" spans="1:15" ht="21" customHeight="1" x14ac:dyDescent="0.25">
      <c r="A452" s="28"/>
      <c r="B452" s="28"/>
      <c r="C452" s="28"/>
      <c r="D452" s="28"/>
      <c r="E452" s="28"/>
      <c r="F452" s="28"/>
      <c r="G452" s="28"/>
      <c r="H452" s="28"/>
      <c r="I452" s="28"/>
      <c r="J452" s="28"/>
      <c r="K452" s="28"/>
      <c r="L452" s="28"/>
      <c r="M452" s="28"/>
      <c r="N452" s="28"/>
      <c r="O452" s="28"/>
    </row>
    <row r="453" spans="1:15" ht="21" customHeight="1" x14ac:dyDescent="0.25">
      <c r="A453" s="28"/>
      <c r="B453" s="28"/>
      <c r="C453" s="28"/>
      <c r="D453" s="28"/>
      <c r="E453" s="28"/>
      <c r="F453" s="28"/>
      <c r="G453" s="28"/>
      <c r="H453" s="28"/>
      <c r="I453" s="28"/>
      <c r="J453" s="28"/>
      <c r="K453" s="28"/>
      <c r="L453" s="28"/>
      <c r="M453" s="28"/>
      <c r="N453" s="28"/>
      <c r="O453" s="28"/>
    </row>
    <row r="454" spans="1:15" ht="21" customHeight="1" x14ac:dyDescent="0.25">
      <c r="A454" s="28"/>
      <c r="B454" s="28"/>
      <c r="C454" s="28"/>
      <c r="D454" s="28"/>
      <c r="E454" s="28"/>
      <c r="F454" s="28"/>
      <c r="G454" s="28"/>
      <c r="H454" s="28"/>
      <c r="I454" s="28"/>
      <c r="J454" s="28"/>
      <c r="K454" s="28"/>
      <c r="L454" s="28"/>
      <c r="M454" s="28"/>
      <c r="N454" s="28"/>
      <c r="O454" s="28"/>
    </row>
    <row r="455" spans="1:15" ht="21" customHeight="1" x14ac:dyDescent="0.25">
      <c r="A455" s="28"/>
      <c r="B455" s="28"/>
      <c r="C455" s="28"/>
      <c r="D455" s="28"/>
      <c r="E455" s="28"/>
      <c r="F455" s="28"/>
      <c r="G455" s="28"/>
      <c r="H455" s="28"/>
      <c r="I455" s="28"/>
      <c r="J455" s="28"/>
      <c r="K455" s="28"/>
      <c r="L455" s="28"/>
      <c r="M455" s="28"/>
      <c r="N455" s="28"/>
      <c r="O455" s="28"/>
    </row>
    <row r="456" spans="1:15" ht="21" customHeight="1" x14ac:dyDescent="0.25">
      <c r="A456" s="28"/>
      <c r="B456" s="28"/>
      <c r="C456" s="28"/>
      <c r="D456" s="28"/>
      <c r="E456" s="28"/>
      <c r="F456" s="28"/>
      <c r="G456" s="28"/>
      <c r="H456" s="28"/>
      <c r="I456" s="28"/>
      <c r="J456" s="28"/>
      <c r="K456" s="28"/>
      <c r="L456" s="28"/>
      <c r="M456" s="28"/>
      <c r="N456" s="28"/>
      <c r="O456" s="28"/>
    </row>
    <row r="457" spans="1:15" ht="21" customHeight="1" x14ac:dyDescent="0.25">
      <c r="A457" s="28"/>
      <c r="B457" s="28"/>
      <c r="C457" s="28"/>
      <c r="D457" s="28"/>
      <c r="E457" s="28"/>
      <c r="F457" s="28"/>
      <c r="G457" s="28"/>
      <c r="H457" s="28"/>
      <c r="I457" s="28"/>
      <c r="J457" s="28"/>
      <c r="K457" s="28"/>
      <c r="L457" s="28"/>
      <c r="M457" s="28"/>
      <c r="N457" s="28"/>
      <c r="O457" s="28"/>
    </row>
    <row r="458" spans="1:15" ht="21" customHeight="1" x14ac:dyDescent="0.25">
      <c r="A458" s="28"/>
      <c r="B458" s="28"/>
      <c r="C458" s="28"/>
      <c r="D458" s="28"/>
      <c r="E458" s="28"/>
      <c r="F458" s="28"/>
      <c r="G458" s="28"/>
      <c r="H458" s="28"/>
      <c r="I458" s="28"/>
      <c r="J458" s="28"/>
      <c r="K458" s="28"/>
      <c r="L458" s="28"/>
      <c r="M458" s="28"/>
      <c r="N458" s="28"/>
      <c r="O458" s="28"/>
    </row>
    <row r="459" spans="1:15" ht="21" customHeight="1" x14ac:dyDescent="0.25">
      <c r="A459" s="28"/>
      <c r="B459" s="28"/>
      <c r="C459" s="28"/>
      <c r="D459" s="28"/>
      <c r="E459" s="28"/>
      <c r="F459" s="28"/>
      <c r="G459" s="28"/>
      <c r="H459" s="28"/>
      <c r="I459" s="28"/>
      <c r="J459" s="28"/>
      <c r="K459" s="28"/>
      <c r="L459" s="28"/>
      <c r="M459" s="28"/>
      <c r="N459" s="28"/>
      <c r="O459" s="28"/>
    </row>
    <row r="460" spans="1:15" ht="21" customHeight="1" x14ac:dyDescent="0.25">
      <c r="A460" s="28"/>
      <c r="B460" s="28"/>
      <c r="C460" s="28"/>
      <c r="D460" s="28"/>
      <c r="E460" s="28"/>
      <c r="F460" s="28"/>
      <c r="G460" s="28"/>
      <c r="H460" s="28"/>
      <c r="I460" s="28"/>
      <c r="J460" s="28"/>
      <c r="K460" s="28"/>
      <c r="L460" s="28"/>
      <c r="M460" s="28"/>
      <c r="N460" s="28"/>
      <c r="O460" s="28"/>
    </row>
    <row r="461" spans="1:15" ht="21" customHeight="1" x14ac:dyDescent="0.25">
      <c r="A461" s="28"/>
      <c r="B461" s="28"/>
      <c r="C461" s="28"/>
      <c r="D461" s="28"/>
      <c r="E461" s="28"/>
      <c r="F461" s="28"/>
      <c r="G461" s="28"/>
      <c r="H461" s="28"/>
      <c r="I461" s="28"/>
      <c r="J461" s="28"/>
      <c r="K461" s="28"/>
      <c r="L461" s="28"/>
      <c r="M461" s="28"/>
      <c r="N461" s="28"/>
      <c r="O461" s="28"/>
    </row>
    <row r="462" spans="1:15" ht="21" customHeight="1" x14ac:dyDescent="0.25">
      <c r="A462" s="28"/>
      <c r="B462" s="28"/>
      <c r="C462" s="28"/>
      <c r="D462" s="28"/>
      <c r="E462" s="28"/>
      <c r="F462" s="28"/>
      <c r="G462" s="28"/>
      <c r="H462" s="28"/>
      <c r="I462" s="28"/>
      <c r="J462" s="28"/>
      <c r="K462" s="28"/>
      <c r="L462" s="28"/>
      <c r="M462" s="28"/>
      <c r="N462" s="28"/>
      <c r="O462" s="28"/>
    </row>
    <row r="463" spans="1:15" ht="21" customHeight="1" x14ac:dyDescent="0.25">
      <c r="A463" s="28"/>
      <c r="B463" s="28"/>
      <c r="C463" s="28"/>
      <c r="D463" s="28"/>
      <c r="E463" s="28"/>
      <c r="F463" s="28"/>
      <c r="G463" s="28"/>
      <c r="H463" s="28"/>
      <c r="I463" s="28"/>
      <c r="J463" s="28"/>
      <c r="K463" s="28"/>
      <c r="L463" s="28"/>
      <c r="M463" s="28"/>
      <c r="N463" s="28"/>
      <c r="O463" s="28"/>
    </row>
    <row r="464" spans="1:15" ht="21" customHeight="1" x14ac:dyDescent="0.25">
      <c r="A464" s="28"/>
      <c r="B464" s="28"/>
      <c r="C464" s="28"/>
      <c r="D464" s="28"/>
      <c r="E464" s="28"/>
      <c r="F464" s="28"/>
      <c r="G464" s="28"/>
      <c r="H464" s="28"/>
      <c r="I464" s="28"/>
      <c r="J464" s="28"/>
      <c r="K464" s="28"/>
      <c r="L464" s="28"/>
      <c r="M464" s="28"/>
      <c r="N464" s="28"/>
      <c r="O464" s="28"/>
    </row>
    <row r="465" spans="1:15" ht="21" customHeight="1" x14ac:dyDescent="0.25">
      <c r="A465" s="28"/>
      <c r="B465" s="28"/>
      <c r="C465" s="28"/>
      <c r="D465" s="28"/>
      <c r="E465" s="28"/>
      <c r="F465" s="28"/>
      <c r="G465" s="28"/>
      <c r="H465" s="28"/>
      <c r="I465" s="28"/>
      <c r="J465" s="28"/>
      <c r="K465" s="28"/>
      <c r="L465" s="28"/>
      <c r="M465" s="28"/>
      <c r="N465" s="28"/>
      <c r="O465" s="28"/>
    </row>
    <row r="466" spans="1:15" ht="21" customHeight="1" x14ac:dyDescent="0.25">
      <c r="A466" s="28"/>
      <c r="B466" s="28"/>
      <c r="C466" s="28"/>
      <c r="D466" s="28"/>
      <c r="E466" s="28"/>
      <c r="F466" s="28"/>
      <c r="G466" s="28"/>
      <c r="H466" s="28"/>
      <c r="I466" s="28"/>
      <c r="J466" s="28"/>
      <c r="K466" s="28"/>
      <c r="L466" s="28"/>
      <c r="M466" s="28"/>
      <c r="N466" s="28"/>
      <c r="O466" s="28"/>
    </row>
    <row r="467" spans="1:15" ht="21" customHeight="1" x14ac:dyDescent="0.25">
      <c r="A467" s="28"/>
      <c r="B467" s="28"/>
      <c r="C467" s="28"/>
      <c r="D467" s="28"/>
      <c r="E467" s="28"/>
      <c r="F467" s="28"/>
      <c r="G467" s="28"/>
      <c r="H467" s="28"/>
      <c r="I467" s="28"/>
      <c r="J467" s="28"/>
      <c r="K467" s="28"/>
      <c r="L467" s="28"/>
      <c r="M467" s="28"/>
      <c r="N467" s="28"/>
      <c r="O467" s="28"/>
    </row>
    <row r="468" spans="1:15" ht="21" customHeight="1" x14ac:dyDescent="0.25">
      <c r="A468" s="28"/>
      <c r="B468" s="28"/>
      <c r="C468" s="28"/>
      <c r="D468" s="28"/>
      <c r="E468" s="28"/>
      <c r="F468" s="28"/>
      <c r="G468" s="28"/>
      <c r="H468" s="28"/>
      <c r="I468" s="28"/>
      <c r="J468" s="28"/>
      <c r="K468" s="28"/>
      <c r="L468" s="28"/>
      <c r="M468" s="28"/>
      <c r="N468" s="28"/>
      <c r="O468" s="28"/>
    </row>
    <row r="469" spans="1:15" ht="21" customHeight="1" x14ac:dyDescent="0.25">
      <c r="A469" s="28"/>
      <c r="B469" s="28"/>
      <c r="C469" s="28"/>
      <c r="D469" s="28"/>
      <c r="E469" s="28"/>
      <c r="F469" s="28"/>
      <c r="G469" s="28"/>
      <c r="H469" s="28"/>
      <c r="I469" s="28"/>
      <c r="J469" s="28"/>
      <c r="K469" s="28"/>
      <c r="L469" s="28"/>
      <c r="M469" s="28"/>
      <c r="N469" s="28"/>
      <c r="O469" s="28"/>
    </row>
    <row r="470" spans="1:15" ht="21" customHeight="1" x14ac:dyDescent="0.25">
      <c r="A470" s="28"/>
      <c r="B470" s="28"/>
      <c r="C470" s="28"/>
      <c r="D470" s="28"/>
      <c r="E470" s="28"/>
      <c r="F470" s="28"/>
      <c r="G470" s="28"/>
      <c r="H470" s="28"/>
      <c r="I470" s="28"/>
      <c r="J470" s="28"/>
      <c r="K470" s="28"/>
      <c r="L470" s="28"/>
      <c r="M470" s="28"/>
      <c r="N470" s="28"/>
      <c r="O470" s="28"/>
    </row>
    <row r="471" spans="1:15" ht="21" customHeight="1" x14ac:dyDescent="0.25">
      <c r="A471" s="28"/>
      <c r="B471" s="28"/>
      <c r="C471" s="28"/>
      <c r="D471" s="28"/>
      <c r="E471" s="28"/>
      <c r="F471" s="28"/>
      <c r="G471" s="28"/>
      <c r="H471" s="28"/>
      <c r="I471" s="28"/>
      <c r="J471" s="28"/>
      <c r="K471" s="28"/>
      <c r="L471" s="28"/>
      <c r="M471" s="28"/>
      <c r="N471" s="28"/>
      <c r="O471" s="28"/>
    </row>
    <row r="472" spans="1:15" ht="21" customHeight="1" x14ac:dyDescent="0.25">
      <c r="A472" s="28"/>
      <c r="B472" s="28"/>
      <c r="C472" s="28"/>
      <c r="D472" s="28"/>
      <c r="E472" s="28"/>
      <c r="F472" s="28"/>
      <c r="G472" s="28"/>
      <c r="H472" s="28"/>
      <c r="I472" s="28"/>
      <c r="J472" s="28"/>
      <c r="K472" s="28"/>
      <c r="L472" s="28"/>
      <c r="M472" s="28"/>
      <c r="N472" s="28"/>
      <c r="O472" s="28"/>
    </row>
    <row r="473" spans="1:15" ht="21" customHeight="1" x14ac:dyDescent="0.25">
      <c r="A473" s="28"/>
      <c r="B473" s="28"/>
      <c r="C473" s="28"/>
      <c r="D473" s="28"/>
      <c r="E473" s="28"/>
      <c r="F473" s="28"/>
      <c r="G473" s="28"/>
      <c r="H473" s="28"/>
      <c r="I473" s="28"/>
      <c r="J473" s="28"/>
      <c r="K473" s="28"/>
      <c r="L473" s="28"/>
      <c r="M473" s="28"/>
      <c r="N473" s="28"/>
      <c r="O473" s="28"/>
    </row>
    <row r="474" spans="1:15" ht="21" customHeight="1" x14ac:dyDescent="0.25">
      <c r="A474" s="28"/>
      <c r="B474" s="28"/>
      <c r="C474" s="28"/>
      <c r="D474" s="28"/>
      <c r="E474" s="28"/>
      <c r="F474" s="28"/>
      <c r="G474" s="28"/>
      <c r="H474" s="28"/>
      <c r="I474" s="28"/>
      <c r="J474" s="28"/>
      <c r="K474" s="28"/>
      <c r="L474" s="28"/>
      <c r="M474" s="28"/>
      <c r="N474" s="28"/>
      <c r="O474" s="28"/>
    </row>
    <row r="475" spans="1:15" ht="21" customHeight="1" x14ac:dyDescent="0.25">
      <c r="A475" s="28"/>
      <c r="B475" s="28"/>
      <c r="C475" s="28"/>
      <c r="D475" s="28"/>
      <c r="E475" s="28"/>
      <c r="F475" s="28"/>
      <c r="G475" s="28"/>
      <c r="H475" s="28"/>
      <c r="I475" s="28"/>
      <c r="J475" s="28"/>
      <c r="K475" s="28"/>
      <c r="L475" s="28"/>
      <c r="M475" s="28"/>
      <c r="N475" s="28"/>
      <c r="O475" s="28"/>
    </row>
    <row r="476" spans="1:15" ht="21" customHeight="1" x14ac:dyDescent="0.25">
      <c r="A476" s="28"/>
      <c r="B476" s="28"/>
      <c r="C476" s="28"/>
      <c r="D476" s="28"/>
      <c r="E476" s="28"/>
      <c r="F476" s="28"/>
      <c r="G476" s="28"/>
      <c r="H476" s="28"/>
      <c r="I476" s="28"/>
      <c r="J476" s="28"/>
      <c r="K476" s="28"/>
      <c r="L476" s="28"/>
      <c r="M476" s="28"/>
      <c r="N476" s="28"/>
      <c r="O476" s="28"/>
    </row>
    <row r="477" spans="1:15" ht="21" customHeight="1" x14ac:dyDescent="0.25">
      <c r="A477" s="28"/>
      <c r="B477" s="28"/>
      <c r="C477" s="28"/>
      <c r="D477" s="28"/>
      <c r="E477" s="28"/>
      <c r="F477" s="28"/>
      <c r="G477" s="28"/>
      <c r="H477" s="28"/>
      <c r="I477" s="28"/>
      <c r="J477" s="28"/>
      <c r="K477" s="28"/>
      <c r="L477" s="28"/>
      <c r="M477" s="28"/>
      <c r="N477" s="28"/>
      <c r="O477" s="28"/>
    </row>
    <row r="478" spans="1:15" ht="21" customHeight="1" x14ac:dyDescent="0.25">
      <c r="A478" s="28"/>
      <c r="B478" s="28"/>
      <c r="C478" s="28"/>
      <c r="D478" s="28"/>
      <c r="E478" s="28"/>
      <c r="F478" s="28"/>
      <c r="G478" s="28"/>
      <c r="H478" s="28"/>
      <c r="I478" s="28"/>
      <c r="J478" s="28"/>
      <c r="K478" s="28"/>
      <c r="L478" s="28"/>
      <c r="M478" s="28"/>
      <c r="N478" s="28"/>
      <c r="O478" s="28"/>
    </row>
    <row r="479" spans="1:15" ht="21" customHeight="1" x14ac:dyDescent="0.25">
      <c r="A479" s="28"/>
      <c r="B479" s="28"/>
      <c r="C479" s="28"/>
      <c r="D479" s="28"/>
      <c r="E479" s="28"/>
      <c r="F479" s="28"/>
      <c r="G479" s="28"/>
      <c r="H479" s="28"/>
      <c r="I479" s="28"/>
      <c r="J479" s="28"/>
      <c r="K479" s="28"/>
      <c r="L479" s="28"/>
      <c r="M479" s="28"/>
      <c r="N479" s="28"/>
      <c r="O479" s="28"/>
    </row>
    <row r="480" spans="1:15" ht="21" customHeight="1" x14ac:dyDescent="0.25">
      <c r="A480" s="28"/>
      <c r="B480" s="28"/>
      <c r="C480" s="28"/>
      <c r="D480" s="28"/>
      <c r="E480" s="28"/>
      <c r="F480" s="28"/>
      <c r="G480" s="28"/>
      <c r="H480" s="28"/>
      <c r="I480" s="28"/>
      <c r="J480" s="28"/>
      <c r="K480" s="28"/>
      <c r="L480" s="28"/>
      <c r="M480" s="28"/>
      <c r="N480" s="28"/>
      <c r="O480" s="28"/>
    </row>
    <row r="481" spans="1:15" ht="21" customHeight="1" x14ac:dyDescent="0.25">
      <c r="A481" s="28"/>
      <c r="B481" s="28"/>
      <c r="C481" s="28"/>
      <c r="D481" s="28"/>
      <c r="E481" s="28"/>
      <c r="F481" s="28"/>
      <c r="G481" s="28"/>
      <c r="H481" s="28"/>
      <c r="I481" s="28"/>
      <c r="J481" s="28"/>
      <c r="K481" s="28"/>
      <c r="L481" s="28"/>
      <c r="M481" s="28"/>
      <c r="N481" s="28"/>
      <c r="O481" s="28"/>
    </row>
    <row r="482" spans="1:15" ht="21" customHeight="1" x14ac:dyDescent="0.25">
      <c r="A482" s="28"/>
      <c r="B482" s="28"/>
      <c r="C482" s="28"/>
      <c r="D482" s="28"/>
      <c r="E482" s="28"/>
      <c r="F482" s="28"/>
      <c r="G482" s="28"/>
      <c r="H482" s="28"/>
      <c r="I482" s="28"/>
      <c r="J482" s="28"/>
      <c r="K482" s="28"/>
      <c r="L482" s="28"/>
      <c r="M482" s="28"/>
      <c r="N482" s="28"/>
      <c r="O482" s="28"/>
    </row>
    <row r="483" spans="1:15" ht="21" customHeight="1" x14ac:dyDescent="0.25">
      <c r="A483" s="28"/>
      <c r="B483" s="28"/>
      <c r="C483" s="28"/>
      <c r="D483" s="28"/>
      <c r="E483" s="28"/>
      <c r="F483" s="28"/>
      <c r="G483" s="28"/>
      <c r="H483" s="28"/>
      <c r="I483" s="28"/>
      <c r="J483" s="28"/>
      <c r="K483" s="28"/>
      <c r="L483" s="28"/>
      <c r="M483" s="28"/>
      <c r="N483" s="28"/>
      <c r="O483" s="28"/>
    </row>
    <row r="484" spans="1:15" ht="21" customHeight="1" x14ac:dyDescent="0.25">
      <c r="A484" s="28"/>
      <c r="B484" s="28"/>
      <c r="C484" s="28"/>
      <c r="D484" s="28"/>
      <c r="E484" s="28"/>
      <c r="F484" s="28"/>
      <c r="G484" s="28"/>
      <c r="H484" s="28"/>
      <c r="I484" s="28"/>
      <c r="J484" s="28"/>
      <c r="K484" s="28"/>
      <c r="L484" s="28"/>
      <c r="M484" s="28"/>
      <c r="N484" s="28"/>
      <c r="O484" s="28"/>
    </row>
    <row r="485" spans="1:15" ht="21" customHeight="1" x14ac:dyDescent="0.25">
      <c r="A485" s="28"/>
      <c r="B485" s="28"/>
      <c r="C485" s="28"/>
      <c r="D485" s="28"/>
      <c r="E485" s="28"/>
      <c r="F485" s="28"/>
      <c r="G485" s="28"/>
      <c r="H485" s="28"/>
      <c r="I485" s="28"/>
      <c r="J485" s="28"/>
      <c r="K485" s="28"/>
      <c r="L485" s="28"/>
      <c r="M485" s="28"/>
      <c r="N485" s="28"/>
      <c r="O485" s="28"/>
    </row>
    <row r="486" spans="1:15" ht="21" customHeight="1" x14ac:dyDescent="0.25">
      <c r="A486" s="28"/>
      <c r="B486" s="28"/>
      <c r="C486" s="28"/>
      <c r="D486" s="28"/>
      <c r="E486" s="28"/>
      <c r="F486" s="28"/>
      <c r="G486" s="28"/>
      <c r="H486" s="28"/>
      <c r="I486" s="28"/>
      <c r="J486" s="28"/>
      <c r="K486" s="28"/>
      <c r="L486" s="28"/>
      <c r="M486" s="28"/>
      <c r="N486" s="28"/>
      <c r="O486" s="28"/>
    </row>
    <row r="487" spans="1:15" ht="21" customHeight="1" x14ac:dyDescent="0.25">
      <c r="A487" s="28"/>
      <c r="B487" s="28"/>
      <c r="C487" s="28"/>
      <c r="D487" s="28"/>
      <c r="E487" s="28"/>
      <c r="F487" s="28"/>
      <c r="G487" s="28"/>
      <c r="H487" s="28"/>
      <c r="I487" s="28"/>
      <c r="J487" s="28"/>
      <c r="K487" s="28"/>
      <c r="L487" s="28"/>
      <c r="M487" s="28"/>
      <c r="N487" s="28"/>
      <c r="O487" s="28"/>
    </row>
    <row r="488" spans="1:15" ht="21" customHeight="1" x14ac:dyDescent="0.25">
      <c r="A488" s="28"/>
      <c r="B488" s="28"/>
      <c r="C488" s="28"/>
      <c r="D488" s="28"/>
      <c r="E488" s="28"/>
      <c r="F488" s="28"/>
      <c r="G488" s="28"/>
      <c r="H488" s="28"/>
      <c r="I488" s="28"/>
      <c r="J488" s="28"/>
      <c r="K488" s="28"/>
      <c r="L488" s="28"/>
      <c r="M488" s="28"/>
      <c r="N488" s="28"/>
      <c r="O488" s="28"/>
    </row>
    <row r="489" spans="1:15" ht="21" customHeight="1" x14ac:dyDescent="0.25">
      <c r="A489" s="28"/>
      <c r="B489" s="28"/>
      <c r="C489" s="28"/>
      <c r="D489" s="28"/>
      <c r="E489" s="28"/>
      <c r="F489" s="28"/>
      <c r="G489" s="28"/>
      <c r="H489" s="28"/>
      <c r="I489" s="28"/>
      <c r="J489" s="28"/>
      <c r="K489" s="28"/>
      <c r="L489" s="28"/>
      <c r="M489" s="28"/>
      <c r="N489" s="28"/>
      <c r="O489" s="28"/>
    </row>
    <row r="490" spans="1:15" ht="21" customHeight="1" x14ac:dyDescent="0.25">
      <c r="A490" s="28"/>
      <c r="B490" s="28"/>
      <c r="C490" s="28"/>
      <c r="D490" s="28"/>
      <c r="E490" s="28"/>
      <c r="F490" s="28"/>
      <c r="G490" s="28"/>
      <c r="H490" s="28"/>
      <c r="I490" s="28"/>
      <c r="J490" s="28"/>
      <c r="K490" s="28"/>
      <c r="L490" s="28"/>
      <c r="M490" s="28"/>
      <c r="N490" s="28"/>
      <c r="O490" s="28"/>
    </row>
    <row r="491" spans="1:15" ht="21" customHeight="1" x14ac:dyDescent="0.25">
      <c r="A491" s="28"/>
      <c r="B491" s="28"/>
      <c r="C491" s="28"/>
      <c r="D491" s="28"/>
      <c r="E491" s="28"/>
      <c r="F491" s="28"/>
      <c r="G491" s="28"/>
      <c r="H491" s="28"/>
      <c r="I491" s="28"/>
      <c r="J491" s="28"/>
      <c r="K491" s="28"/>
      <c r="L491" s="28"/>
      <c r="M491" s="28"/>
      <c r="N491" s="28"/>
      <c r="O491" s="28"/>
    </row>
    <row r="492" spans="1:15" ht="21" customHeight="1" x14ac:dyDescent="0.25">
      <c r="A492" s="28"/>
      <c r="B492" s="28"/>
      <c r="C492" s="28"/>
      <c r="D492" s="28"/>
      <c r="E492" s="28"/>
      <c r="F492" s="28"/>
      <c r="G492" s="28"/>
      <c r="H492" s="28"/>
      <c r="I492" s="28"/>
      <c r="J492" s="28"/>
      <c r="K492" s="28"/>
      <c r="L492" s="28"/>
      <c r="M492" s="28"/>
      <c r="N492" s="28"/>
      <c r="O492" s="28"/>
    </row>
    <row r="493" spans="1:15" ht="21" customHeight="1" x14ac:dyDescent="0.25">
      <c r="A493" s="28"/>
      <c r="B493" s="28"/>
      <c r="C493" s="28"/>
      <c r="D493" s="28"/>
      <c r="E493" s="28"/>
      <c r="F493" s="28"/>
      <c r="G493" s="28"/>
      <c r="H493" s="28"/>
      <c r="I493" s="28"/>
      <c r="J493" s="28"/>
      <c r="K493" s="28"/>
      <c r="L493" s="28"/>
      <c r="M493" s="28"/>
      <c r="N493" s="28"/>
      <c r="O493" s="28"/>
    </row>
    <row r="494" spans="1:15" ht="21" customHeight="1" x14ac:dyDescent="0.25">
      <c r="A494" s="28"/>
      <c r="B494" s="28"/>
      <c r="C494" s="28"/>
      <c r="D494" s="28"/>
      <c r="E494" s="28"/>
      <c r="F494" s="28"/>
      <c r="G494" s="28"/>
      <c r="H494" s="28"/>
      <c r="I494" s="28"/>
      <c r="J494" s="28"/>
      <c r="K494" s="28"/>
      <c r="L494" s="28"/>
      <c r="M494" s="28"/>
      <c r="N494" s="28"/>
      <c r="O494" s="28"/>
    </row>
    <row r="495" spans="1:15" ht="21" customHeight="1" x14ac:dyDescent="0.25">
      <c r="A495" s="28"/>
      <c r="B495" s="28"/>
      <c r="C495" s="28"/>
      <c r="D495" s="28"/>
      <c r="E495" s="28"/>
      <c r="F495" s="28"/>
      <c r="G495" s="28"/>
      <c r="H495" s="28"/>
      <c r="I495" s="28"/>
      <c r="J495" s="28"/>
      <c r="K495" s="28"/>
      <c r="L495" s="28"/>
      <c r="M495" s="28"/>
      <c r="N495" s="28"/>
      <c r="O495" s="28"/>
    </row>
    <row r="496" spans="1:15" ht="21" customHeight="1" x14ac:dyDescent="0.25">
      <c r="A496" s="28"/>
      <c r="B496" s="28"/>
      <c r="C496" s="28"/>
      <c r="D496" s="28"/>
      <c r="E496" s="28"/>
      <c r="F496" s="28"/>
      <c r="G496" s="28"/>
      <c r="H496" s="28"/>
      <c r="I496" s="28"/>
      <c r="J496" s="28"/>
      <c r="K496" s="28"/>
      <c r="L496" s="28"/>
      <c r="M496" s="28"/>
      <c r="N496" s="28"/>
      <c r="O496" s="28"/>
    </row>
    <row r="497" spans="1:15" ht="21" customHeight="1" x14ac:dyDescent="0.25">
      <c r="A497" s="28"/>
      <c r="B497" s="28"/>
      <c r="C497" s="28"/>
      <c r="D497" s="28"/>
      <c r="E497" s="28"/>
      <c r="F497" s="28"/>
      <c r="G497" s="28"/>
      <c r="H497" s="28"/>
      <c r="I497" s="28"/>
      <c r="J497" s="28"/>
      <c r="K497" s="28"/>
      <c r="L497" s="28"/>
      <c r="M497" s="28"/>
      <c r="N497" s="28"/>
      <c r="O497" s="28"/>
    </row>
    <row r="498" spans="1:15" ht="21" customHeight="1" x14ac:dyDescent="0.25">
      <c r="A498" s="28"/>
      <c r="B498" s="28"/>
      <c r="C498" s="28"/>
      <c r="D498" s="28"/>
      <c r="E498" s="28"/>
      <c r="F498" s="28"/>
      <c r="G498" s="28"/>
      <c r="H498" s="28"/>
      <c r="I498" s="28"/>
      <c r="J498" s="28"/>
      <c r="K498" s="28"/>
      <c r="L498" s="28"/>
      <c r="M498" s="28"/>
      <c r="N498" s="28"/>
      <c r="O498" s="28"/>
    </row>
    <row r="499" spans="1:15" ht="21" customHeight="1" x14ac:dyDescent="0.25">
      <c r="A499" s="28"/>
      <c r="B499" s="28"/>
      <c r="C499" s="28"/>
      <c r="D499" s="28"/>
      <c r="E499" s="28"/>
      <c r="F499" s="28"/>
      <c r="G499" s="28"/>
      <c r="H499" s="28"/>
      <c r="I499" s="28"/>
      <c r="J499" s="28"/>
      <c r="K499" s="28"/>
      <c r="L499" s="28"/>
      <c r="M499" s="28"/>
      <c r="N499" s="28"/>
      <c r="O499" s="28"/>
    </row>
    <row r="500" spans="1:15" ht="21" customHeight="1" x14ac:dyDescent="0.25">
      <c r="A500" s="28"/>
      <c r="B500" s="28"/>
      <c r="C500" s="28"/>
      <c r="D500" s="28"/>
      <c r="E500" s="28"/>
      <c r="F500" s="28"/>
      <c r="G500" s="28"/>
      <c r="H500" s="28"/>
      <c r="I500" s="28"/>
      <c r="J500" s="28"/>
      <c r="K500" s="28"/>
      <c r="L500" s="28"/>
      <c r="M500" s="28"/>
      <c r="N500" s="28"/>
      <c r="O500" s="28"/>
    </row>
    <row r="501" spans="1:15" ht="21" customHeight="1" x14ac:dyDescent="0.25">
      <c r="A501" s="28"/>
      <c r="B501" s="28"/>
      <c r="C501" s="28"/>
      <c r="D501" s="28"/>
      <c r="E501" s="28"/>
      <c r="F501" s="28"/>
      <c r="G501" s="28"/>
      <c r="H501" s="28"/>
      <c r="I501" s="28"/>
      <c r="J501" s="28"/>
      <c r="K501" s="28"/>
      <c r="L501" s="28"/>
      <c r="M501" s="28"/>
      <c r="N501" s="28"/>
      <c r="O501" s="28"/>
    </row>
    <row r="502" spans="1:15" ht="21" customHeight="1" x14ac:dyDescent="0.25">
      <c r="A502" s="28"/>
      <c r="B502" s="28"/>
      <c r="C502" s="28"/>
      <c r="D502" s="28"/>
      <c r="E502" s="28"/>
      <c r="F502" s="28"/>
      <c r="G502" s="28"/>
      <c r="H502" s="28"/>
      <c r="I502" s="28"/>
      <c r="J502" s="28"/>
      <c r="K502" s="28"/>
      <c r="L502" s="28"/>
      <c r="M502" s="28"/>
      <c r="N502" s="28"/>
      <c r="O502" s="28"/>
    </row>
    <row r="503" spans="1:15" ht="21" customHeight="1" x14ac:dyDescent="0.25">
      <c r="A503" s="28"/>
      <c r="B503" s="28"/>
      <c r="C503" s="28"/>
      <c r="D503" s="28"/>
      <c r="E503" s="28"/>
      <c r="F503" s="28"/>
      <c r="G503" s="28"/>
      <c r="H503" s="28"/>
      <c r="I503" s="28"/>
      <c r="J503" s="28"/>
      <c r="K503" s="28"/>
      <c r="L503" s="28"/>
      <c r="M503" s="28"/>
      <c r="N503" s="28"/>
      <c r="O503" s="28"/>
    </row>
    <row r="504" spans="1:15" ht="21" customHeight="1" x14ac:dyDescent="0.25">
      <c r="A504" s="28"/>
      <c r="B504" s="28"/>
      <c r="C504" s="28"/>
      <c r="D504" s="28"/>
      <c r="E504" s="28"/>
      <c r="F504" s="28"/>
      <c r="G504" s="28"/>
      <c r="H504" s="28"/>
      <c r="I504" s="28"/>
      <c r="J504" s="28"/>
      <c r="K504" s="28"/>
      <c r="L504" s="28"/>
      <c r="M504" s="28"/>
      <c r="N504" s="28"/>
      <c r="O504" s="28"/>
    </row>
    <row r="505" spans="1:15" ht="21" customHeight="1" x14ac:dyDescent="0.25">
      <c r="A505" s="28"/>
      <c r="B505" s="28"/>
      <c r="C505" s="28"/>
      <c r="D505" s="28"/>
      <c r="E505" s="28"/>
      <c r="F505" s="28"/>
      <c r="G505" s="28"/>
      <c r="H505" s="28"/>
      <c r="I505" s="28"/>
      <c r="J505" s="28"/>
      <c r="K505" s="28"/>
      <c r="L505" s="28"/>
      <c r="M505" s="28"/>
      <c r="N505" s="28"/>
      <c r="O505" s="28"/>
    </row>
    <row r="506" spans="1:15" ht="21" customHeight="1" x14ac:dyDescent="0.25">
      <c r="A506" s="28"/>
      <c r="B506" s="28"/>
      <c r="C506" s="28"/>
      <c r="D506" s="28"/>
      <c r="E506" s="28"/>
      <c r="F506" s="28"/>
      <c r="G506" s="28"/>
      <c r="H506" s="28"/>
      <c r="I506" s="28"/>
      <c r="J506" s="28"/>
      <c r="K506" s="28"/>
      <c r="L506" s="28"/>
      <c r="M506" s="28"/>
      <c r="N506" s="28"/>
      <c r="O506" s="28"/>
    </row>
    <row r="507" spans="1:15" ht="21" customHeight="1" x14ac:dyDescent="0.25">
      <c r="A507" s="28"/>
      <c r="B507" s="28"/>
      <c r="C507" s="28"/>
      <c r="D507" s="28"/>
      <c r="E507" s="28"/>
      <c r="F507" s="28"/>
      <c r="G507" s="28"/>
      <c r="H507" s="28"/>
      <c r="I507" s="28"/>
      <c r="J507" s="28"/>
      <c r="K507" s="28"/>
      <c r="L507" s="28"/>
      <c r="M507" s="28"/>
      <c r="N507" s="28"/>
      <c r="O507" s="28"/>
    </row>
    <row r="508" spans="1:15" ht="21" customHeight="1" x14ac:dyDescent="0.25">
      <c r="A508" s="28"/>
      <c r="B508" s="28"/>
      <c r="C508" s="28"/>
      <c r="D508" s="28"/>
      <c r="E508" s="28"/>
      <c r="F508" s="28"/>
      <c r="G508" s="28"/>
      <c r="H508" s="28"/>
      <c r="I508" s="28"/>
      <c r="J508" s="28"/>
      <c r="K508" s="28"/>
      <c r="L508" s="28"/>
      <c r="M508" s="28"/>
      <c r="N508" s="28"/>
      <c r="O508" s="28"/>
    </row>
    <row r="509" spans="1:15" ht="21" customHeight="1" x14ac:dyDescent="0.25">
      <c r="A509" s="28"/>
      <c r="B509" s="28"/>
      <c r="C509" s="28"/>
      <c r="D509" s="28"/>
      <c r="E509" s="28"/>
      <c r="F509" s="28"/>
      <c r="G509" s="28"/>
      <c r="H509" s="28"/>
      <c r="I509" s="28"/>
      <c r="J509" s="28"/>
      <c r="K509" s="28"/>
      <c r="L509" s="28"/>
      <c r="M509" s="28"/>
      <c r="N509" s="28"/>
      <c r="O509" s="28"/>
    </row>
    <row r="510" spans="1:15" ht="21" customHeight="1" x14ac:dyDescent="0.25">
      <c r="A510" s="28"/>
      <c r="B510" s="28"/>
      <c r="C510" s="28"/>
      <c r="D510" s="28"/>
      <c r="E510" s="28"/>
      <c r="F510" s="28"/>
      <c r="G510" s="28"/>
      <c r="H510" s="28"/>
      <c r="I510" s="28"/>
      <c r="J510" s="28"/>
      <c r="K510" s="28"/>
      <c r="L510" s="28"/>
      <c r="M510" s="28"/>
      <c r="N510" s="28"/>
      <c r="O510" s="28"/>
    </row>
    <row r="511" spans="1:15" ht="21" customHeight="1" x14ac:dyDescent="0.25">
      <c r="A511" s="28"/>
      <c r="B511" s="28"/>
      <c r="C511" s="28"/>
      <c r="D511" s="28"/>
      <c r="E511" s="28"/>
      <c r="F511" s="28"/>
      <c r="G511" s="28"/>
      <c r="H511" s="28"/>
      <c r="I511" s="28"/>
      <c r="J511" s="28"/>
      <c r="K511" s="28"/>
      <c r="L511" s="28"/>
      <c r="M511" s="28"/>
      <c r="N511" s="28"/>
      <c r="O511" s="28"/>
    </row>
    <row r="512" spans="1:15" ht="21" customHeight="1" x14ac:dyDescent="0.25">
      <c r="A512" s="28"/>
      <c r="B512" s="28"/>
      <c r="C512" s="28"/>
      <c r="D512" s="28"/>
      <c r="E512" s="28"/>
      <c r="F512" s="28"/>
      <c r="G512" s="28"/>
      <c r="H512" s="28"/>
      <c r="I512" s="28"/>
      <c r="J512" s="28"/>
      <c r="K512" s="28"/>
      <c r="L512" s="28"/>
      <c r="M512" s="28"/>
      <c r="N512" s="28"/>
      <c r="O512" s="28"/>
    </row>
    <row r="513" spans="1:15" ht="21" customHeight="1" x14ac:dyDescent="0.25">
      <c r="A513" s="28"/>
      <c r="B513" s="28"/>
      <c r="C513" s="28"/>
      <c r="D513" s="28"/>
      <c r="E513" s="28"/>
      <c r="F513" s="28"/>
      <c r="G513" s="28"/>
      <c r="H513" s="28"/>
      <c r="I513" s="28"/>
      <c r="J513" s="28"/>
      <c r="K513" s="28"/>
      <c r="L513" s="28"/>
      <c r="M513" s="28"/>
      <c r="N513" s="28"/>
      <c r="O513" s="28"/>
    </row>
    <row r="514" spans="1:15" ht="21" customHeight="1" x14ac:dyDescent="0.25">
      <c r="A514" s="28"/>
      <c r="B514" s="28"/>
      <c r="C514" s="28"/>
      <c r="D514" s="28"/>
      <c r="E514" s="28"/>
      <c r="F514" s="28"/>
      <c r="G514" s="28"/>
      <c r="H514" s="28"/>
      <c r="I514" s="28"/>
      <c r="J514" s="28"/>
      <c r="K514" s="28"/>
      <c r="L514" s="28"/>
      <c r="M514" s="28"/>
      <c r="N514" s="28"/>
      <c r="O514" s="28"/>
    </row>
    <row r="515" spans="1:15" ht="21" customHeight="1" x14ac:dyDescent="0.25">
      <c r="A515" s="28"/>
      <c r="B515" s="28"/>
      <c r="C515" s="28"/>
      <c r="D515" s="28"/>
      <c r="E515" s="28"/>
      <c r="F515" s="28"/>
      <c r="G515" s="28"/>
      <c r="H515" s="28"/>
      <c r="I515" s="28"/>
      <c r="J515" s="28"/>
      <c r="K515" s="28"/>
      <c r="L515" s="28"/>
      <c r="M515" s="28"/>
      <c r="N515" s="28"/>
      <c r="O515" s="28"/>
    </row>
    <row r="516" spans="1:15" ht="21" customHeight="1" x14ac:dyDescent="0.25">
      <c r="A516" s="28"/>
      <c r="B516" s="28"/>
      <c r="C516" s="28"/>
      <c r="D516" s="28"/>
      <c r="E516" s="28"/>
      <c r="F516" s="28"/>
      <c r="G516" s="28"/>
      <c r="H516" s="28"/>
      <c r="I516" s="28"/>
      <c r="J516" s="28"/>
      <c r="K516" s="28"/>
      <c r="L516" s="28"/>
      <c r="M516" s="28"/>
      <c r="N516" s="28"/>
      <c r="O516" s="28"/>
    </row>
    <row r="517" spans="1:15" ht="21" customHeight="1" x14ac:dyDescent="0.25">
      <c r="A517" s="28"/>
      <c r="B517" s="28"/>
      <c r="C517" s="28"/>
      <c r="D517" s="28"/>
      <c r="E517" s="28"/>
      <c r="F517" s="28"/>
      <c r="G517" s="28"/>
      <c r="H517" s="28"/>
      <c r="I517" s="28"/>
      <c r="J517" s="28"/>
      <c r="K517" s="28"/>
      <c r="L517" s="28"/>
      <c r="M517" s="28"/>
      <c r="N517" s="28"/>
      <c r="O517" s="28"/>
    </row>
    <row r="518" spans="1:15" ht="21" customHeight="1" x14ac:dyDescent="0.25">
      <c r="A518" s="28"/>
      <c r="B518" s="28"/>
      <c r="C518" s="28"/>
      <c r="D518" s="28"/>
      <c r="E518" s="28"/>
      <c r="F518" s="28"/>
      <c r="G518" s="28"/>
      <c r="H518" s="28"/>
      <c r="I518" s="28"/>
      <c r="J518" s="28"/>
      <c r="K518" s="28"/>
      <c r="L518" s="28"/>
      <c r="M518" s="28"/>
      <c r="N518" s="28"/>
      <c r="O518" s="28"/>
    </row>
    <row r="519" spans="1:15" ht="21" customHeight="1" x14ac:dyDescent="0.25">
      <c r="A519" s="28"/>
      <c r="B519" s="28"/>
      <c r="C519" s="28"/>
      <c r="D519" s="28"/>
      <c r="E519" s="28"/>
      <c r="F519" s="28"/>
      <c r="G519" s="28"/>
      <c r="H519" s="28"/>
      <c r="I519" s="28"/>
      <c r="J519" s="28"/>
      <c r="K519" s="28"/>
      <c r="L519" s="28"/>
      <c r="M519" s="28"/>
      <c r="N519" s="28"/>
      <c r="O519" s="28"/>
    </row>
    <row r="520" spans="1:15" ht="21" customHeight="1" x14ac:dyDescent="0.25">
      <c r="A520" s="28"/>
      <c r="B520" s="28"/>
      <c r="C520" s="28"/>
      <c r="D520" s="28"/>
      <c r="E520" s="28"/>
      <c r="F520" s="28"/>
      <c r="G520" s="28"/>
      <c r="H520" s="28"/>
      <c r="I520" s="28"/>
      <c r="J520" s="28"/>
      <c r="K520" s="28"/>
      <c r="L520" s="28"/>
      <c r="M520" s="28"/>
      <c r="N520" s="28"/>
      <c r="O520" s="28"/>
    </row>
    <row r="521" spans="1:15" ht="21" customHeight="1" x14ac:dyDescent="0.25">
      <c r="A521" s="28"/>
      <c r="B521" s="28"/>
      <c r="C521" s="28"/>
      <c r="D521" s="28"/>
      <c r="E521" s="28"/>
      <c r="F521" s="28"/>
      <c r="G521" s="28"/>
      <c r="H521" s="28"/>
      <c r="I521" s="28"/>
      <c r="J521" s="28"/>
      <c r="K521" s="28"/>
      <c r="L521" s="28"/>
      <c r="M521" s="28"/>
      <c r="N521" s="28"/>
      <c r="O521" s="28"/>
    </row>
    <row r="522" spans="1:15" ht="21" customHeight="1" x14ac:dyDescent="0.25">
      <c r="A522" s="28"/>
      <c r="B522" s="28"/>
      <c r="C522" s="28"/>
      <c r="D522" s="28"/>
      <c r="E522" s="28"/>
      <c r="F522" s="28"/>
      <c r="G522" s="28"/>
      <c r="H522" s="28"/>
      <c r="I522" s="28"/>
      <c r="J522" s="28"/>
      <c r="K522" s="28"/>
      <c r="L522" s="28"/>
      <c r="M522" s="28"/>
      <c r="N522" s="28"/>
      <c r="O522" s="28"/>
    </row>
    <row r="523" spans="1:15" ht="21" customHeight="1" x14ac:dyDescent="0.25">
      <c r="A523" s="28"/>
      <c r="B523" s="28"/>
      <c r="C523" s="28"/>
      <c r="D523" s="28"/>
      <c r="E523" s="28"/>
      <c r="F523" s="28"/>
      <c r="G523" s="28"/>
      <c r="H523" s="28"/>
      <c r="I523" s="28"/>
      <c r="J523" s="28"/>
      <c r="K523" s="28"/>
      <c r="L523" s="28"/>
      <c r="M523" s="28"/>
      <c r="N523" s="28"/>
      <c r="O523" s="28"/>
    </row>
    <row r="524" spans="1:15" ht="21" customHeight="1" x14ac:dyDescent="0.25">
      <c r="A524" s="28"/>
      <c r="B524" s="28"/>
      <c r="C524" s="28"/>
      <c r="D524" s="28"/>
      <c r="E524" s="28"/>
      <c r="F524" s="28"/>
      <c r="G524" s="28"/>
      <c r="H524" s="28"/>
      <c r="I524" s="28"/>
      <c r="J524" s="28"/>
      <c r="K524" s="28"/>
      <c r="L524" s="28"/>
      <c r="M524" s="28"/>
      <c r="N524" s="28"/>
      <c r="O524" s="28"/>
    </row>
    <row r="525" spans="1:15" ht="21" customHeight="1" x14ac:dyDescent="0.25">
      <c r="A525" s="28"/>
      <c r="B525" s="28"/>
      <c r="C525" s="28"/>
      <c r="D525" s="28"/>
      <c r="E525" s="28"/>
      <c r="F525" s="28"/>
      <c r="G525" s="28"/>
      <c r="H525" s="28"/>
      <c r="I525" s="28"/>
      <c r="J525" s="28"/>
      <c r="K525" s="28"/>
      <c r="L525" s="28"/>
      <c r="M525" s="28"/>
      <c r="N525" s="28"/>
      <c r="O525" s="28"/>
    </row>
    <row r="526" spans="1:15" ht="21" customHeight="1" x14ac:dyDescent="0.25">
      <c r="A526" s="28"/>
      <c r="B526" s="28"/>
      <c r="C526" s="28"/>
      <c r="D526" s="28"/>
      <c r="E526" s="28"/>
      <c r="F526" s="28"/>
      <c r="G526" s="28"/>
      <c r="H526" s="28"/>
      <c r="I526" s="28"/>
      <c r="J526" s="28"/>
      <c r="K526" s="28"/>
      <c r="L526" s="28"/>
      <c r="M526" s="28"/>
      <c r="N526" s="28"/>
      <c r="O526" s="28"/>
    </row>
    <row r="527" spans="1:15" ht="21" customHeight="1" x14ac:dyDescent="0.25">
      <c r="A527" s="28"/>
      <c r="B527" s="28"/>
      <c r="C527" s="28"/>
      <c r="D527" s="28"/>
      <c r="E527" s="28"/>
      <c r="F527" s="28"/>
      <c r="G527" s="28"/>
      <c r="H527" s="28"/>
      <c r="I527" s="28"/>
      <c r="J527" s="28"/>
      <c r="K527" s="28"/>
      <c r="L527" s="28"/>
      <c r="M527" s="28"/>
      <c r="N527" s="28"/>
      <c r="O527" s="28"/>
    </row>
    <row r="528" spans="1:15" ht="21" customHeight="1" x14ac:dyDescent="0.25">
      <c r="A528" s="28"/>
      <c r="B528" s="28"/>
      <c r="C528" s="28"/>
      <c r="D528" s="28"/>
      <c r="E528" s="28"/>
      <c r="F528" s="28"/>
      <c r="G528" s="28"/>
      <c r="H528" s="28"/>
      <c r="I528" s="28"/>
      <c r="J528" s="28"/>
      <c r="K528" s="28"/>
      <c r="L528" s="28"/>
      <c r="M528" s="28"/>
      <c r="N528" s="28"/>
      <c r="O528" s="28"/>
    </row>
    <row r="529" spans="1:15" ht="21" customHeight="1" x14ac:dyDescent="0.25">
      <c r="A529" s="28"/>
      <c r="B529" s="28"/>
      <c r="C529" s="28"/>
      <c r="D529" s="28"/>
      <c r="E529" s="28"/>
      <c r="F529" s="28"/>
      <c r="G529" s="28"/>
      <c r="H529" s="28"/>
      <c r="I529" s="28"/>
      <c r="J529" s="28"/>
      <c r="K529" s="28"/>
      <c r="L529" s="28"/>
      <c r="M529" s="28"/>
      <c r="N529" s="28"/>
      <c r="O529" s="28"/>
    </row>
    <row r="530" spans="1:15" ht="21" customHeight="1" x14ac:dyDescent="0.25">
      <c r="A530" s="28"/>
      <c r="B530" s="28"/>
      <c r="C530" s="28"/>
      <c r="D530" s="28"/>
      <c r="E530" s="28"/>
      <c r="F530" s="28"/>
      <c r="G530" s="28"/>
      <c r="H530" s="28"/>
      <c r="I530" s="28"/>
      <c r="J530" s="28"/>
      <c r="K530" s="28"/>
      <c r="L530" s="28"/>
      <c r="M530" s="28"/>
      <c r="N530" s="28"/>
      <c r="O530" s="28"/>
    </row>
    <row r="531" spans="1:15" ht="21" customHeight="1" x14ac:dyDescent="0.25">
      <c r="A531" s="28"/>
      <c r="B531" s="28"/>
      <c r="C531" s="28"/>
      <c r="D531" s="28"/>
      <c r="E531" s="28"/>
      <c r="F531" s="28"/>
      <c r="G531" s="28"/>
      <c r="H531" s="28"/>
      <c r="I531" s="28"/>
      <c r="J531" s="28"/>
      <c r="K531" s="28"/>
      <c r="L531" s="28"/>
      <c r="M531" s="28"/>
      <c r="N531" s="28"/>
      <c r="O531" s="28"/>
    </row>
    <row r="532" spans="1:15" ht="21" customHeight="1" x14ac:dyDescent="0.25">
      <c r="A532" s="28"/>
      <c r="B532" s="28"/>
      <c r="C532" s="28"/>
      <c r="D532" s="28"/>
      <c r="E532" s="28"/>
      <c r="F532" s="28"/>
      <c r="G532" s="28"/>
      <c r="H532" s="28"/>
      <c r="I532" s="28"/>
      <c r="J532" s="28"/>
      <c r="K532" s="28"/>
      <c r="L532" s="28"/>
      <c r="M532" s="28"/>
      <c r="N532" s="28"/>
      <c r="O532" s="28"/>
    </row>
    <row r="533" spans="1:15" ht="21" customHeight="1" x14ac:dyDescent="0.25">
      <c r="A533" s="28"/>
      <c r="B533" s="28"/>
      <c r="C533" s="28"/>
      <c r="D533" s="28"/>
      <c r="E533" s="28"/>
      <c r="F533" s="28"/>
      <c r="G533" s="28"/>
      <c r="H533" s="28"/>
      <c r="I533" s="28"/>
      <c r="J533" s="28"/>
      <c r="K533" s="28"/>
      <c r="L533" s="28"/>
      <c r="M533" s="28"/>
      <c r="N533" s="28"/>
      <c r="O533" s="28"/>
    </row>
    <row r="534" spans="1:15" ht="21" customHeight="1" x14ac:dyDescent="0.25">
      <c r="A534" s="28"/>
      <c r="B534" s="28"/>
      <c r="C534" s="28"/>
      <c r="D534" s="28"/>
      <c r="E534" s="28"/>
      <c r="F534" s="28"/>
      <c r="G534" s="28"/>
      <c r="H534" s="28"/>
      <c r="I534" s="28"/>
      <c r="J534" s="28"/>
      <c r="K534" s="28"/>
      <c r="L534" s="28"/>
      <c r="M534" s="28"/>
      <c r="N534" s="28"/>
      <c r="O534" s="28"/>
    </row>
    <row r="535" spans="1:15" ht="21" customHeight="1" x14ac:dyDescent="0.25">
      <c r="A535" s="28"/>
      <c r="B535" s="28"/>
      <c r="C535" s="28"/>
      <c r="D535" s="28"/>
      <c r="E535" s="28"/>
      <c r="F535" s="28"/>
      <c r="G535" s="28"/>
      <c r="H535" s="28"/>
      <c r="I535" s="28"/>
      <c r="J535" s="28"/>
      <c r="K535" s="28"/>
      <c r="L535" s="28"/>
      <c r="M535" s="28"/>
      <c r="N535" s="28"/>
      <c r="O535" s="28"/>
    </row>
    <row r="536" spans="1:15" ht="21" customHeight="1" x14ac:dyDescent="0.25">
      <c r="A536" s="28"/>
      <c r="B536" s="28"/>
      <c r="C536" s="28"/>
      <c r="D536" s="28"/>
      <c r="E536" s="28"/>
      <c r="F536" s="28"/>
      <c r="G536" s="28"/>
      <c r="H536" s="28"/>
      <c r="I536" s="28"/>
      <c r="J536" s="28"/>
      <c r="K536" s="28"/>
      <c r="L536" s="28"/>
      <c r="M536" s="28"/>
      <c r="N536" s="28"/>
      <c r="O536" s="28"/>
    </row>
    <row r="537" spans="1:15" ht="21" customHeight="1" x14ac:dyDescent="0.25">
      <c r="A537" s="28"/>
      <c r="B537" s="28"/>
      <c r="C537" s="28"/>
      <c r="D537" s="28"/>
      <c r="E537" s="28"/>
      <c r="F537" s="28"/>
      <c r="G537" s="28"/>
      <c r="H537" s="28"/>
      <c r="I537" s="28"/>
      <c r="J537" s="28"/>
      <c r="K537" s="28"/>
      <c r="L537" s="28"/>
      <c r="M537" s="28"/>
      <c r="N537" s="28"/>
      <c r="O537" s="28"/>
    </row>
    <row r="538" spans="1:15" ht="21" customHeight="1" x14ac:dyDescent="0.25">
      <c r="A538" s="28"/>
      <c r="B538" s="28"/>
      <c r="C538" s="28"/>
      <c r="D538" s="28"/>
      <c r="E538" s="28"/>
      <c r="F538" s="28"/>
      <c r="G538" s="28"/>
      <c r="H538" s="28"/>
      <c r="I538" s="28"/>
      <c r="J538" s="28"/>
      <c r="K538" s="28"/>
      <c r="L538" s="28"/>
      <c r="M538" s="28"/>
      <c r="N538" s="28"/>
      <c r="O538" s="28"/>
    </row>
    <row r="539" spans="1:15" ht="21" customHeight="1" x14ac:dyDescent="0.25">
      <c r="A539" s="28"/>
      <c r="B539" s="28"/>
      <c r="C539" s="28"/>
      <c r="D539" s="28"/>
      <c r="E539" s="28"/>
      <c r="F539" s="28"/>
      <c r="G539" s="28"/>
      <c r="H539" s="28"/>
      <c r="I539" s="28"/>
      <c r="J539" s="28"/>
      <c r="K539" s="28"/>
      <c r="L539" s="28"/>
      <c r="M539" s="28"/>
      <c r="N539" s="28"/>
      <c r="O539" s="28"/>
    </row>
    <row r="540" spans="1:15" ht="21" customHeight="1" x14ac:dyDescent="0.25">
      <c r="A540" s="28"/>
      <c r="B540" s="28"/>
      <c r="C540" s="28"/>
      <c r="D540" s="28"/>
      <c r="E540" s="28"/>
      <c r="F540" s="28"/>
      <c r="G540" s="28"/>
      <c r="H540" s="28"/>
      <c r="I540" s="28"/>
      <c r="J540" s="28"/>
      <c r="K540" s="28"/>
      <c r="L540" s="28"/>
      <c r="M540" s="28"/>
      <c r="N540" s="28"/>
      <c r="O540" s="28"/>
    </row>
    <row r="541" spans="1:15" ht="21" customHeight="1" x14ac:dyDescent="0.25">
      <c r="A541" s="28"/>
      <c r="B541" s="28"/>
      <c r="C541" s="28"/>
      <c r="D541" s="28"/>
      <c r="E541" s="28"/>
      <c r="F541" s="28"/>
      <c r="G541" s="28"/>
      <c r="H541" s="28"/>
      <c r="I541" s="28"/>
      <c r="J541" s="28"/>
      <c r="K541" s="28"/>
      <c r="L541" s="28"/>
      <c r="M541" s="28"/>
      <c r="N541" s="28"/>
      <c r="O541" s="28"/>
    </row>
    <row r="542" spans="1:15" ht="21" customHeight="1" x14ac:dyDescent="0.25">
      <c r="A542" s="28"/>
      <c r="B542" s="28"/>
      <c r="C542" s="28"/>
      <c r="D542" s="28"/>
      <c r="E542" s="28"/>
      <c r="F542" s="28"/>
      <c r="G542" s="28"/>
      <c r="H542" s="28"/>
      <c r="I542" s="28"/>
      <c r="J542" s="28"/>
      <c r="K542" s="28"/>
      <c r="L542" s="28"/>
      <c r="M542" s="28"/>
      <c r="N542" s="28"/>
      <c r="O542" s="28"/>
    </row>
    <row r="543" spans="1:15" ht="21" customHeight="1" x14ac:dyDescent="0.25">
      <c r="A543" s="28"/>
      <c r="B543" s="28"/>
      <c r="C543" s="28"/>
      <c r="D543" s="28"/>
      <c r="E543" s="28"/>
      <c r="F543" s="28"/>
      <c r="G543" s="28"/>
      <c r="H543" s="28"/>
      <c r="I543" s="28"/>
      <c r="J543" s="28"/>
      <c r="K543" s="28"/>
      <c r="L543" s="28"/>
      <c r="M543" s="28"/>
      <c r="N543" s="28"/>
      <c r="O543" s="28"/>
    </row>
    <row r="544" spans="1:15" ht="21" customHeight="1" x14ac:dyDescent="0.25">
      <c r="A544" s="28"/>
      <c r="B544" s="28"/>
      <c r="C544" s="28"/>
      <c r="D544" s="28"/>
      <c r="E544" s="28"/>
      <c r="F544" s="28"/>
      <c r="G544" s="28"/>
      <c r="H544" s="28"/>
      <c r="I544" s="28"/>
      <c r="J544" s="28"/>
      <c r="K544" s="28"/>
      <c r="L544" s="28"/>
      <c r="M544" s="28"/>
      <c r="N544" s="28"/>
      <c r="O544" s="28"/>
    </row>
    <row r="545" spans="1:15" ht="21" customHeight="1" x14ac:dyDescent="0.25">
      <c r="A545" s="28"/>
      <c r="B545" s="28"/>
      <c r="C545" s="28"/>
      <c r="D545" s="28"/>
      <c r="E545" s="28"/>
      <c r="F545" s="28"/>
      <c r="G545" s="28"/>
      <c r="H545" s="28"/>
      <c r="I545" s="28"/>
      <c r="J545" s="28"/>
      <c r="K545" s="28"/>
      <c r="L545" s="28"/>
      <c r="M545" s="28"/>
      <c r="N545" s="28"/>
      <c r="O545" s="28"/>
    </row>
    <row r="546" spans="1:15" ht="21" customHeight="1" x14ac:dyDescent="0.25">
      <c r="A546" s="28"/>
      <c r="B546" s="28"/>
      <c r="C546" s="28"/>
      <c r="D546" s="28"/>
      <c r="E546" s="28"/>
      <c r="F546" s="28"/>
      <c r="G546" s="28"/>
      <c r="H546" s="28"/>
      <c r="I546" s="28"/>
      <c r="J546" s="28"/>
      <c r="K546" s="28"/>
      <c r="L546" s="28"/>
      <c r="M546" s="28"/>
      <c r="N546" s="28"/>
      <c r="O546" s="28"/>
    </row>
    <row r="547" spans="1:15" ht="21" customHeight="1" x14ac:dyDescent="0.25">
      <c r="A547" s="28"/>
      <c r="B547" s="28"/>
      <c r="C547" s="28"/>
      <c r="D547" s="28"/>
      <c r="E547" s="28"/>
      <c r="F547" s="28"/>
      <c r="G547" s="28"/>
      <c r="H547" s="28"/>
      <c r="I547" s="28"/>
      <c r="J547" s="28"/>
      <c r="K547" s="28"/>
      <c r="L547" s="28"/>
      <c r="M547" s="28"/>
      <c r="N547" s="28"/>
      <c r="O547" s="28"/>
    </row>
    <row r="548" spans="1:15" ht="21" customHeight="1" x14ac:dyDescent="0.25">
      <c r="A548" s="28"/>
      <c r="B548" s="28"/>
      <c r="C548" s="28"/>
      <c r="D548" s="28"/>
      <c r="E548" s="28"/>
      <c r="F548" s="28"/>
      <c r="G548" s="28"/>
      <c r="H548" s="28"/>
      <c r="I548" s="28"/>
      <c r="J548" s="28"/>
      <c r="K548" s="28"/>
      <c r="L548" s="28"/>
      <c r="M548" s="28"/>
      <c r="N548" s="28"/>
      <c r="O548" s="28"/>
    </row>
    <row r="549" spans="1:15" ht="21" customHeight="1" x14ac:dyDescent="0.25">
      <c r="A549" s="28"/>
      <c r="B549" s="28"/>
      <c r="C549" s="28"/>
      <c r="D549" s="28"/>
      <c r="E549" s="28"/>
      <c r="F549" s="28"/>
      <c r="G549" s="28"/>
      <c r="H549" s="28"/>
      <c r="I549" s="28"/>
      <c r="J549" s="28"/>
      <c r="K549" s="28"/>
      <c r="L549" s="28"/>
      <c r="M549" s="28"/>
      <c r="N549" s="28"/>
      <c r="O549" s="28"/>
    </row>
    <row r="550" spans="1:15" ht="21" customHeight="1" x14ac:dyDescent="0.25">
      <c r="A550" s="28"/>
      <c r="B550" s="28"/>
      <c r="C550" s="28"/>
      <c r="D550" s="28"/>
      <c r="E550" s="28"/>
      <c r="F550" s="28"/>
      <c r="G550" s="28"/>
      <c r="H550" s="28"/>
      <c r="I550" s="28"/>
      <c r="J550" s="28"/>
      <c r="K550" s="28"/>
      <c r="L550" s="28"/>
      <c r="M550" s="28"/>
      <c r="N550" s="28"/>
      <c r="O550" s="28"/>
    </row>
    <row r="551" spans="1:15" ht="21" customHeight="1" x14ac:dyDescent="0.25">
      <c r="A551" s="28"/>
      <c r="B551" s="28"/>
      <c r="C551" s="28"/>
      <c r="D551" s="28"/>
      <c r="E551" s="28"/>
      <c r="F551" s="28"/>
      <c r="G551" s="28"/>
      <c r="H551" s="28"/>
      <c r="I551" s="28"/>
      <c r="J551" s="28"/>
      <c r="K551" s="28"/>
      <c r="L551" s="28"/>
      <c r="M551" s="28"/>
      <c r="N551" s="28"/>
      <c r="O551" s="28"/>
    </row>
    <row r="552" spans="1:15" ht="21" customHeight="1" x14ac:dyDescent="0.25">
      <c r="A552" s="28"/>
      <c r="B552" s="28"/>
      <c r="C552" s="28"/>
      <c r="D552" s="28"/>
      <c r="E552" s="28"/>
      <c r="F552" s="28"/>
      <c r="G552" s="28"/>
      <c r="H552" s="28"/>
      <c r="I552" s="28"/>
      <c r="J552" s="28"/>
      <c r="K552" s="28"/>
      <c r="L552" s="28"/>
      <c r="M552" s="28"/>
      <c r="N552" s="28"/>
      <c r="O552" s="28"/>
    </row>
    <row r="553" spans="1:15" ht="21" customHeight="1" x14ac:dyDescent="0.25">
      <c r="A553" s="28"/>
      <c r="B553" s="28"/>
      <c r="C553" s="28"/>
      <c r="D553" s="28"/>
      <c r="E553" s="28"/>
      <c r="F553" s="28"/>
      <c r="G553" s="28"/>
      <c r="H553" s="28"/>
      <c r="I553" s="28"/>
      <c r="J553" s="28"/>
      <c r="K553" s="28"/>
      <c r="L553" s="28"/>
      <c r="M553" s="28"/>
      <c r="N553" s="28"/>
      <c r="O553" s="28"/>
    </row>
    <row r="554" spans="1:15" ht="21" customHeight="1" x14ac:dyDescent="0.25">
      <c r="A554" s="28"/>
      <c r="B554" s="28"/>
      <c r="C554" s="28"/>
      <c r="D554" s="28"/>
      <c r="E554" s="28"/>
      <c r="F554" s="28"/>
      <c r="G554" s="28"/>
      <c r="H554" s="28"/>
      <c r="I554" s="28"/>
      <c r="J554" s="28"/>
      <c r="K554" s="28"/>
      <c r="L554" s="28"/>
      <c r="M554" s="28"/>
      <c r="N554" s="28"/>
      <c r="O554" s="28"/>
    </row>
    <row r="555" spans="1:15" ht="21" customHeight="1" x14ac:dyDescent="0.25">
      <c r="A555" s="28"/>
      <c r="B555" s="28"/>
      <c r="C555" s="28"/>
      <c r="D555" s="28"/>
      <c r="E555" s="28"/>
      <c r="F555" s="28"/>
      <c r="G555" s="28"/>
      <c r="H555" s="28"/>
      <c r="I555" s="28"/>
      <c r="J555" s="28"/>
      <c r="K555" s="28"/>
      <c r="L555" s="28"/>
      <c r="M555" s="28"/>
      <c r="N555" s="28"/>
      <c r="O555" s="28"/>
    </row>
    <row r="556" spans="1:15" ht="21" customHeight="1" x14ac:dyDescent="0.25">
      <c r="A556" s="28"/>
      <c r="B556" s="28"/>
      <c r="C556" s="28"/>
      <c r="D556" s="28"/>
      <c r="E556" s="28"/>
      <c r="F556" s="28"/>
      <c r="G556" s="28"/>
      <c r="H556" s="28"/>
      <c r="I556" s="28"/>
      <c r="J556" s="28"/>
      <c r="K556" s="28"/>
      <c r="L556" s="28"/>
      <c r="M556" s="28"/>
      <c r="N556" s="28"/>
      <c r="O556" s="28"/>
    </row>
    <row r="557" spans="1:15" ht="21" customHeight="1" x14ac:dyDescent="0.25">
      <c r="A557" s="28"/>
      <c r="B557" s="28"/>
      <c r="C557" s="28"/>
      <c r="D557" s="28"/>
      <c r="E557" s="28"/>
      <c r="F557" s="28"/>
      <c r="G557" s="28"/>
      <c r="H557" s="28"/>
      <c r="I557" s="28"/>
      <c r="J557" s="28"/>
      <c r="K557" s="28"/>
      <c r="L557" s="28"/>
      <c r="M557" s="28"/>
      <c r="N557" s="28"/>
      <c r="O557" s="28"/>
    </row>
    <row r="558" spans="1:15" ht="21" customHeight="1" x14ac:dyDescent="0.25">
      <c r="A558" s="28"/>
      <c r="B558" s="28"/>
      <c r="C558" s="28"/>
      <c r="D558" s="28"/>
      <c r="E558" s="28"/>
      <c r="F558" s="28"/>
      <c r="G558" s="28"/>
      <c r="H558" s="28"/>
      <c r="I558" s="28"/>
      <c r="J558" s="28"/>
      <c r="K558" s="28"/>
      <c r="L558" s="28"/>
      <c r="M558" s="28"/>
      <c r="N558" s="28"/>
      <c r="O558" s="28"/>
    </row>
    <row r="559" spans="1:15" ht="21" customHeight="1" x14ac:dyDescent="0.25">
      <c r="A559" s="28"/>
      <c r="B559" s="28"/>
      <c r="C559" s="28"/>
      <c r="D559" s="28"/>
      <c r="E559" s="28"/>
      <c r="F559" s="28"/>
      <c r="G559" s="28"/>
      <c r="H559" s="28"/>
      <c r="I559" s="28"/>
      <c r="J559" s="28"/>
      <c r="K559" s="28"/>
      <c r="L559" s="28"/>
      <c r="M559" s="28"/>
      <c r="N559" s="28"/>
      <c r="O559" s="28"/>
    </row>
    <row r="560" spans="1:15" ht="21" customHeight="1" x14ac:dyDescent="0.25">
      <c r="A560" s="28"/>
      <c r="B560" s="28"/>
      <c r="C560" s="28"/>
      <c r="D560" s="28"/>
      <c r="E560" s="28"/>
      <c r="F560" s="28"/>
      <c r="G560" s="28"/>
      <c r="H560" s="28"/>
      <c r="I560" s="28"/>
      <c r="J560" s="28"/>
      <c r="K560" s="28"/>
      <c r="L560" s="28"/>
      <c r="M560" s="28"/>
      <c r="N560" s="28"/>
      <c r="O560" s="28"/>
    </row>
    <row r="561" spans="1:15" ht="21" customHeight="1" x14ac:dyDescent="0.25">
      <c r="A561" s="28"/>
      <c r="B561" s="28"/>
      <c r="C561" s="28"/>
      <c r="D561" s="28"/>
      <c r="E561" s="28"/>
      <c r="F561" s="28"/>
      <c r="G561" s="28"/>
      <c r="H561" s="28"/>
      <c r="I561" s="28"/>
      <c r="J561" s="28"/>
      <c r="K561" s="28"/>
      <c r="L561" s="28"/>
      <c r="M561" s="28"/>
      <c r="N561" s="28"/>
      <c r="O561" s="28"/>
    </row>
    <row r="562" spans="1:15" ht="21" customHeight="1" x14ac:dyDescent="0.25">
      <c r="A562" s="28"/>
      <c r="B562" s="28"/>
      <c r="C562" s="28"/>
      <c r="D562" s="28"/>
      <c r="E562" s="28"/>
      <c r="F562" s="28"/>
      <c r="G562" s="28"/>
      <c r="H562" s="28"/>
      <c r="I562" s="28"/>
      <c r="J562" s="28"/>
      <c r="K562" s="28"/>
      <c r="L562" s="28"/>
      <c r="M562" s="28"/>
      <c r="N562" s="28"/>
      <c r="O562" s="28"/>
    </row>
    <row r="563" spans="1:15" ht="21" customHeight="1" x14ac:dyDescent="0.25">
      <c r="A563" s="28"/>
      <c r="B563" s="28"/>
      <c r="C563" s="28"/>
      <c r="D563" s="28"/>
      <c r="E563" s="28"/>
      <c r="F563" s="28"/>
      <c r="G563" s="28"/>
      <c r="H563" s="28"/>
      <c r="I563" s="28"/>
      <c r="J563" s="28"/>
      <c r="K563" s="28"/>
      <c r="L563" s="28"/>
      <c r="M563" s="28"/>
      <c r="N563" s="28"/>
      <c r="O563" s="28"/>
    </row>
    <row r="564" spans="1:15" ht="21" customHeight="1" x14ac:dyDescent="0.25">
      <c r="A564" s="28"/>
      <c r="B564" s="28"/>
      <c r="C564" s="28"/>
      <c r="D564" s="28"/>
      <c r="E564" s="28"/>
      <c r="F564" s="28"/>
      <c r="G564" s="28"/>
      <c r="H564" s="28"/>
      <c r="I564" s="28"/>
      <c r="J564" s="28"/>
      <c r="K564" s="28"/>
      <c r="L564" s="28"/>
      <c r="M564" s="28"/>
      <c r="N564" s="28"/>
      <c r="O564" s="28"/>
    </row>
    <row r="565" spans="1:15" ht="21" customHeight="1" x14ac:dyDescent="0.25">
      <c r="A565" s="28"/>
      <c r="B565" s="28"/>
      <c r="C565" s="28"/>
      <c r="D565" s="28"/>
      <c r="E565" s="28"/>
      <c r="F565" s="28"/>
      <c r="G565" s="28"/>
      <c r="H565" s="28"/>
      <c r="I565" s="28"/>
      <c r="J565" s="28"/>
      <c r="K565" s="28"/>
      <c r="L565" s="28"/>
      <c r="M565" s="28"/>
      <c r="N565" s="28"/>
      <c r="O565" s="28"/>
    </row>
    <row r="566" spans="1:15" ht="21" customHeight="1" x14ac:dyDescent="0.25">
      <c r="A566" s="28"/>
      <c r="B566" s="28"/>
      <c r="C566" s="28"/>
      <c r="D566" s="28"/>
      <c r="E566" s="28"/>
      <c r="F566" s="28"/>
      <c r="G566" s="28"/>
      <c r="H566" s="28"/>
      <c r="I566" s="28"/>
      <c r="J566" s="28"/>
      <c r="K566" s="28"/>
      <c r="L566" s="28"/>
      <c r="M566" s="28"/>
      <c r="N566" s="28"/>
      <c r="O566" s="28"/>
    </row>
    <row r="567" spans="1:15" ht="21" customHeight="1" x14ac:dyDescent="0.25">
      <c r="A567" s="28"/>
      <c r="B567" s="28"/>
      <c r="C567" s="28"/>
      <c r="D567" s="28"/>
      <c r="E567" s="28"/>
      <c r="F567" s="28"/>
      <c r="G567" s="28"/>
      <c r="H567" s="28"/>
      <c r="I567" s="28"/>
      <c r="J567" s="28"/>
      <c r="K567" s="28"/>
      <c r="L567" s="28"/>
      <c r="M567" s="28"/>
      <c r="N567" s="28"/>
      <c r="O567" s="28"/>
    </row>
    <row r="568" spans="1:15" ht="21" customHeight="1" x14ac:dyDescent="0.25">
      <c r="A568" s="28"/>
      <c r="B568" s="28"/>
      <c r="C568" s="28"/>
      <c r="D568" s="28"/>
      <c r="E568" s="28"/>
      <c r="F568" s="28"/>
      <c r="G568" s="28"/>
      <c r="H568" s="28"/>
      <c r="I568" s="28"/>
      <c r="J568" s="28"/>
      <c r="K568" s="28"/>
      <c r="L568" s="28"/>
      <c r="M568" s="28"/>
      <c r="N568" s="28"/>
      <c r="O568" s="28"/>
    </row>
    <row r="569" spans="1:15" ht="21" customHeight="1" x14ac:dyDescent="0.25">
      <c r="A569" s="28"/>
      <c r="B569" s="28"/>
      <c r="C569" s="28"/>
      <c r="D569" s="28"/>
      <c r="E569" s="28"/>
      <c r="F569" s="28"/>
      <c r="G569" s="28"/>
      <c r="H569" s="28"/>
      <c r="I569" s="28"/>
      <c r="J569" s="28"/>
      <c r="K569" s="28"/>
      <c r="L569" s="28"/>
      <c r="M569" s="28"/>
      <c r="N569" s="28"/>
      <c r="O569" s="28"/>
    </row>
    <row r="570" spans="1:15" ht="21" customHeight="1" x14ac:dyDescent="0.25">
      <c r="A570" s="28"/>
      <c r="B570" s="28"/>
      <c r="C570" s="28"/>
      <c r="D570" s="28"/>
      <c r="E570" s="28"/>
      <c r="F570" s="28"/>
      <c r="G570" s="28"/>
      <c r="H570" s="28"/>
      <c r="I570" s="28"/>
      <c r="J570" s="28"/>
      <c r="K570" s="28"/>
      <c r="L570" s="28"/>
      <c r="M570" s="28"/>
      <c r="N570" s="28"/>
      <c r="O570" s="28"/>
    </row>
    <row r="571" spans="1:15" ht="21" customHeight="1" x14ac:dyDescent="0.25">
      <c r="A571" s="28"/>
      <c r="B571" s="28"/>
      <c r="C571" s="28"/>
      <c r="D571" s="28"/>
      <c r="E571" s="28"/>
      <c r="F571" s="28"/>
      <c r="G571" s="28"/>
      <c r="H571" s="28"/>
      <c r="I571" s="28"/>
      <c r="J571" s="28"/>
      <c r="K571" s="28"/>
      <c r="L571" s="28"/>
      <c r="M571" s="28"/>
      <c r="N571" s="28"/>
      <c r="O571" s="28"/>
    </row>
    <row r="572" spans="1:15" ht="21" customHeight="1" x14ac:dyDescent="0.25">
      <c r="A572" s="28"/>
      <c r="B572" s="28"/>
      <c r="C572" s="28"/>
      <c r="D572" s="28"/>
      <c r="E572" s="28"/>
      <c r="F572" s="28"/>
      <c r="G572" s="28"/>
      <c r="H572" s="28"/>
      <c r="I572" s="28"/>
      <c r="J572" s="28"/>
      <c r="K572" s="28"/>
      <c r="L572" s="28"/>
      <c r="M572" s="28"/>
      <c r="N572" s="28"/>
      <c r="O572" s="28"/>
    </row>
    <row r="573" spans="1:15" ht="21" customHeight="1" x14ac:dyDescent="0.25">
      <c r="A573" s="28"/>
      <c r="B573" s="28"/>
      <c r="C573" s="28"/>
      <c r="D573" s="28"/>
      <c r="E573" s="28"/>
      <c r="F573" s="28"/>
      <c r="G573" s="28"/>
      <c r="H573" s="28"/>
      <c r="I573" s="28"/>
      <c r="J573" s="28"/>
      <c r="K573" s="28"/>
      <c r="L573" s="28"/>
      <c r="M573" s="28"/>
      <c r="N573" s="28"/>
      <c r="O573" s="28"/>
    </row>
    <row r="574" spans="1:15" ht="21" customHeight="1" x14ac:dyDescent="0.25">
      <c r="A574" s="28"/>
      <c r="B574" s="28"/>
      <c r="C574" s="28"/>
      <c r="D574" s="28"/>
      <c r="E574" s="28"/>
      <c r="F574" s="28"/>
      <c r="G574" s="28"/>
      <c r="H574" s="28"/>
      <c r="I574" s="28"/>
      <c r="J574" s="28"/>
      <c r="K574" s="28"/>
      <c r="L574" s="28"/>
      <c r="M574" s="28"/>
      <c r="N574" s="28"/>
      <c r="O574" s="28"/>
    </row>
    <row r="575" spans="1:15" ht="21" customHeight="1" x14ac:dyDescent="0.25">
      <c r="A575" s="28"/>
      <c r="B575" s="28"/>
      <c r="C575" s="28"/>
      <c r="D575" s="28"/>
      <c r="E575" s="28"/>
      <c r="F575" s="28"/>
      <c r="G575" s="28"/>
      <c r="H575" s="28"/>
      <c r="I575" s="28"/>
      <c r="J575" s="28"/>
      <c r="K575" s="28"/>
      <c r="L575" s="28"/>
      <c r="M575" s="28"/>
      <c r="N575" s="28"/>
      <c r="O575" s="28"/>
    </row>
    <row r="576" spans="1:15" ht="21" customHeight="1" x14ac:dyDescent="0.25">
      <c r="A576" s="28"/>
      <c r="B576" s="28"/>
      <c r="C576" s="28"/>
      <c r="D576" s="28"/>
      <c r="E576" s="28"/>
      <c r="F576" s="28"/>
      <c r="G576" s="28"/>
      <c r="H576" s="28"/>
      <c r="I576" s="28"/>
      <c r="J576" s="28"/>
      <c r="K576" s="28"/>
      <c r="L576" s="28"/>
      <c r="M576" s="28"/>
      <c r="N576" s="28"/>
      <c r="O576" s="28"/>
    </row>
    <row r="577" spans="1:15" ht="21" customHeight="1" x14ac:dyDescent="0.25">
      <c r="A577" s="28"/>
      <c r="B577" s="28"/>
      <c r="C577" s="28"/>
      <c r="D577" s="28"/>
      <c r="E577" s="28"/>
      <c r="F577" s="28"/>
      <c r="G577" s="28"/>
      <c r="H577" s="28"/>
      <c r="I577" s="28"/>
      <c r="J577" s="28"/>
      <c r="K577" s="28"/>
      <c r="L577" s="28"/>
      <c r="M577" s="28"/>
      <c r="N577" s="28"/>
      <c r="O577" s="28"/>
    </row>
    <row r="578" spans="1:15" ht="21" customHeight="1" x14ac:dyDescent="0.25">
      <c r="A578" s="28"/>
      <c r="B578" s="28"/>
      <c r="C578" s="28"/>
      <c r="D578" s="28"/>
      <c r="E578" s="28"/>
      <c r="F578" s="28"/>
      <c r="G578" s="28"/>
      <c r="H578" s="28"/>
      <c r="I578" s="28"/>
      <c r="J578" s="28"/>
      <c r="K578" s="28"/>
      <c r="L578" s="28"/>
      <c r="M578" s="28"/>
      <c r="N578" s="28"/>
      <c r="O578" s="28"/>
    </row>
    <row r="579" spans="1:15" ht="21" customHeight="1" x14ac:dyDescent="0.25">
      <c r="A579" s="28"/>
      <c r="B579" s="28"/>
      <c r="C579" s="28"/>
      <c r="D579" s="28"/>
      <c r="E579" s="28"/>
      <c r="F579" s="28"/>
      <c r="G579" s="28"/>
      <c r="H579" s="28"/>
      <c r="I579" s="28"/>
      <c r="J579" s="28"/>
      <c r="K579" s="28"/>
      <c r="L579" s="28"/>
      <c r="M579" s="28"/>
      <c r="N579" s="28"/>
      <c r="O579" s="28"/>
    </row>
    <row r="580" spans="1:15" ht="21" customHeight="1" x14ac:dyDescent="0.25">
      <c r="A580" s="28"/>
      <c r="B580" s="28"/>
      <c r="C580" s="28"/>
      <c r="D580" s="28"/>
      <c r="E580" s="28"/>
      <c r="F580" s="28"/>
      <c r="G580" s="28"/>
      <c r="H580" s="28"/>
      <c r="I580" s="28"/>
      <c r="J580" s="28"/>
      <c r="K580" s="28"/>
      <c r="L580" s="28"/>
      <c r="M580" s="28"/>
      <c r="N580" s="28"/>
      <c r="O580" s="28"/>
    </row>
    <row r="581" spans="1:15" ht="21" customHeight="1" x14ac:dyDescent="0.25">
      <c r="A581" s="28"/>
      <c r="B581" s="28"/>
      <c r="C581" s="28"/>
      <c r="D581" s="28"/>
      <c r="E581" s="28"/>
      <c r="F581" s="28"/>
      <c r="G581" s="28"/>
      <c r="H581" s="28"/>
      <c r="I581" s="28"/>
      <c r="J581" s="28"/>
      <c r="K581" s="28"/>
      <c r="L581" s="28"/>
      <c r="M581" s="28"/>
      <c r="N581" s="28"/>
      <c r="O581" s="28"/>
    </row>
    <row r="582" spans="1:15" ht="21" customHeight="1" x14ac:dyDescent="0.25">
      <c r="A582" s="28"/>
      <c r="B582" s="28"/>
      <c r="C582" s="28"/>
      <c r="D582" s="28"/>
      <c r="E582" s="28"/>
      <c r="F582" s="28"/>
      <c r="G582" s="28"/>
      <c r="H582" s="28"/>
      <c r="I582" s="28"/>
      <c r="J582" s="28"/>
      <c r="K582" s="28"/>
      <c r="L582" s="28"/>
      <c r="M582" s="28"/>
      <c r="N582" s="28"/>
      <c r="O582" s="28"/>
    </row>
    <row r="583" spans="1:15" ht="21" customHeight="1" x14ac:dyDescent="0.25">
      <c r="A583" s="28"/>
      <c r="B583" s="28"/>
      <c r="C583" s="28"/>
      <c r="D583" s="28"/>
      <c r="E583" s="28"/>
      <c r="F583" s="28"/>
      <c r="G583" s="28"/>
      <c r="H583" s="28"/>
      <c r="I583" s="28"/>
      <c r="J583" s="28"/>
      <c r="K583" s="28"/>
      <c r="L583" s="28"/>
      <c r="M583" s="28"/>
      <c r="N583" s="28"/>
      <c r="O583" s="28"/>
    </row>
    <row r="584" spans="1:15" ht="21" customHeight="1" x14ac:dyDescent="0.25">
      <c r="A584" s="28"/>
      <c r="B584" s="28"/>
      <c r="C584" s="28"/>
      <c r="D584" s="28"/>
      <c r="E584" s="28"/>
      <c r="F584" s="28"/>
      <c r="G584" s="28"/>
      <c r="H584" s="28"/>
      <c r="I584" s="28"/>
      <c r="J584" s="28"/>
      <c r="K584" s="28"/>
      <c r="L584" s="28"/>
      <c r="M584" s="28"/>
      <c r="N584" s="28"/>
      <c r="O584" s="28"/>
    </row>
    <row r="585" spans="1:15" ht="21" customHeight="1" x14ac:dyDescent="0.25">
      <c r="A585" s="28"/>
      <c r="B585" s="28"/>
      <c r="C585" s="28"/>
      <c r="D585" s="28"/>
      <c r="E585" s="28"/>
      <c r="F585" s="28"/>
      <c r="G585" s="28"/>
      <c r="H585" s="28"/>
      <c r="I585" s="28"/>
      <c r="J585" s="28"/>
      <c r="K585" s="28"/>
      <c r="L585" s="28"/>
      <c r="M585" s="28"/>
      <c r="N585" s="28"/>
      <c r="O585" s="28"/>
    </row>
    <row r="586" spans="1:15" ht="21" customHeight="1" x14ac:dyDescent="0.25">
      <c r="A586" s="28"/>
      <c r="B586" s="28"/>
      <c r="C586" s="28"/>
      <c r="D586" s="28"/>
      <c r="E586" s="28"/>
      <c r="F586" s="28"/>
      <c r="G586" s="28"/>
      <c r="H586" s="28"/>
      <c r="I586" s="28"/>
      <c r="J586" s="28"/>
      <c r="K586" s="28"/>
      <c r="L586" s="28"/>
      <c r="M586" s="28"/>
      <c r="N586" s="28"/>
      <c r="O586" s="28"/>
    </row>
    <row r="587" spans="1:15" ht="21" customHeight="1" x14ac:dyDescent="0.25">
      <c r="A587" s="28"/>
      <c r="B587" s="28"/>
      <c r="C587" s="28"/>
      <c r="D587" s="28"/>
      <c r="E587" s="28"/>
      <c r="F587" s="28"/>
      <c r="G587" s="28"/>
      <c r="H587" s="28"/>
      <c r="I587" s="28"/>
      <c r="J587" s="28"/>
      <c r="K587" s="28"/>
      <c r="L587" s="28"/>
      <c r="M587" s="28"/>
      <c r="N587" s="28"/>
      <c r="O587" s="28"/>
    </row>
    <row r="588" spans="1:15" ht="21" customHeight="1" x14ac:dyDescent="0.25">
      <c r="A588" s="28"/>
      <c r="B588" s="28"/>
      <c r="C588" s="28"/>
      <c r="D588" s="28"/>
      <c r="E588" s="28"/>
      <c r="F588" s="28"/>
      <c r="G588" s="28"/>
      <c r="H588" s="28"/>
      <c r="I588" s="28"/>
      <c r="J588" s="28"/>
      <c r="K588" s="28"/>
      <c r="L588" s="28"/>
      <c r="M588" s="28"/>
      <c r="N588" s="28"/>
      <c r="O588" s="28"/>
    </row>
    <row r="589" spans="1:15" ht="21" customHeight="1" x14ac:dyDescent="0.25">
      <c r="A589" s="28"/>
      <c r="B589" s="28"/>
      <c r="C589" s="28"/>
      <c r="D589" s="28"/>
      <c r="E589" s="28"/>
      <c r="F589" s="28"/>
      <c r="G589" s="28"/>
      <c r="H589" s="28"/>
      <c r="I589" s="28"/>
      <c r="J589" s="28"/>
      <c r="K589" s="28"/>
      <c r="L589" s="28"/>
      <c r="M589" s="28"/>
      <c r="N589" s="28"/>
      <c r="O589" s="28"/>
    </row>
    <row r="590" spans="1:15" ht="21" customHeight="1" x14ac:dyDescent="0.25">
      <c r="A590" s="28"/>
      <c r="B590" s="28"/>
      <c r="C590" s="28"/>
      <c r="D590" s="28"/>
      <c r="E590" s="28"/>
      <c r="F590" s="28"/>
      <c r="G590" s="28"/>
      <c r="H590" s="28"/>
      <c r="I590" s="28"/>
      <c r="J590" s="28"/>
      <c r="K590" s="28"/>
      <c r="L590" s="28"/>
      <c r="M590" s="28"/>
      <c r="N590" s="28"/>
      <c r="O590" s="28"/>
    </row>
    <row r="591" spans="1:15" ht="21" customHeight="1" x14ac:dyDescent="0.25">
      <c r="A591" s="28"/>
      <c r="B591" s="28"/>
      <c r="C591" s="28"/>
      <c r="D591" s="28"/>
      <c r="E591" s="28"/>
      <c r="F591" s="28"/>
      <c r="G591" s="28"/>
      <c r="H591" s="28"/>
      <c r="I591" s="28"/>
      <c r="J591" s="28"/>
      <c r="K591" s="28"/>
      <c r="L591" s="28"/>
      <c r="M591" s="28"/>
      <c r="N591" s="28"/>
      <c r="O591" s="28"/>
    </row>
    <row r="592" spans="1:15" ht="21" customHeight="1" x14ac:dyDescent="0.25">
      <c r="A592" s="28"/>
      <c r="B592" s="28"/>
      <c r="C592" s="28"/>
      <c r="D592" s="28"/>
      <c r="E592" s="28"/>
      <c r="F592" s="28"/>
      <c r="G592" s="28"/>
      <c r="H592" s="28"/>
      <c r="I592" s="28"/>
      <c r="J592" s="28"/>
      <c r="K592" s="28"/>
      <c r="L592" s="28"/>
      <c r="M592" s="28"/>
      <c r="N592" s="28"/>
      <c r="O592" s="28"/>
    </row>
    <row r="593" spans="1:15" ht="21" customHeight="1" x14ac:dyDescent="0.25">
      <c r="A593" s="28"/>
      <c r="B593" s="28"/>
      <c r="C593" s="28"/>
      <c r="D593" s="28"/>
      <c r="E593" s="28"/>
      <c r="F593" s="28"/>
      <c r="G593" s="28"/>
      <c r="H593" s="28"/>
      <c r="I593" s="28"/>
      <c r="J593" s="28"/>
      <c r="K593" s="28"/>
      <c r="L593" s="28"/>
      <c r="M593" s="28"/>
      <c r="N593" s="28"/>
      <c r="O593" s="28"/>
    </row>
    <row r="594" spans="1:15" ht="21" customHeight="1" x14ac:dyDescent="0.25">
      <c r="A594" s="28"/>
      <c r="B594" s="28"/>
      <c r="C594" s="28"/>
      <c r="D594" s="28"/>
      <c r="E594" s="28"/>
      <c r="F594" s="28"/>
      <c r="G594" s="28"/>
      <c r="H594" s="28"/>
      <c r="I594" s="28"/>
      <c r="J594" s="28"/>
      <c r="K594" s="28"/>
      <c r="L594" s="28"/>
      <c r="M594" s="28"/>
      <c r="N594" s="28"/>
      <c r="O594" s="28"/>
    </row>
    <row r="595" spans="1:15" ht="21" customHeight="1" x14ac:dyDescent="0.25">
      <c r="A595" s="28"/>
      <c r="B595" s="28"/>
      <c r="C595" s="28"/>
      <c r="D595" s="28"/>
      <c r="E595" s="28"/>
      <c r="F595" s="28"/>
      <c r="G595" s="28"/>
      <c r="H595" s="28"/>
      <c r="I595" s="28"/>
      <c r="J595" s="28"/>
      <c r="K595" s="28"/>
      <c r="L595" s="28"/>
      <c r="M595" s="28"/>
      <c r="N595" s="28"/>
      <c r="O595" s="28"/>
    </row>
    <row r="596" spans="1:15" ht="21" customHeight="1" x14ac:dyDescent="0.25">
      <c r="A596" s="28"/>
      <c r="B596" s="28"/>
      <c r="C596" s="28"/>
      <c r="D596" s="28"/>
      <c r="E596" s="28"/>
      <c r="F596" s="28"/>
      <c r="G596" s="28"/>
      <c r="H596" s="28"/>
      <c r="I596" s="28"/>
      <c r="J596" s="28"/>
      <c r="K596" s="28"/>
      <c r="L596" s="28"/>
      <c r="M596" s="28"/>
      <c r="N596" s="28"/>
      <c r="O596" s="28"/>
    </row>
    <row r="597" spans="1:15" ht="21" customHeight="1" x14ac:dyDescent="0.25">
      <c r="A597" s="28"/>
      <c r="B597" s="28"/>
      <c r="C597" s="28"/>
      <c r="D597" s="28"/>
      <c r="E597" s="28"/>
      <c r="F597" s="28"/>
      <c r="G597" s="28"/>
      <c r="H597" s="28"/>
      <c r="I597" s="28"/>
      <c r="J597" s="28"/>
      <c r="K597" s="28"/>
      <c r="L597" s="28"/>
      <c r="M597" s="28"/>
      <c r="N597" s="28"/>
      <c r="O597" s="28"/>
    </row>
    <row r="598" spans="1:15" ht="21" customHeight="1" x14ac:dyDescent="0.25">
      <c r="A598" s="28"/>
      <c r="B598" s="28"/>
      <c r="C598" s="28"/>
      <c r="D598" s="28"/>
      <c r="E598" s="28"/>
      <c r="F598" s="28"/>
      <c r="G598" s="28"/>
      <c r="H598" s="28"/>
      <c r="I598" s="28"/>
      <c r="J598" s="28"/>
      <c r="K598" s="28"/>
      <c r="L598" s="28"/>
      <c r="M598" s="28"/>
      <c r="N598" s="28"/>
      <c r="O598" s="28"/>
    </row>
    <row r="599" spans="1:15" ht="21" customHeight="1" x14ac:dyDescent="0.25">
      <c r="A599" s="28"/>
      <c r="B599" s="28"/>
      <c r="C599" s="28"/>
      <c r="D599" s="28"/>
      <c r="E599" s="28"/>
      <c r="F599" s="28"/>
      <c r="G599" s="28"/>
      <c r="H599" s="28"/>
      <c r="I599" s="28"/>
      <c r="J599" s="28"/>
      <c r="K599" s="28"/>
      <c r="L599" s="28"/>
      <c r="M599" s="28"/>
      <c r="N599" s="28"/>
      <c r="O599" s="28"/>
    </row>
    <row r="600" spans="1:15" ht="21" customHeight="1" x14ac:dyDescent="0.25">
      <c r="A600" s="28"/>
      <c r="B600" s="28"/>
      <c r="C600" s="28"/>
      <c r="D600" s="28"/>
      <c r="E600" s="28"/>
      <c r="F600" s="28"/>
      <c r="G600" s="28"/>
      <c r="H600" s="28"/>
      <c r="I600" s="28"/>
      <c r="J600" s="28"/>
      <c r="K600" s="28"/>
      <c r="L600" s="28"/>
      <c r="M600" s="28"/>
      <c r="N600" s="28"/>
      <c r="O600" s="28"/>
    </row>
    <row r="601" spans="1:15" ht="21" customHeight="1" x14ac:dyDescent="0.25">
      <c r="A601" s="28"/>
      <c r="B601" s="28"/>
      <c r="C601" s="28"/>
      <c r="D601" s="28"/>
      <c r="E601" s="28"/>
      <c r="F601" s="28"/>
      <c r="G601" s="28"/>
      <c r="H601" s="28"/>
      <c r="I601" s="28"/>
      <c r="J601" s="28"/>
      <c r="K601" s="28"/>
      <c r="L601" s="28"/>
      <c r="M601" s="28"/>
      <c r="N601" s="28"/>
      <c r="O601" s="28"/>
    </row>
    <row r="602" spans="1:15" ht="21" customHeight="1" x14ac:dyDescent="0.25">
      <c r="A602" s="28"/>
      <c r="B602" s="28"/>
      <c r="C602" s="28"/>
      <c r="D602" s="28"/>
      <c r="E602" s="28"/>
      <c r="F602" s="28"/>
      <c r="G602" s="28"/>
      <c r="H602" s="28"/>
      <c r="I602" s="28"/>
      <c r="J602" s="28"/>
      <c r="K602" s="28"/>
      <c r="L602" s="28"/>
      <c r="M602" s="28"/>
      <c r="N602" s="28"/>
      <c r="O602" s="28"/>
    </row>
    <row r="603" spans="1:15" ht="21" customHeight="1" x14ac:dyDescent="0.25">
      <c r="A603" s="28"/>
      <c r="B603" s="28"/>
      <c r="C603" s="28"/>
      <c r="D603" s="28"/>
      <c r="E603" s="28"/>
      <c r="F603" s="28"/>
      <c r="G603" s="28"/>
      <c r="H603" s="28"/>
      <c r="I603" s="28"/>
      <c r="J603" s="28"/>
      <c r="K603" s="28"/>
      <c r="L603" s="28"/>
      <c r="M603" s="28"/>
      <c r="N603" s="28"/>
      <c r="O603" s="28"/>
    </row>
    <row r="604" spans="1:15" ht="21" customHeight="1" x14ac:dyDescent="0.25">
      <c r="A604" s="28"/>
      <c r="B604" s="28"/>
      <c r="C604" s="28"/>
      <c r="D604" s="28"/>
      <c r="E604" s="28"/>
      <c r="F604" s="28"/>
      <c r="G604" s="28"/>
      <c r="H604" s="28"/>
      <c r="I604" s="28"/>
      <c r="J604" s="28"/>
      <c r="K604" s="28"/>
      <c r="L604" s="28"/>
      <c r="M604" s="28"/>
      <c r="N604" s="28"/>
      <c r="O604" s="28"/>
    </row>
    <row r="605" spans="1:15" ht="21" customHeight="1" x14ac:dyDescent="0.25">
      <c r="A605" s="28"/>
      <c r="B605" s="28"/>
      <c r="C605" s="28"/>
      <c r="D605" s="28"/>
      <c r="E605" s="28"/>
      <c r="F605" s="28"/>
      <c r="G605" s="28"/>
      <c r="H605" s="28"/>
      <c r="I605" s="28"/>
      <c r="J605" s="28"/>
      <c r="K605" s="28"/>
      <c r="L605" s="28"/>
      <c r="M605" s="28"/>
      <c r="N605" s="28"/>
      <c r="O605" s="28"/>
    </row>
    <row r="606" spans="1:15" ht="21" customHeight="1" x14ac:dyDescent="0.25">
      <c r="A606" s="28"/>
      <c r="B606" s="28"/>
      <c r="C606" s="28"/>
      <c r="D606" s="28"/>
      <c r="E606" s="28"/>
      <c r="F606" s="28"/>
      <c r="G606" s="28"/>
      <c r="H606" s="28"/>
      <c r="I606" s="28"/>
      <c r="J606" s="28"/>
      <c r="K606" s="28"/>
      <c r="L606" s="28"/>
      <c r="M606" s="28"/>
      <c r="N606" s="28"/>
      <c r="O606" s="28"/>
    </row>
    <row r="607" spans="1:15" ht="21" customHeight="1" x14ac:dyDescent="0.25">
      <c r="A607" s="28"/>
      <c r="B607" s="28"/>
      <c r="C607" s="28"/>
      <c r="D607" s="28"/>
      <c r="E607" s="28"/>
      <c r="F607" s="28"/>
      <c r="G607" s="28"/>
      <c r="H607" s="28"/>
      <c r="I607" s="28"/>
      <c r="J607" s="28"/>
      <c r="K607" s="28"/>
      <c r="L607" s="28"/>
      <c r="M607" s="28"/>
      <c r="N607" s="28"/>
      <c r="O607" s="28"/>
    </row>
    <row r="608" spans="1:15" ht="21" customHeight="1" x14ac:dyDescent="0.25">
      <c r="A608" s="28"/>
      <c r="B608" s="28"/>
      <c r="C608" s="28"/>
      <c r="D608" s="28"/>
      <c r="E608" s="28"/>
      <c r="F608" s="28"/>
      <c r="G608" s="28"/>
      <c r="H608" s="28"/>
      <c r="I608" s="28"/>
      <c r="J608" s="28"/>
      <c r="K608" s="28"/>
      <c r="L608" s="28"/>
      <c r="M608" s="28"/>
      <c r="N608" s="28"/>
      <c r="O608" s="28"/>
    </row>
    <row r="609" spans="1:15" ht="21" customHeight="1" x14ac:dyDescent="0.25">
      <c r="A609" s="28"/>
      <c r="B609" s="28"/>
      <c r="C609" s="28"/>
      <c r="D609" s="28"/>
      <c r="E609" s="28"/>
      <c r="F609" s="28"/>
      <c r="G609" s="28"/>
      <c r="H609" s="28"/>
      <c r="I609" s="28"/>
      <c r="J609" s="28"/>
      <c r="K609" s="28"/>
      <c r="L609" s="28"/>
      <c r="M609" s="28"/>
      <c r="N609" s="28"/>
      <c r="O609" s="28"/>
    </row>
    <row r="610" spans="1:15" ht="21" customHeight="1" x14ac:dyDescent="0.25">
      <c r="A610" s="28"/>
      <c r="B610" s="28"/>
      <c r="C610" s="28"/>
      <c r="D610" s="28"/>
      <c r="E610" s="28"/>
      <c r="F610" s="28"/>
      <c r="G610" s="28"/>
      <c r="H610" s="28"/>
      <c r="I610" s="28"/>
      <c r="J610" s="28"/>
      <c r="K610" s="28"/>
      <c r="L610" s="28"/>
      <c r="M610" s="28"/>
      <c r="N610" s="28"/>
      <c r="O610" s="28"/>
    </row>
    <row r="611" spans="1:15" ht="21" customHeight="1" x14ac:dyDescent="0.25">
      <c r="A611" s="28"/>
      <c r="B611" s="28"/>
      <c r="C611" s="28"/>
      <c r="D611" s="28"/>
      <c r="E611" s="28"/>
      <c r="F611" s="28"/>
      <c r="G611" s="28"/>
      <c r="H611" s="28"/>
      <c r="I611" s="28"/>
      <c r="J611" s="28"/>
      <c r="K611" s="28"/>
      <c r="L611" s="28"/>
      <c r="M611" s="28"/>
      <c r="N611" s="28"/>
      <c r="O611" s="28"/>
    </row>
    <row r="612" spans="1:15" ht="21" customHeight="1" x14ac:dyDescent="0.25">
      <c r="A612" s="28"/>
      <c r="B612" s="28"/>
      <c r="C612" s="28"/>
      <c r="D612" s="28"/>
      <c r="E612" s="28"/>
      <c r="F612" s="28"/>
      <c r="G612" s="28"/>
      <c r="H612" s="28"/>
      <c r="I612" s="28"/>
      <c r="J612" s="28"/>
      <c r="K612" s="28"/>
      <c r="L612" s="28"/>
      <c r="M612" s="28"/>
      <c r="N612" s="28"/>
      <c r="O612" s="28"/>
    </row>
    <row r="613" spans="1:15" ht="21" customHeight="1" x14ac:dyDescent="0.25">
      <c r="A613" s="28"/>
      <c r="B613" s="28"/>
      <c r="C613" s="28"/>
      <c r="D613" s="28"/>
      <c r="E613" s="28"/>
      <c r="F613" s="28"/>
      <c r="G613" s="28"/>
      <c r="H613" s="28"/>
      <c r="I613" s="28"/>
      <c r="J613" s="28"/>
      <c r="K613" s="28"/>
      <c r="L613" s="28"/>
      <c r="M613" s="28"/>
      <c r="N613" s="28"/>
      <c r="O613" s="28"/>
    </row>
    <row r="614" spans="1:15" ht="21" customHeight="1" x14ac:dyDescent="0.25">
      <c r="A614" s="28"/>
      <c r="B614" s="28"/>
      <c r="C614" s="28"/>
      <c r="D614" s="28"/>
      <c r="E614" s="28"/>
      <c r="F614" s="28"/>
      <c r="G614" s="28"/>
      <c r="H614" s="28"/>
      <c r="I614" s="28"/>
      <c r="J614" s="28"/>
      <c r="K614" s="28"/>
      <c r="L614" s="28"/>
      <c r="M614" s="28"/>
      <c r="N614" s="28"/>
      <c r="O614" s="28"/>
    </row>
    <row r="615" spans="1:15" ht="21" customHeight="1" x14ac:dyDescent="0.25">
      <c r="A615" s="28"/>
      <c r="B615" s="28"/>
      <c r="C615" s="28"/>
      <c r="D615" s="28"/>
      <c r="E615" s="28"/>
      <c r="F615" s="28"/>
      <c r="G615" s="28"/>
      <c r="H615" s="28"/>
      <c r="I615" s="28"/>
      <c r="J615" s="28"/>
      <c r="K615" s="28"/>
      <c r="L615" s="28"/>
      <c r="M615" s="28"/>
      <c r="N615" s="28"/>
      <c r="O615" s="28"/>
    </row>
    <row r="616" spans="1:15" ht="21" customHeight="1" x14ac:dyDescent="0.25">
      <c r="A616" s="28"/>
      <c r="B616" s="28"/>
      <c r="C616" s="28"/>
      <c r="D616" s="28"/>
      <c r="E616" s="28"/>
      <c r="F616" s="28"/>
      <c r="G616" s="28"/>
      <c r="H616" s="28"/>
      <c r="I616" s="28"/>
      <c r="J616" s="28"/>
      <c r="K616" s="28"/>
      <c r="L616" s="28"/>
      <c r="M616" s="28"/>
      <c r="N616" s="28"/>
      <c r="O616" s="28"/>
    </row>
    <row r="617" spans="1:15" ht="21" customHeight="1" x14ac:dyDescent="0.25">
      <c r="A617" s="28"/>
      <c r="B617" s="28"/>
      <c r="C617" s="28"/>
      <c r="D617" s="28"/>
      <c r="E617" s="28"/>
      <c r="F617" s="28"/>
      <c r="G617" s="28"/>
      <c r="H617" s="28"/>
      <c r="I617" s="28"/>
      <c r="J617" s="28"/>
      <c r="K617" s="28"/>
      <c r="L617" s="28"/>
      <c r="M617" s="28"/>
      <c r="N617" s="28"/>
      <c r="O617" s="28"/>
    </row>
    <row r="618" spans="1:15" ht="21" customHeight="1" x14ac:dyDescent="0.25">
      <c r="A618" s="28"/>
      <c r="B618" s="28"/>
      <c r="C618" s="28"/>
      <c r="D618" s="28"/>
      <c r="E618" s="28"/>
      <c r="F618" s="28"/>
      <c r="G618" s="28"/>
      <c r="H618" s="28"/>
      <c r="I618" s="28"/>
      <c r="J618" s="28"/>
      <c r="K618" s="28"/>
      <c r="L618" s="28"/>
      <c r="M618" s="28"/>
      <c r="N618" s="28"/>
      <c r="O618" s="28"/>
    </row>
    <row r="619" spans="1:15" ht="21" customHeight="1" x14ac:dyDescent="0.25">
      <c r="A619" s="28"/>
      <c r="B619" s="28"/>
      <c r="C619" s="28"/>
      <c r="D619" s="28"/>
      <c r="E619" s="28"/>
      <c r="F619" s="28"/>
      <c r="G619" s="28"/>
      <c r="H619" s="28"/>
      <c r="I619" s="28"/>
      <c r="J619" s="28"/>
      <c r="K619" s="28"/>
      <c r="L619" s="28"/>
      <c r="M619" s="28"/>
      <c r="N619" s="28"/>
      <c r="O619" s="28"/>
    </row>
    <row r="620" spans="1:15" ht="21" customHeight="1" x14ac:dyDescent="0.25">
      <c r="A620" s="28"/>
      <c r="B620" s="28"/>
      <c r="C620" s="28"/>
      <c r="D620" s="28"/>
      <c r="E620" s="28"/>
      <c r="F620" s="28"/>
      <c r="G620" s="28"/>
      <c r="H620" s="28"/>
      <c r="I620" s="28"/>
      <c r="J620" s="28"/>
      <c r="K620" s="28"/>
      <c r="L620" s="28"/>
      <c r="M620" s="28"/>
      <c r="N620" s="28"/>
      <c r="O620" s="28"/>
    </row>
    <row r="621" spans="1:15" ht="21" customHeight="1" x14ac:dyDescent="0.25">
      <c r="A621" s="28"/>
      <c r="B621" s="28"/>
      <c r="C621" s="28"/>
      <c r="D621" s="28"/>
      <c r="E621" s="28"/>
      <c r="F621" s="28"/>
      <c r="G621" s="28"/>
      <c r="H621" s="28"/>
      <c r="I621" s="28"/>
      <c r="J621" s="28"/>
      <c r="K621" s="28"/>
      <c r="L621" s="28"/>
      <c r="M621" s="28"/>
      <c r="N621" s="28"/>
      <c r="O621" s="28"/>
    </row>
    <row r="622" spans="1:15" ht="21" customHeight="1" x14ac:dyDescent="0.25">
      <c r="A622" s="28"/>
      <c r="B622" s="28"/>
      <c r="C622" s="28"/>
      <c r="D622" s="28"/>
      <c r="E622" s="28"/>
      <c r="F622" s="28"/>
      <c r="G622" s="28"/>
      <c r="H622" s="28"/>
      <c r="I622" s="28"/>
      <c r="J622" s="28"/>
      <c r="K622" s="28"/>
      <c r="L622" s="28"/>
      <c r="M622" s="28"/>
      <c r="N622" s="28"/>
      <c r="O622" s="28"/>
    </row>
    <row r="623" spans="1:15" ht="21" customHeight="1" x14ac:dyDescent="0.25">
      <c r="A623" s="28"/>
      <c r="B623" s="28"/>
      <c r="C623" s="28"/>
      <c r="D623" s="28"/>
      <c r="E623" s="28"/>
      <c r="F623" s="28"/>
      <c r="G623" s="28"/>
      <c r="H623" s="28"/>
      <c r="I623" s="28"/>
      <c r="J623" s="28"/>
      <c r="K623" s="28"/>
      <c r="L623" s="28"/>
      <c r="M623" s="28"/>
      <c r="N623" s="28"/>
      <c r="O623" s="28"/>
    </row>
    <row r="624" spans="1:15" ht="21" customHeight="1" x14ac:dyDescent="0.25">
      <c r="A624" s="28"/>
      <c r="B624" s="28"/>
      <c r="C624" s="28"/>
      <c r="D624" s="28"/>
      <c r="E624" s="28"/>
      <c r="F624" s="28"/>
      <c r="G624" s="28"/>
      <c r="H624" s="28"/>
      <c r="I624" s="28"/>
      <c r="J624" s="28"/>
      <c r="K624" s="28"/>
      <c r="L624" s="28"/>
      <c r="M624" s="28"/>
      <c r="N624" s="28"/>
      <c r="O624" s="28"/>
    </row>
    <row r="625" spans="1:15" ht="21" customHeight="1" x14ac:dyDescent="0.25">
      <c r="A625" s="28"/>
      <c r="B625" s="28"/>
      <c r="C625" s="28"/>
      <c r="D625" s="28"/>
      <c r="E625" s="28"/>
      <c r="F625" s="28"/>
      <c r="G625" s="28"/>
      <c r="H625" s="28"/>
      <c r="I625" s="28"/>
      <c r="J625" s="28"/>
      <c r="K625" s="28"/>
      <c r="L625" s="28"/>
      <c r="M625" s="28"/>
      <c r="N625" s="28"/>
      <c r="O625" s="28"/>
    </row>
    <row r="626" spans="1:15" ht="21" customHeight="1" x14ac:dyDescent="0.25">
      <c r="A626" s="28"/>
      <c r="B626" s="28"/>
      <c r="C626" s="28"/>
      <c r="D626" s="28"/>
      <c r="E626" s="28"/>
      <c r="F626" s="28"/>
      <c r="G626" s="28"/>
      <c r="H626" s="28"/>
      <c r="I626" s="28"/>
      <c r="J626" s="28"/>
      <c r="K626" s="28"/>
      <c r="L626" s="28"/>
      <c r="M626" s="28"/>
      <c r="N626" s="28"/>
      <c r="O626" s="28"/>
    </row>
    <row r="627" spans="1:15" ht="21" customHeight="1" x14ac:dyDescent="0.25">
      <c r="A627" s="28"/>
      <c r="B627" s="28"/>
      <c r="C627" s="28"/>
      <c r="D627" s="28"/>
      <c r="E627" s="28"/>
      <c r="F627" s="28"/>
      <c r="G627" s="28"/>
      <c r="H627" s="28"/>
      <c r="I627" s="28"/>
      <c r="J627" s="28"/>
      <c r="K627" s="28"/>
      <c r="L627" s="28"/>
      <c r="M627" s="28"/>
      <c r="N627" s="28"/>
      <c r="O627" s="28"/>
    </row>
    <row r="628" spans="1:15" ht="21" customHeight="1" x14ac:dyDescent="0.25">
      <c r="A628" s="28"/>
      <c r="B628" s="28"/>
      <c r="C628" s="28"/>
      <c r="D628" s="28"/>
      <c r="E628" s="28"/>
      <c r="F628" s="28"/>
      <c r="G628" s="28"/>
      <c r="H628" s="28"/>
      <c r="I628" s="28"/>
      <c r="J628" s="28"/>
      <c r="K628" s="28"/>
      <c r="L628" s="28"/>
      <c r="M628" s="28"/>
      <c r="N628" s="28"/>
      <c r="O628" s="28"/>
    </row>
    <row r="629" spans="1:15" ht="21" customHeight="1" x14ac:dyDescent="0.25">
      <c r="A629" s="28"/>
      <c r="B629" s="28"/>
      <c r="C629" s="28"/>
      <c r="D629" s="28"/>
      <c r="E629" s="28"/>
      <c r="F629" s="28"/>
      <c r="G629" s="28"/>
      <c r="H629" s="28"/>
      <c r="I629" s="28"/>
      <c r="J629" s="28"/>
      <c r="K629" s="28"/>
      <c r="L629" s="28"/>
      <c r="M629" s="28"/>
      <c r="N629" s="28"/>
      <c r="O629" s="28"/>
    </row>
    <row r="630" spans="1:15" ht="21" customHeight="1" x14ac:dyDescent="0.25">
      <c r="A630" s="28"/>
      <c r="B630" s="28"/>
      <c r="C630" s="28"/>
      <c r="D630" s="28"/>
      <c r="E630" s="28"/>
      <c r="F630" s="28"/>
      <c r="G630" s="28"/>
      <c r="H630" s="28"/>
      <c r="I630" s="28"/>
      <c r="J630" s="28"/>
      <c r="K630" s="28"/>
      <c r="L630" s="28"/>
      <c r="M630" s="28"/>
      <c r="N630" s="28"/>
      <c r="O630" s="28"/>
    </row>
    <row r="631" spans="1:15" ht="21" customHeight="1" x14ac:dyDescent="0.25">
      <c r="A631" s="28"/>
      <c r="B631" s="28"/>
      <c r="C631" s="28"/>
      <c r="D631" s="28"/>
      <c r="E631" s="28"/>
      <c r="F631" s="28"/>
      <c r="G631" s="28"/>
      <c r="H631" s="28"/>
      <c r="I631" s="28"/>
      <c r="J631" s="28"/>
      <c r="K631" s="28"/>
      <c r="L631" s="28"/>
      <c r="M631" s="28"/>
      <c r="N631" s="28"/>
      <c r="O631" s="28"/>
    </row>
    <row r="632" spans="1:15" ht="21" customHeight="1" x14ac:dyDescent="0.25">
      <c r="A632" s="28"/>
      <c r="B632" s="28"/>
      <c r="C632" s="28"/>
      <c r="D632" s="28"/>
      <c r="E632" s="28"/>
      <c r="F632" s="28"/>
      <c r="G632" s="28"/>
      <c r="H632" s="28"/>
      <c r="I632" s="28"/>
      <c r="J632" s="28"/>
      <c r="K632" s="28"/>
      <c r="L632" s="28"/>
      <c r="M632" s="28"/>
      <c r="N632" s="28"/>
      <c r="O632" s="28"/>
    </row>
    <row r="633" spans="1:15" ht="21" customHeight="1" x14ac:dyDescent="0.25">
      <c r="A633" s="28"/>
      <c r="B633" s="28"/>
      <c r="C633" s="28"/>
      <c r="D633" s="28"/>
      <c r="E633" s="28"/>
      <c r="F633" s="28"/>
      <c r="G633" s="28"/>
      <c r="H633" s="28"/>
      <c r="I633" s="28"/>
      <c r="J633" s="28"/>
      <c r="K633" s="28"/>
      <c r="L633" s="28"/>
      <c r="M633" s="28"/>
      <c r="N633" s="28"/>
      <c r="O633" s="28"/>
    </row>
    <row r="634" spans="1:15" ht="21" customHeight="1" x14ac:dyDescent="0.25">
      <c r="A634" s="28"/>
      <c r="B634" s="28"/>
      <c r="C634" s="28"/>
      <c r="D634" s="28"/>
      <c r="E634" s="28"/>
      <c r="F634" s="28"/>
      <c r="G634" s="28"/>
      <c r="H634" s="28"/>
      <c r="I634" s="28"/>
      <c r="J634" s="28"/>
      <c r="K634" s="28"/>
      <c r="L634" s="28"/>
      <c r="M634" s="28"/>
      <c r="N634" s="28"/>
      <c r="O634" s="28"/>
    </row>
    <row r="635" spans="1:15" ht="21" customHeight="1" x14ac:dyDescent="0.25">
      <c r="A635" s="28"/>
      <c r="B635" s="28"/>
      <c r="C635" s="28"/>
      <c r="D635" s="28"/>
      <c r="E635" s="28"/>
      <c r="F635" s="28"/>
      <c r="G635" s="28"/>
      <c r="H635" s="28"/>
      <c r="I635" s="28"/>
      <c r="J635" s="28"/>
      <c r="K635" s="28"/>
      <c r="L635" s="28"/>
      <c r="M635" s="28"/>
      <c r="N635" s="28"/>
      <c r="O635" s="28"/>
    </row>
    <row r="636" spans="1:15" ht="21" customHeight="1" x14ac:dyDescent="0.25">
      <c r="A636" s="28"/>
      <c r="B636" s="28"/>
      <c r="C636" s="28"/>
      <c r="D636" s="28"/>
      <c r="E636" s="28"/>
      <c r="F636" s="28"/>
      <c r="G636" s="28"/>
      <c r="H636" s="28"/>
      <c r="I636" s="28"/>
      <c r="J636" s="28"/>
      <c r="K636" s="28"/>
      <c r="L636" s="28"/>
      <c r="M636" s="28"/>
      <c r="N636" s="28"/>
      <c r="O636" s="28"/>
    </row>
    <row r="637" spans="1:15" ht="21" customHeight="1" x14ac:dyDescent="0.25">
      <c r="A637" s="28"/>
      <c r="B637" s="28"/>
      <c r="C637" s="28"/>
      <c r="D637" s="28"/>
      <c r="E637" s="28"/>
      <c r="F637" s="28"/>
      <c r="G637" s="28"/>
      <c r="H637" s="28"/>
      <c r="I637" s="28"/>
      <c r="J637" s="28"/>
      <c r="K637" s="28"/>
      <c r="L637" s="28"/>
      <c r="M637" s="28"/>
      <c r="N637" s="28"/>
      <c r="O637" s="28"/>
    </row>
    <row r="638" spans="1:15" ht="21" customHeight="1" x14ac:dyDescent="0.25">
      <c r="A638" s="28"/>
      <c r="B638" s="28"/>
      <c r="C638" s="28"/>
      <c r="D638" s="28"/>
      <c r="E638" s="28"/>
      <c r="F638" s="28"/>
      <c r="G638" s="28"/>
      <c r="H638" s="28"/>
      <c r="I638" s="28"/>
      <c r="J638" s="28"/>
      <c r="K638" s="28"/>
      <c r="L638" s="28"/>
      <c r="M638" s="28"/>
      <c r="N638" s="28"/>
      <c r="O638" s="28"/>
    </row>
    <row r="639" spans="1:15" ht="21" customHeight="1" x14ac:dyDescent="0.25">
      <c r="A639" s="28"/>
      <c r="B639" s="28"/>
      <c r="C639" s="28"/>
      <c r="D639" s="28"/>
      <c r="E639" s="28"/>
      <c r="F639" s="28"/>
      <c r="G639" s="28"/>
      <c r="H639" s="28"/>
      <c r="I639" s="28"/>
      <c r="J639" s="28"/>
      <c r="K639" s="28"/>
      <c r="L639" s="28"/>
      <c r="M639" s="28"/>
      <c r="N639" s="28"/>
      <c r="O639" s="28"/>
    </row>
    <row r="640" spans="1:15" ht="21" customHeight="1" x14ac:dyDescent="0.25">
      <c r="A640" s="28"/>
      <c r="B640" s="28"/>
      <c r="C640" s="28"/>
      <c r="D640" s="28"/>
      <c r="E640" s="28"/>
      <c r="F640" s="28"/>
      <c r="G640" s="28"/>
      <c r="H640" s="28"/>
      <c r="I640" s="28"/>
      <c r="J640" s="28"/>
      <c r="K640" s="28"/>
      <c r="L640" s="28"/>
      <c r="M640" s="28"/>
      <c r="N640" s="28"/>
      <c r="O640" s="28"/>
    </row>
    <row r="641" spans="1:15" ht="21" customHeight="1" x14ac:dyDescent="0.25">
      <c r="A641" s="28"/>
      <c r="B641" s="28"/>
      <c r="C641" s="28"/>
      <c r="D641" s="28"/>
      <c r="E641" s="28"/>
      <c r="F641" s="28"/>
      <c r="G641" s="28"/>
      <c r="H641" s="28"/>
      <c r="I641" s="28"/>
      <c r="J641" s="28"/>
      <c r="K641" s="28"/>
      <c r="L641" s="28"/>
      <c r="M641" s="28"/>
      <c r="N641" s="28"/>
      <c r="O641" s="28"/>
    </row>
    <row r="642" spans="1:15" ht="21" customHeight="1" x14ac:dyDescent="0.25">
      <c r="A642" s="28"/>
      <c r="B642" s="28"/>
      <c r="C642" s="28"/>
      <c r="D642" s="28"/>
      <c r="E642" s="28"/>
      <c r="F642" s="28"/>
      <c r="G642" s="28"/>
      <c r="H642" s="28"/>
      <c r="I642" s="28"/>
      <c r="J642" s="28"/>
      <c r="K642" s="28"/>
      <c r="L642" s="28"/>
      <c r="M642" s="28"/>
      <c r="N642" s="28"/>
      <c r="O642" s="28"/>
    </row>
    <row r="643" spans="1:15" ht="21" customHeight="1" x14ac:dyDescent="0.25">
      <c r="A643" s="28"/>
      <c r="B643" s="28"/>
      <c r="C643" s="28"/>
      <c r="D643" s="28"/>
      <c r="E643" s="28"/>
      <c r="F643" s="28"/>
      <c r="G643" s="28"/>
      <c r="H643" s="28"/>
      <c r="I643" s="28"/>
      <c r="J643" s="28"/>
      <c r="K643" s="28"/>
      <c r="L643" s="28"/>
      <c r="M643" s="28"/>
      <c r="N643" s="28"/>
      <c r="O643" s="28"/>
    </row>
    <row r="644" spans="1:15" ht="21" customHeight="1" x14ac:dyDescent="0.25">
      <c r="A644" s="28"/>
      <c r="B644" s="28"/>
      <c r="C644" s="28"/>
      <c r="D644" s="28"/>
      <c r="E644" s="28"/>
      <c r="F644" s="28"/>
      <c r="G644" s="28"/>
      <c r="H644" s="28"/>
      <c r="I644" s="28"/>
      <c r="J644" s="28"/>
      <c r="K644" s="28"/>
      <c r="L644" s="28"/>
      <c r="M644" s="28"/>
      <c r="N644" s="28"/>
      <c r="O644" s="28"/>
    </row>
    <row r="645" spans="1:15" ht="21" customHeight="1" x14ac:dyDescent="0.25">
      <c r="A645" s="28"/>
      <c r="B645" s="28"/>
      <c r="C645" s="28"/>
      <c r="D645" s="28"/>
      <c r="E645" s="28"/>
      <c r="F645" s="28"/>
      <c r="G645" s="28"/>
      <c r="H645" s="28"/>
      <c r="I645" s="28"/>
      <c r="J645" s="28"/>
      <c r="K645" s="28"/>
      <c r="L645" s="28"/>
      <c r="M645" s="28"/>
      <c r="N645" s="28"/>
      <c r="O645" s="28"/>
    </row>
    <row r="646" spans="1:15" ht="21" customHeight="1" x14ac:dyDescent="0.25">
      <c r="A646" s="28"/>
      <c r="B646" s="28"/>
      <c r="C646" s="28"/>
      <c r="D646" s="28"/>
      <c r="E646" s="28"/>
      <c r="F646" s="28"/>
      <c r="G646" s="28"/>
      <c r="H646" s="28"/>
      <c r="I646" s="28"/>
      <c r="J646" s="28"/>
      <c r="K646" s="28"/>
      <c r="L646" s="28"/>
      <c r="M646" s="28"/>
      <c r="N646" s="28"/>
      <c r="O646" s="28"/>
    </row>
    <row r="647" spans="1:15" ht="21" customHeight="1" x14ac:dyDescent="0.25">
      <c r="A647" s="28"/>
      <c r="B647" s="28"/>
      <c r="C647" s="28"/>
      <c r="D647" s="28"/>
      <c r="E647" s="28"/>
      <c r="F647" s="28"/>
      <c r="G647" s="28"/>
      <c r="H647" s="28"/>
      <c r="I647" s="28"/>
      <c r="J647" s="28"/>
      <c r="K647" s="28"/>
      <c r="L647" s="28"/>
      <c r="M647" s="28"/>
      <c r="N647" s="28"/>
      <c r="O647" s="28"/>
    </row>
    <row r="648" spans="1:15" ht="21" customHeight="1" x14ac:dyDescent="0.25">
      <c r="A648" s="28"/>
      <c r="B648" s="28"/>
      <c r="C648" s="28"/>
      <c r="D648" s="28"/>
      <c r="E648" s="28"/>
      <c r="F648" s="28"/>
      <c r="G648" s="28"/>
      <c r="H648" s="28"/>
      <c r="I648" s="28"/>
      <c r="J648" s="28"/>
      <c r="K648" s="28"/>
      <c r="L648" s="28"/>
      <c r="M648" s="28"/>
      <c r="N648" s="28"/>
      <c r="O648" s="28"/>
    </row>
    <row r="649" spans="1:15" ht="21" customHeight="1" x14ac:dyDescent="0.25">
      <c r="A649" s="28"/>
      <c r="B649" s="28"/>
      <c r="C649" s="28"/>
      <c r="D649" s="28"/>
      <c r="E649" s="28"/>
      <c r="F649" s="28"/>
      <c r="G649" s="28"/>
      <c r="H649" s="28"/>
      <c r="I649" s="28"/>
      <c r="J649" s="28"/>
      <c r="K649" s="28"/>
      <c r="L649" s="28"/>
      <c r="M649" s="28"/>
      <c r="N649" s="28"/>
      <c r="O649" s="28"/>
    </row>
    <row r="650" spans="1:15" ht="21" customHeight="1" x14ac:dyDescent="0.25">
      <c r="A650" s="28"/>
      <c r="B650" s="28"/>
      <c r="C650" s="28"/>
      <c r="D650" s="28"/>
      <c r="E650" s="28"/>
      <c r="F650" s="28"/>
      <c r="G650" s="28"/>
      <c r="H650" s="28"/>
      <c r="I650" s="28"/>
      <c r="J650" s="28"/>
      <c r="K650" s="28"/>
      <c r="L650" s="28"/>
      <c r="M650" s="28"/>
      <c r="N650" s="28"/>
      <c r="O650" s="28"/>
    </row>
    <row r="651" spans="1:15" ht="21" customHeight="1" x14ac:dyDescent="0.25">
      <c r="A651" s="28"/>
      <c r="B651" s="28"/>
      <c r="C651" s="28"/>
      <c r="D651" s="28"/>
      <c r="E651" s="28"/>
      <c r="F651" s="28"/>
      <c r="G651" s="28"/>
      <c r="H651" s="28"/>
      <c r="I651" s="28"/>
      <c r="J651" s="28"/>
      <c r="K651" s="28"/>
      <c r="L651" s="28"/>
      <c r="M651" s="28"/>
      <c r="N651" s="28"/>
      <c r="O651" s="28"/>
    </row>
    <row r="652" spans="1:15" ht="21" customHeight="1" x14ac:dyDescent="0.25">
      <c r="A652" s="28"/>
      <c r="B652" s="28"/>
      <c r="C652" s="28"/>
      <c r="D652" s="28"/>
      <c r="E652" s="28"/>
      <c r="F652" s="28"/>
      <c r="G652" s="28"/>
      <c r="H652" s="28"/>
      <c r="I652" s="28"/>
      <c r="J652" s="28"/>
      <c r="K652" s="28"/>
      <c r="L652" s="28"/>
      <c r="M652" s="28"/>
      <c r="N652" s="28"/>
      <c r="O652" s="28"/>
    </row>
    <row r="653" spans="1:15" ht="21" customHeight="1" x14ac:dyDescent="0.25">
      <c r="A653" s="28"/>
      <c r="B653" s="28"/>
      <c r="C653" s="28"/>
      <c r="D653" s="28"/>
      <c r="E653" s="28"/>
      <c r="F653" s="28"/>
      <c r="G653" s="28"/>
      <c r="H653" s="28"/>
      <c r="I653" s="28"/>
      <c r="J653" s="28"/>
      <c r="K653" s="28"/>
      <c r="L653" s="28"/>
      <c r="M653" s="28"/>
      <c r="N653" s="28"/>
      <c r="O653" s="28"/>
    </row>
    <row r="654" spans="1:15" ht="21" customHeight="1" x14ac:dyDescent="0.25">
      <c r="A654" s="28"/>
      <c r="B654" s="28"/>
      <c r="C654" s="28"/>
      <c r="D654" s="28"/>
      <c r="E654" s="28"/>
      <c r="F654" s="28"/>
      <c r="G654" s="28"/>
      <c r="H654" s="28"/>
      <c r="I654" s="28"/>
      <c r="J654" s="28"/>
      <c r="K654" s="28"/>
      <c r="L654" s="28"/>
      <c r="M654" s="28"/>
      <c r="N654" s="28"/>
      <c r="O654" s="28"/>
    </row>
    <row r="655" spans="1:15" ht="21" customHeight="1" x14ac:dyDescent="0.25">
      <c r="A655" s="28"/>
      <c r="B655" s="28"/>
      <c r="C655" s="28"/>
      <c r="D655" s="28"/>
      <c r="E655" s="28"/>
      <c r="F655" s="28"/>
      <c r="G655" s="28"/>
      <c r="H655" s="28"/>
      <c r="I655" s="28"/>
      <c r="J655" s="28"/>
      <c r="K655" s="28"/>
      <c r="L655" s="28"/>
      <c r="M655" s="28"/>
      <c r="N655" s="28"/>
      <c r="O655" s="28"/>
    </row>
    <row r="656" spans="1:15" ht="21" customHeight="1" x14ac:dyDescent="0.25">
      <c r="A656" s="28"/>
      <c r="B656" s="28"/>
      <c r="C656" s="28"/>
      <c r="D656" s="28"/>
      <c r="E656" s="28"/>
      <c r="F656" s="28"/>
      <c r="G656" s="28"/>
      <c r="H656" s="28"/>
      <c r="I656" s="28"/>
      <c r="J656" s="28"/>
      <c r="K656" s="28"/>
      <c r="L656" s="28"/>
      <c r="M656" s="28"/>
      <c r="N656" s="28"/>
      <c r="O656" s="28"/>
    </row>
    <row r="657" spans="1:15" ht="21" customHeight="1" x14ac:dyDescent="0.25">
      <c r="A657" s="28"/>
      <c r="B657" s="28"/>
      <c r="C657" s="28"/>
      <c r="D657" s="28"/>
      <c r="E657" s="28"/>
      <c r="F657" s="28"/>
      <c r="G657" s="28"/>
      <c r="H657" s="28"/>
      <c r="I657" s="28"/>
      <c r="J657" s="28"/>
      <c r="K657" s="28"/>
      <c r="L657" s="28"/>
      <c r="M657" s="28"/>
      <c r="N657" s="28"/>
      <c r="O657" s="28"/>
    </row>
    <row r="658" spans="1:15" ht="21" customHeight="1" x14ac:dyDescent="0.25">
      <c r="A658" s="28"/>
      <c r="B658" s="28"/>
      <c r="C658" s="28"/>
      <c r="D658" s="28"/>
      <c r="E658" s="28"/>
      <c r="F658" s="28"/>
      <c r="G658" s="28"/>
      <c r="H658" s="28"/>
      <c r="I658" s="28"/>
      <c r="J658" s="28"/>
      <c r="K658" s="28"/>
      <c r="L658" s="28"/>
      <c r="M658" s="28"/>
      <c r="N658" s="28"/>
      <c r="O658" s="28"/>
    </row>
    <row r="659" spans="1:15" ht="21" customHeight="1" x14ac:dyDescent="0.25">
      <c r="A659" s="28"/>
      <c r="B659" s="28"/>
      <c r="C659" s="28"/>
      <c r="D659" s="28"/>
      <c r="E659" s="28"/>
      <c r="F659" s="28"/>
      <c r="G659" s="28"/>
      <c r="H659" s="28"/>
      <c r="I659" s="28"/>
      <c r="J659" s="28"/>
      <c r="K659" s="28"/>
      <c r="L659" s="28"/>
      <c r="M659" s="28"/>
      <c r="N659" s="28"/>
      <c r="O659" s="28"/>
    </row>
    <row r="660" spans="1:15" ht="21" customHeight="1" x14ac:dyDescent="0.25">
      <c r="A660" s="28"/>
      <c r="B660" s="28"/>
      <c r="C660" s="28"/>
      <c r="D660" s="28"/>
      <c r="E660" s="28"/>
      <c r="F660" s="28"/>
      <c r="G660" s="28"/>
      <c r="H660" s="28"/>
      <c r="I660" s="28"/>
      <c r="J660" s="28"/>
      <c r="K660" s="28"/>
      <c r="L660" s="28"/>
      <c r="M660" s="28"/>
      <c r="N660" s="28"/>
      <c r="O660" s="28"/>
    </row>
    <row r="661" spans="1:15" ht="21" customHeight="1" x14ac:dyDescent="0.25">
      <c r="A661" s="28"/>
      <c r="B661" s="28"/>
      <c r="C661" s="28"/>
      <c r="D661" s="28"/>
      <c r="E661" s="28"/>
      <c r="F661" s="28"/>
      <c r="G661" s="28"/>
      <c r="H661" s="28"/>
      <c r="I661" s="28"/>
      <c r="J661" s="28"/>
      <c r="K661" s="28"/>
      <c r="L661" s="28"/>
      <c r="M661" s="28"/>
      <c r="N661" s="28"/>
      <c r="O661" s="28"/>
    </row>
    <row r="662" spans="1:15" ht="21" customHeight="1" x14ac:dyDescent="0.25">
      <c r="A662" s="28"/>
      <c r="B662" s="28"/>
      <c r="C662" s="28"/>
      <c r="D662" s="28"/>
      <c r="E662" s="28"/>
      <c r="F662" s="28"/>
      <c r="G662" s="28"/>
      <c r="H662" s="28"/>
      <c r="I662" s="28"/>
      <c r="J662" s="28"/>
      <c r="K662" s="28"/>
      <c r="L662" s="28"/>
      <c r="M662" s="28"/>
      <c r="N662" s="28"/>
      <c r="O662" s="28"/>
    </row>
    <row r="663" spans="1:15" ht="21" customHeight="1" x14ac:dyDescent="0.25">
      <c r="A663" s="28"/>
      <c r="B663" s="28"/>
      <c r="C663" s="28"/>
      <c r="D663" s="28"/>
      <c r="E663" s="28"/>
      <c r="F663" s="28"/>
      <c r="G663" s="28"/>
      <c r="H663" s="28"/>
      <c r="I663" s="28"/>
      <c r="J663" s="28"/>
      <c r="K663" s="28"/>
      <c r="L663" s="28"/>
      <c r="M663" s="28"/>
      <c r="N663" s="28"/>
      <c r="O663" s="28"/>
    </row>
    <row r="664" spans="1:15" ht="21" customHeight="1" x14ac:dyDescent="0.25">
      <c r="A664" s="28"/>
      <c r="B664" s="28"/>
      <c r="C664" s="28"/>
      <c r="D664" s="28"/>
      <c r="E664" s="28"/>
      <c r="F664" s="28"/>
      <c r="G664" s="28"/>
      <c r="H664" s="28"/>
      <c r="I664" s="28"/>
      <c r="J664" s="28"/>
      <c r="K664" s="28"/>
      <c r="L664" s="28"/>
      <c r="M664" s="28"/>
      <c r="N664" s="28"/>
      <c r="O664" s="28"/>
    </row>
    <row r="665" spans="1:15" ht="21" customHeight="1" x14ac:dyDescent="0.25">
      <c r="A665" s="28"/>
      <c r="B665" s="28"/>
      <c r="C665" s="28"/>
      <c r="D665" s="28"/>
      <c r="E665" s="28"/>
      <c r="F665" s="28"/>
      <c r="G665" s="28"/>
      <c r="H665" s="28"/>
      <c r="I665" s="28"/>
      <c r="J665" s="28"/>
      <c r="K665" s="28"/>
      <c r="L665" s="28"/>
      <c r="M665" s="28"/>
      <c r="N665" s="28"/>
      <c r="O665" s="28"/>
    </row>
    <row r="666" spans="1:15" ht="21" customHeight="1" x14ac:dyDescent="0.25">
      <c r="A666" s="28"/>
      <c r="B666" s="28"/>
      <c r="C666" s="28"/>
      <c r="D666" s="28"/>
      <c r="E666" s="28"/>
      <c r="F666" s="28"/>
      <c r="G666" s="28"/>
      <c r="H666" s="28"/>
      <c r="I666" s="28"/>
      <c r="J666" s="28"/>
      <c r="K666" s="28"/>
      <c r="L666" s="28"/>
      <c r="M666" s="28"/>
      <c r="N666" s="28"/>
      <c r="O666" s="28"/>
    </row>
    <row r="667" spans="1:15" ht="21" customHeight="1" x14ac:dyDescent="0.25">
      <c r="A667" s="28"/>
      <c r="B667" s="28"/>
      <c r="C667" s="28"/>
      <c r="D667" s="28"/>
      <c r="E667" s="28"/>
      <c r="F667" s="28"/>
      <c r="G667" s="28"/>
      <c r="H667" s="28"/>
      <c r="I667" s="28"/>
      <c r="J667" s="28"/>
      <c r="K667" s="28"/>
      <c r="L667" s="28"/>
      <c r="M667" s="28"/>
      <c r="N667" s="28"/>
      <c r="O667" s="28"/>
    </row>
    <row r="668" spans="1:15" ht="21" customHeight="1" x14ac:dyDescent="0.25">
      <c r="A668" s="28"/>
      <c r="B668" s="28"/>
      <c r="C668" s="28"/>
      <c r="D668" s="28"/>
      <c r="E668" s="28"/>
      <c r="F668" s="28"/>
      <c r="G668" s="28"/>
      <c r="H668" s="28"/>
      <c r="I668" s="28"/>
      <c r="J668" s="28"/>
      <c r="K668" s="28"/>
      <c r="L668" s="28"/>
      <c r="M668" s="28"/>
      <c r="N668" s="28"/>
      <c r="O668" s="28"/>
    </row>
    <row r="669" spans="1:15" ht="21" customHeight="1" x14ac:dyDescent="0.25">
      <c r="A669" s="28"/>
      <c r="B669" s="28"/>
      <c r="C669" s="28"/>
      <c r="D669" s="28"/>
      <c r="E669" s="28"/>
      <c r="F669" s="28"/>
      <c r="G669" s="28"/>
      <c r="H669" s="28"/>
      <c r="I669" s="28"/>
      <c r="J669" s="28"/>
      <c r="K669" s="28"/>
      <c r="L669" s="28"/>
      <c r="M669" s="28"/>
      <c r="N669" s="28"/>
      <c r="O669" s="28"/>
    </row>
    <row r="670" spans="1:15" ht="21" customHeight="1" x14ac:dyDescent="0.25">
      <c r="A670" s="28"/>
      <c r="B670" s="28"/>
      <c r="C670" s="28"/>
      <c r="D670" s="28"/>
      <c r="E670" s="28"/>
      <c r="F670" s="28"/>
      <c r="G670" s="28"/>
      <c r="H670" s="28"/>
      <c r="I670" s="28"/>
      <c r="J670" s="28"/>
      <c r="K670" s="28"/>
      <c r="L670" s="28"/>
      <c r="M670" s="28"/>
      <c r="N670" s="28"/>
      <c r="O670" s="28"/>
    </row>
    <row r="671" spans="1:15" ht="21" customHeight="1" x14ac:dyDescent="0.25">
      <c r="A671" s="28"/>
      <c r="B671" s="28"/>
      <c r="C671" s="28"/>
      <c r="D671" s="28"/>
      <c r="E671" s="28"/>
      <c r="F671" s="28"/>
      <c r="G671" s="28"/>
      <c r="H671" s="28"/>
      <c r="I671" s="28"/>
      <c r="J671" s="28"/>
      <c r="K671" s="28"/>
      <c r="L671" s="28"/>
      <c r="M671" s="28"/>
      <c r="N671" s="28"/>
      <c r="O671" s="28"/>
    </row>
    <row r="672" spans="1:15" ht="21" customHeight="1" x14ac:dyDescent="0.25">
      <c r="A672" s="28"/>
      <c r="B672" s="28"/>
      <c r="C672" s="28"/>
      <c r="D672" s="28"/>
      <c r="E672" s="28"/>
      <c r="F672" s="28"/>
      <c r="G672" s="28"/>
      <c r="H672" s="28"/>
      <c r="I672" s="28"/>
      <c r="J672" s="28"/>
      <c r="K672" s="28"/>
      <c r="L672" s="28"/>
      <c r="M672" s="28"/>
      <c r="N672" s="28"/>
      <c r="O672" s="28"/>
    </row>
    <row r="673" spans="1:15" ht="21" customHeight="1" x14ac:dyDescent="0.25">
      <c r="A673" s="28"/>
      <c r="B673" s="28"/>
      <c r="C673" s="28"/>
      <c r="D673" s="28"/>
      <c r="E673" s="28"/>
      <c r="F673" s="28"/>
      <c r="G673" s="28"/>
      <c r="H673" s="28"/>
      <c r="I673" s="28"/>
      <c r="J673" s="28"/>
      <c r="K673" s="28"/>
      <c r="L673" s="28"/>
      <c r="M673" s="28"/>
      <c r="N673" s="28"/>
      <c r="O673" s="28"/>
    </row>
    <row r="674" spans="1:15" ht="21" customHeight="1" x14ac:dyDescent="0.25">
      <c r="A674" s="28"/>
      <c r="B674" s="28"/>
      <c r="C674" s="28"/>
      <c r="D674" s="28"/>
      <c r="E674" s="28"/>
      <c r="F674" s="28"/>
      <c r="G674" s="28"/>
      <c r="H674" s="28"/>
      <c r="I674" s="28"/>
      <c r="J674" s="28"/>
      <c r="K674" s="28"/>
      <c r="L674" s="28"/>
      <c r="M674" s="28"/>
      <c r="N674" s="28"/>
      <c r="O674" s="28"/>
    </row>
    <row r="675" spans="1:15" ht="21" customHeight="1" x14ac:dyDescent="0.25">
      <c r="A675" s="28"/>
      <c r="B675" s="28"/>
      <c r="C675" s="28"/>
      <c r="D675" s="28"/>
      <c r="E675" s="28"/>
      <c r="F675" s="28"/>
      <c r="G675" s="28"/>
      <c r="H675" s="28"/>
      <c r="I675" s="28"/>
      <c r="J675" s="28"/>
      <c r="K675" s="28"/>
      <c r="L675" s="28"/>
      <c r="M675" s="28"/>
      <c r="N675" s="28"/>
      <c r="O675" s="28"/>
    </row>
    <row r="676" spans="1:15" ht="21" customHeight="1" x14ac:dyDescent="0.25">
      <c r="A676" s="28"/>
      <c r="B676" s="28"/>
      <c r="C676" s="28"/>
      <c r="D676" s="28"/>
      <c r="E676" s="28"/>
      <c r="F676" s="28"/>
      <c r="G676" s="28"/>
      <c r="H676" s="28"/>
      <c r="I676" s="28"/>
      <c r="J676" s="28"/>
      <c r="K676" s="28"/>
      <c r="L676" s="28"/>
      <c r="M676" s="28"/>
      <c r="N676" s="28"/>
      <c r="O676" s="28"/>
    </row>
    <row r="677" spans="1:15" ht="21" customHeight="1" x14ac:dyDescent="0.25">
      <c r="A677" s="28"/>
      <c r="B677" s="28"/>
      <c r="C677" s="28"/>
      <c r="D677" s="28"/>
      <c r="E677" s="28"/>
      <c r="F677" s="28"/>
      <c r="G677" s="28"/>
      <c r="H677" s="28"/>
      <c r="I677" s="28"/>
      <c r="J677" s="28"/>
      <c r="K677" s="28"/>
      <c r="L677" s="28"/>
      <c r="M677" s="28"/>
      <c r="N677" s="28"/>
      <c r="O677" s="28"/>
    </row>
    <row r="678" spans="1:15" ht="21" customHeight="1" x14ac:dyDescent="0.25">
      <c r="A678" s="28"/>
      <c r="B678" s="28"/>
      <c r="C678" s="28"/>
      <c r="D678" s="28"/>
      <c r="E678" s="28"/>
      <c r="F678" s="28"/>
      <c r="G678" s="28"/>
      <c r="H678" s="28"/>
      <c r="I678" s="28"/>
      <c r="J678" s="28"/>
      <c r="K678" s="28"/>
      <c r="L678" s="28"/>
      <c r="M678" s="28"/>
      <c r="N678" s="28"/>
      <c r="O678" s="28"/>
    </row>
    <row r="679" spans="1:15" ht="21" customHeight="1" x14ac:dyDescent="0.25">
      <c r="A679" s="28"/>
      <c r="B679" s="28"/>
      <c r="C679" s="28"/>
      <c r="D679" s="28"/>
      <c r="E679" s="28"/>
      <c r="F679" s="28"/>
      <c r="G679" s="28"/>
      <c r="H679" s="28"/>
      <c r="I679" s="28"/>
      <c r="J679" s="28"/>
      <c r="K679" s="28"/>
      <c r="L679" s="28"/>
      <c r="M679" s="28"/>
      <c r="N679" s="28"/>
      <c r="O679" s="28"/>
    </row>
    <row r="680" spans="1:15" ht="21" customHeight="1" x14ac:dyDescent="0.25">
      <c r="A680" s="28"/>
      <c r="B680" s="28"/>
      <c r="C680" s="28"/>
      <c r="D680" s="28"/>
      <c r="E680" s="28"/>
      <c r="F680" s="28"/>
      <c r="G680" s="28"/>
      <c r="H680" s="28"/>
      <c r="I680" s="28"/>
      <c r="J680" s="28"/>
      <c r="K680" s="28"/>
      <c r="L680" s="28"/>
      <c r="M680" s="28"/>
      <c r="N680" s="28"/>
      <c r="O680" s="28"/>
    </row>
    <row r="681" spans="1:15" ht="21" customHeight="1" x14ac:dyDescent="0.25">
      <c r="A681" s="28"/>
      <c r="B681" s="28"/>
      <c r="C681" s="28"/>
      <c r="D681" s="28"/>
      <c r="E681" s="28"/>
      <c r="F681" s="28"/>
      <c r="G681" s="28"/>
      <c r="H681" s="28"/>
      <c r="I681" s="28"/>
      <c r="J681" s="28"/>
      <c r="K681" s="28"/>
      <c r="L681" s="28"/>
      <c r="M681" s="28"/>
      <c r="N681" s="28"/>
      <c r="O681" s="28"/>
    </row>
    <row r="682" spans="1:15" ht="21" customHeight="1" x14ac:dyDescent="0.25">
      <c r="A682" s="28"/>
      <c r="B682" s="28"/>
      <c r="C682" s="28"/>
      <c r="D682" s="28"/>
      <c r="E682" s="28"/>
      <c r="F682" s="28"/>
      <c r="G682" s="28"/>
      <c r="H682" s="28"/>
      <c r="I682" s="28"/>
      <c r="J682" s="28"/>
      <c r="K682" s="28"/>
      <c r="L682" s="28"/>
      <c r="M682" s="28"/>
      <c r="N682" s="28"/>
      <c r="O682" s="28"/>
    </row>
    <row r="683" spans="1:15" ht="21" customHeight="1" x14ac:dyDescent="0.25">
      <c r="A683" s="28"/>
      <c r="B683" s="28"/>
      <c r="C683" s="28"/>
      <c r="D683" s="28"/>
      <c r="E683" s="28"/>
      <c r="F683" s="28"/>
      <c r="G683" s="28"/>
      <c r="H683" s="28"/>
      <c r="I683" s="28"/>
      <c r="J683" s="28"/>
      <c r="K683" s="28"/>
      <c r="L683" s="28"/>
      <c r="M683" s="28"/>
      <c r="N683" s="28"/>
      <c r="O683" s="28"/>
    </row>
    <row r="684" spans="1:15" ht="21" customHeight="1" x14ac:dyDescent="0.25">
      <c r="A684" s="28"/>
      <c r="B684" s="28"/>
      <c r="C684" s="28"/>
      <c r="D684" s="28"/>
      <c r="E684" s="28"/>
      <c r="F684" s="28"/>
      <c r="G684" s="28"/>
      <c r="H684" s="28"/>
      <c r="I684" s="28"/>
      <c r="J684" s="28"/>
      <c r="K684" s="28"/>
      <c r="L684" s="28"/>
      <c r="M684" s="28"/>
      <c r="N684" s="28"/>
      <c r="O684" s="28"/>
    </row>
    <row r="685" spans="1:15" ht="21" customHeight="1" x14ac:dyDescent="0.25">
      <c r="A685" s="28"/>
      <c r="B685" s="28"/>
      <c r="C685" s="28"/>
      <c r="D685" s="28"/>
      <c r="E685" s="28"/>
      <c r="F685" s="28"/>
      <c r="G685" s="28"/>
      <c r="H685" s="28"/>
      <c r="I685" s="28"/>
      <c r="J685" s="28"/>
      <c r="K685" s="28"/>
      <c r="L685" s="28"/>
      <c r="M685" s="28"/>
      <c r="N685" s="28"/>
      <c r="O685" s="28"/>
    </row>
    <row r="686" spans="1:15" ht="21" customHeight="1" x14ac:dyDescent="0.25">
      <c r="A686" s="28"/>
      <c r="B686" s="28"/>
      <c r="C686" s="28"/>
      <c r="D686" s="28"/>
      <c r="E686" s="28"/>
      <c r="F686" s="28"/>
      <c r="G686" s="28"/>
      <c r="H686" s="28"/>
      <c r="I686" s="28"/>
      <c r="J686" s="28"/>
      <c r="K686" s="28"/>
      <c r="L686" s="28"/>
      <c r="M686" s="28"/>
      <c r="N686" s="28"/>
      <c r="O686" s="28"/>
    </row>
    <row r="687" spans="1:15" ht="21" customHeight="1" x14ac:dyDescent="0.25">
      <c r="A687" s="28"/>
      <c r="B687" s="28"/>
      <c r="C687" s="28"/>
      <c r="D687" s="28"/>
      <c r="E687" s="28"/>
      <c r="F687" s="28"/>
      <c r="G687" s="28"/>
      <c r="H687" s="28"/>
      <c r="I687" s="28"/>
      <c r="J687" s="28"/>
      <c r="K687" s="28"/>
      <c r="L687" s="28"/>
      <c r="M687" s="28"/>
      <c r="N687" s="28"/>
      <c r="O687" s="28"/>
    </row>
    <row r="688" spans="1:15" ht="21" customHeight="1" x14ac:dyDescent="0.25">
      <c r="A688" s="28"/>
      <c r="B688" s="28"/>
      <c r="C688" s="28"/>
      <c r="D688" s="28"/>
      <c r="E688" s="28"/>
      <c r="F688" s="28"/>
      <c r="G688" s="28"/>
      <c r="H688" s="28"/>
      <c r="I688" s="28"/>
      <c r="J688" s="28"/>
      <c r="K688" s="28"/>
      <c r="L688" s="28"/>
      <c r="M688" s="28"/>
      <c r="N688" s="28"/>
      <c r="O688" s="28"/>
    </row>
    <row r="689" spans="1:15" ht="21" customHeight="1" x14ac:dyDescent="0.25">
      <c r="A689" s="28"/>
      <c r="B689" s="28"/>
      <c r="C689" s="28"/>
      <c r="D689" s="28"/>
      <c r="E689" s="28"/>
      <c r="F689" s="28"/>
      <c r="G689" s="28"/>
      <c r="H689" s="28"/>
      <c r="I689" s="28"/>
      <c r="J689" s="28"/>
      <c r="K689" s="28"/>
      <c r="L689" s="28"/>
      <c r="M689" s="28"/>
      <c r="N689" s="28"/>
      <c r="O689" s="28"/>
    </row>
    <row r="690" spans="1:15" ht="21" customHeight="1" x14ac:dyDescent="0.25">
      <c r="A690" s="28"/>
      <c r="B690" s="28"/>
      <c r="C690" s="28"/>
      <c r="D690" s="28"/>
      <c r="E690" s="28"/>
      <c r="F690" s="28"/>
      <c r="G690" s="28"/>
      <c r="H690" s="28"/>
      <c r="I690" s="28"/>
      <c r="J690" s="28"/>
      <c r="K690" s="28"/>
      <c r="L690" s="28"/>
      <c r="M690" s="28"/>
      <c r="N690" s="28"/>
      <c r="O690" s="28"/>
    </row>
    <row r="691" spans="1:15" ht="21" customHeight="1" x14ac:dyDescent="0.25">
      <c r="A691" s="28"/>
      <c r="B691" s="28"/>
      <c r="C691" s="28"/>
      <c r="D691" s="28"/>
      <c r="E691" s="28"/>
      <c r="F691" s="28"/>
      <c r="G691" s="28"/>
      <c r="H691" s="28"/>
      <c r="I691" s="28"/>
      <c r="J691" s="28"/>
      <c r="K691" s="28"/>
      <c r="L691" s="28"/>
      <c r="M691" s="28"/>
      <c r="N691" s="28"/>
      <c r="O691" s="28"/>
    </row>
    <row r="692" spans="1:15" ht="21" customHeight="1" x14ac:dyDescent="0.25">
      <c r="A692" s="28"/>
      <c r="B692" s="28"/>
      <c r="C692" s="28"/>
      <c r="D692" s="28"/>
      <c r="E692" s="28"/>
      <c r="F692" s="28"/>
      <c r="G692" s="28"/>
      <c r="H692" s="28"/>
      <c r="I692" s="28"/>
      <c r="J692" s="28"/>
      <c r="K692" s="28"/>
      <c r="L692" s="28"/>
      <c r="M692" s="28"/>
      <c r="N692" s="28"/>
      <c r="O692" s="28"/>
    </row>
    <row r="693" spans="1:15" ht="21" customHeight="1" x14ac:dyDescent="0.25">
      <c r="A693" s="28"/>
      <c r="B693" s="28"/>
      <c r="C693" s="28"/>
      <c r="D693" s="28"/>
      <c r="E693" s="28"/>
      <c r="F693" s="28"/>
      <c r="G693" s="28"/>
      <c r="H693" s="28"/>
      <c r="I693" s="28"/>
      <c r="J693" s="28"/>
      <c r="K693" s="28"/>
      <c r="L693" s="28"/>
      <c r="M693" s="28"/>
      <c r="N693" s="28"/>
      <c r="O693" s="28"/>
    </row>
    <row r="694" spans="1:15" ht="21" customHeight="1" x14ac:dyDescent="0.25">
      <c r="A694" s="28"/>
      <c r="B694" s="28"/>
      <c r="C694" s="28"/>
      <c r="D694" s="28"/>
      <c r="E694" s="28"/>
      <c r="F694" s="28"/>
      <c r="G694" s="28"/>
      <c r="H694" s="28"/>
      <c r="I694" s="28"/>
      <c r="J694" s="28"/>
      <c r="K694" s="28"/>
      <c r="L694" s="28"/>
      <c r="M694" s="28"/>
      <c r="N694" s="28"/>
      <c r="O694" s="28"/>
    </row>
    <row r="695" spans="1:15" ht="21" customHeight="1" x14ac:dyDescent="0.25">
      <c r="A695" s="28"/>
      <c r="B695" s="28"/>
      <c r="C695" s="28"/>
      <c r="D695" s="28"/>
      <c r="E695" s="28"/>
      <c r="F695" s="28"/>
      <c r="G695" s="28"/>
      <c r="H695" s="28"/>
      <c r="I695" s="28"/>
      <c r="J695" s="28"/>
      <c r="K695" s="28"/>
      <c r="L695" s="28"/>
      <c r="M695" s="28"/>
      <c r="N695" s="28"/>
      <c r="O695" s="28"/>
    </row>
    <row r="696" spans="1:15" ht="21" customHeight="1" x14ac:dyDescent="0.25">
      <c r="A696" s="28"/>
      <c r="B696" s="28"/>
      <c r="C696" s="28"/>
      <c r="D696" s="28"/>
      <c r="E696" s="28"/>
      <c r="F696" s="28"/>
      <c r="G696" s="28"/>
      <c r="H696" s="28"/>
      <c r="I696" s="28"/>
      <c r="J696" s="28"/>
      <c r="K696" s="28"/>
      <c r="L696" s="28"/>
      <c r="M696" s="28"/>
      <c r="N696" s="28"/>
      <c r="O696" s="28"/>
    </row>
    <row r="697" spans="1:15" ht="21" customHeight="1" x14ac:dyDescent="0.25">
      <c r="A697" s="28"/>
      <c r="B697" s="28"/>
      <c r="C697" s="28"/>
      <c r="D697" s="28"/>
      <c r="E697" s="28"/>
      <c r="F697" s="28"/>
      <c r="G697" s="28"/>
      <c r="H697" s="28"/>
      <c r="I697" s="28"/>
      <c r="J697" s="28"/>
      <c r="K697" s="28"/>
      <c r="L697" s="28"/>
      <c r="M697" s="28"/>
      <c r="N697" s="28"/>
      <c r="O697" s="28"/>
    </row>
    <row r="698" spans="1:15" ht="21" customHeight="1" x14ac:dyDescent="0.25">
      <c r="A698" s="28"/>
      <c r="B698" s="28"/>
      <c r="C698" s="28"/>
      <c r="D698" s="28"/>
      <c r="E698" s="28"/>
      <c r="F698" s="28"/>
      <c r="G698" s="28"/>
      <c r="H698" s="28"/>
      <c r="I698" s="28"/>
      <c r="J698" s="28"/>
      <c r="K698" s="28"/>
      <c r="L698" s="28"/>
      <c r="M698" s="28"/>
      <c r="N698" s="28"/>
      <c r="O698" s="28"/>
    </row>
    <row r="699" spans="1:15" ht="21" customHeight="1" x14ac:dyDescent="0.25">
      <c r="A699" s="28"/>
      <c r="B699" s="28"/>
      <c r="C699" s="28"/>
      <c r="D699" s="28"/>
      <c r="E699" s="28"/>
      <c r="F699" s="28"/>
      <c r="G699" s="28"/>
      <c r="H699" s="28"/>
      <c r="I699" s="28"/>
      <c r="J699" s="28"/>
      <c r="K699" s="28"/>
      <c r="L699" s="28"/>
      <c r="M699" s="28"/>
      <c r="N699" s="28"/>
      <c r="O699" s="28"/>
    </row>
    <row r="700" spans="1:15" ht="21" customHeight="1" x14ac:dyDescent="0.25">
      <c r="A700" s="28"/>
      <c r="B700" s="28"/>
      <c r="C700" s="28"/>
      <c r="D700" s="28"/>
      <c r="E700" s="28"/>
      <c r="F700" s="28"/>
      <c r="G700" s="28"/>
      <c r="H700" s="28"/>
      <c r="I700" s="28"/>
      <c r="J700" s="28"/>
      <c r="K700" s="28"/>
      <c r="L700" s="28"/>
      <c r="M700" s="28"/>
      <c r="N700" s="28"/>
      <c r="O700" s="28"/>
    </row>
    <row r="701" spans="1:15" ht="21" customHeight="1" x14ac:dyDescent="0.25">
      <c r="A701" s="28"/>
      <c r="B701" s="28"/>
      <c r="C701" s="28"/>
      <c r="D701" s="28"/>
      <c r="E701" s="28"/>
      <c r="F701" s="28"/>
      <c r="G701" s="28"/>
      <c r="H701" s="28"/>
      <c r="I701" s="28"/>
      <c r="J701" s="28"/>
      <c r="K701" s="28"/>
      <c r="L701" s="28"/>
      <c r="M701" s="28"/>
      <c r="N701" s="28"/>
      <c r="O701" s="28"/>
    </row>
    <row r="702" spans="1:15" ht="21" customHeight="1" x14ac:dyDescent="0.25">
      <c r="A702" s="28"/>
      <c r="B702" s="28"/>
      <c r="C702" s="28"/>
      <c r="D702" s="28"/>
      <c r="E702" s="28"/>
      <c r="F702" s="28"/>
      <c r="G702" s="28"/>
      <c r="H702" s="28"/>
      <c r="I702" s="28"/>
      <c r="J702" s="28"/>
      <c r="K702" s="28"/>
      <c r="L702" s="28"/>
      <c r="M702" s="28"/>
      <c r="N702" s="28"/>
      <c r="O702" s="28"/>
    </row>
    <row r="703" spans="1:15" ht="21" customHeight="1" x14ac:dyDescent="0.25">
      <c r="A703" s="28"/>
      <c r="B703" s="28"/>
      <c r="C703" s="28"/>
      <c r="D703" s="28"/>
      <c r="E703" s="28"/>
      <c r="F703" s="28"/>
      <c r="G703" s="28"/>
      <c r="H703" s="28"/>
      <c r="I703" s="28"/>
      <c r="J703" s="28"/>
      <c r="K703" s="28"/>
      <c r="L703" s="28"/>
      <c r="M703" s="28"/>
      <c r="N703" s="28"/>
      <c r="O703" s="28"/>
    </row>
    <row r="704" spans="1:15" ht="21" customHeight="1" x14ac:dyDescent="0.25">
      <c r="A704" s="28"/>
      <c r="B704" s="28"/>
      <c r="C704" s="28"/>
      <c r="D704" s="28"/>
      <c r="E704" s="28"/>
      <c r="F704" s="28"/>
      <c r="G704" s="28"/>
      <c r="H704" s="28"/>
      <c r="I704" s="28"/>
      <c r="J704" s="28"/>
      <c r="K704" s="28"/>
      <c r="L704" s="28"/>
      <c r="M704" s="28"/>
      <c r="N704" s="28"/>
      <c r="O704" s="28"/>
    </row>
    <row r="705" spans="1:15" ht="21" customHeight="1" x14ac:dyDescent="0.25">
      <c r="A705" s="28"/>
      <c r="B705" s="28"/>
      <c r="C705" s="28"/>
      <c r="D705" s="28"/>
      <c r="E705" s="28"/>
      <c r="F705" s="28"/>
      <c r="G705" s="28"/>
      <c r="H705" s="28"/>
      <c r="I705" s="28"/>
      <c r="J705" s="28"/>
      <c r="K705" s="28"/>
      <c r="L705" s="28"/>
      <c r="M705" s="28"/>
      <c r="N705" s="28"/>
      <c r="O705" s="28"/>
    </row>
    <row r="706" spans="1:15" ht="21" customHeight="1" x14ac:dyDescent="0.25">
      <c r="A706" s="28"/>
      <c r="B706" s="28"/>
      <c r="C706" s="28"/>
      <c r="D706" s="28"/>
      <c r="E706" s="28"/>
      <c r="F706" s="28"/>
      <c r="G706" s="28"/>
      <c r="H706" s="28"/>
      <c r="I706" s="28"/>
      <c r="J706" s="28"/>
      <c r="K706" s="28"/>
      <c r="L706" s="28"/>
      <c r="M706" s="28"/>
      <c r="N706" s="28"/>
      <c r="O706" s="28"/>
    </row>
    <row r="707" spans="1:15" ht="21" customHeight="1" x14ac:dyDescent="0.25">
      <c r="A707" s="28"/>
      <c r="B707" s="28"/>
      <c r="C707" s="28"/>
      <c r="D707" s="28"/>
      <c r="E707" s="28"/>
      <c r="F707" s="28"/>
      <c r="G707" s="28"/>
      <c r="H707" s="28"/>
      <c r="I707" s="28"/>
      <c r="J707" s="28"/>
      <c r="K707" s="28"/>
      <c r="L707" s="28"/>
      <c r="M707" s="28"/>
      <c r="N707" s="28"/>
      <c r="O707" s="28"/>
    </row>
    <row r="708" spans="1:15" ht="21" customHeight="1" x14ac:dyDescent="0.25">
      <c r="A708" s="28"/>
      <c r="B708" s="28"/>
      <c r="C708" s="28"/>
      <c r="D708" s="28"/>
      <c r="E708" s="28"/>
      <c r="F708" s="28"/>
      <c r="G708" s="28"/>
      <c r="H708" s="28"/>
      <c r="I708" s="28"/>
      <c r="J708" s="28"/>
      <c r="K708" s="28"/>
      <c r="L708" s="28"/>
      <c r="M708" s="28"/>
      <c r="N708" s="28"/>
      <c r="O708" s="28"/>
    </row>
    <row r="709" spans="1:15" ht="21" customHeight="1" x14ac:dyDescent="0.25">
      <c r="A709" s="28"/>
      <c r="B709" s="28"/>
      <c r="C709" s="28"/>
      <c r="D709" s="28"/>
      <c r="E709" s="28"/>
      <c r="F709" s="28"/>
      <c r="G709" s="28"/>
      <c r="H709" s="28"/>
      <c r="I709" s="28"/>
      <c r="J709" s="28"/>
      <c r="K709" s="28"/>
      <c r="L709" s="28"/>
      <c r="M709" s="28"/>
      <c r="N709" s="28"/>
      <c r="O709" s="28"/>
    </row>
    <row r="710" spans="1:15" ht="21" customHeight="1" x14ac:dyDescent="0.25">
      <c r="A710" s="28"/>
      <c r="B710" s="28"/>
      <c r="C710" s="28"/>
      <c r="D710" s="28"/>
      <c r="E710" s="28"/>
      <c r="F710" s="28"/>
      <c r="G710" s="28"/>
      <c r="H710" s="28"/>
      <c r="I710" s="28"/>
      <c r="J710" s="28"/>
      <c r="K710" s="28"/>
      <c r="L710" s="28"/>
      <c r="M710" s="28"/>
      <c r="N710" s="28"/>
      <c r="O710" s="28"/>
    </row>
    <row r="711" spans="1:15" ht="21" customHeight="1" x14ac:dyDescent="0.25">
      <c r="A711" s="28"/>
      <c r="B711" s="28"/>
      <c r="C711" s="28"/>
      <c r="D711" s="28"/>
      <c r="E711" s="28"/>
      <c r="F711" s="28"/>
      <c r="G711" s="28"/>
      <c r="H711" s="28"/>
      <c r="I711" s="28"/>
      <c r="J711" s="28"/>
      <c r="K711" s="28"/>
      <c r="L711" s="28"/>
      <c r="M711" s="28"/>
      <c r="N711" s="28"/>
      <c r="O711" s="28"/>
    </row>
    <row r="712" spans="1:15" ht="21" customHeight="1" x14ac:dyDescent="0.25">
      <c r="A712" s="28"/>
      <c r="B712" s="28"/>
      <c r="C712" s="28"/>
      <c r="D712" s="28"/>
      <c r="E712" s="28"/>
      <c r="F712" s="28"/>
      <c r="G712" s="28"/>
      <c r="H712" s="28"/>
      <c r="I712" s="28"/>
      <c r="J712" s="28"/>
      <c r="K712" s="28"/>
      <c r="L712" s="28"/>
      <c r="M712" s="28"/>
      <c r="N712" s="28"/>
      <c r="O712" s="28"/>
    </row>
    <row r="713" spans="1:15" ht="21" customHeight="1" x14ac:dyDescent="0.25">
      <c r="A713" s="28"/>
      <c r="B713" s="28"/>
      <c r="C713" s="28"/>
      <c r="D713" s="28"/>
      <c r="E713" s="28"/>
      <c r="F713" s="28"/>
      <c r="G713" s="28"/>
      <c r="H713" s="28"/>
      <c r="I713" s="28"/>
      <c r="J713" s="28"/>
      <c r="K713" s="28"/>
      <c r="L713" s="28"/>
      <c r="M713" s="28"/>
      <c r="N713" s="28"/>
      <c r="O713" s="28"/>
    </row>
    <row r="714" spans="1:15" ht="21" customHeight="1" x14ac:dyDescent="0.25">
      <c r="A714" s="28"/>
      <c r="B714" s="28"/>
      <c r="C714" s="28"/>
      <c r="D714" s="28"/>
      <c r="E714" s="28"/>
      <c r="F714" s="28"/>
      <c r="G714" s="28"/>
      <c r="H714" s="28"/>
      <c r="I714" s="28"/>
      <c r="J714" s="28"/>
      <c r="K714" s="28"/>
      <c r="L714" s="28"/>
      <c r="M714" s="28"/>
      <c r="N714" s="28"/>
      <c r="O714" s="28"/>
    </row>
    <row r="715" spans="1:15" ht="21" customHeight="1" x14ac:dyDescent="0.25">
      <c r="A715" s="28"/>
      <c r="B715" s="28"/>
      <c r="C715" s="28"/>
      <c r="D715" s="28"/>
      <c r="E715" s="28"/>
      <c r="F715" s="28"/>
      <c r="G715" s="28"/>
      <c r="H715" s="28"/>
      <c r="I715" s="28"/>
      <c r="J715" s="28"/>
      <c r="K715" s="28"/>
      <c r="L715" s="28"/>
      <c r="M715" s="28"/>
      <c r="N715" s="28"/>
      <c r="O715" s="28"/>
    </row>
    <row r="716" spans="1:15" ht="21" customHeight="1" x14ac:dyDescent="0.25">
      <c r="A716" s="28"/>
      <c r="B716" s="28"/>
      <c r="C716" s="28"/>
      <c r="D716" s="28"/>
      <c r="E716" s="28"/>
      <c r="F716" s="28"/>
      <c r="G716" s="28"/>
      <c r="H716" s="28"/>
      <c r="I716" s="28"/>
      <c r="J716" s="28"/>
      <c r="K716" s="28"/>
      <c r="L716" s="28"/>
      <c r="M716" s="28"/>
      <c r="N716" s="28"/>
      <c r="O716" s="28"/>
    </row>
    <row r="717" spans="1:15" ht="21" customHeight="1" x14ac:dyDescent="0.25">
      <c r="A717" s="28"/>
      <c r="B717" s="28"/>
      <c r="C717" s="28"/>
      <c r="D717" s="28"/>
      <c r="E717" s="28"/>
      <c r="F717" s="28"/>
      <c r="G717" s="28"/>
      <c r="H717" s="28"/>
      <c r="I717" s="28"/>
      <c r="J717" s="28"/>
      <c r="K717" s="28"/>
      <c r="L717" s="28"/>
      <c r="M717" s="28"/>
      <c r="N717" s="28"/>
      <c r="O717" s="28"/>
    </row>
    <row r="718" spans="1:15" ht="21" customHeight="1" x14ac:dyDescent="0.25">
      <c r="A718" s="28"/>
      <c r="B718" s="28"/>
      <c r="C718" s="28"/>
      <c r="D718" s="28"/>
      <c r="E718" s="28"/>
      <c r="F718" s="28"/>
      <c r="G718" s="28"/>
      <c r="H718" s="28"/>
      <c r="I718" s="28"/>
      <c r="J718" s="28"/>
      <c r="K718" s="28"/>
      <c r="L718" s="28"/>
      <c r="M718" s="28"/>
      <c r="N718" s="28"/>
      <c r="O718" s="28"/>
    </row>
    <row r="719" spans="1:15" ht="21" customHeight="1" x14ac:dyDescent="0.25">
      <c r="A719" s="28"/>
      <c r="B719" s="28"/>
      <c r="C719" s="28"/>
      <c r="D719" s="28"/>
      <c r="E719" s="28"/>
      <c r="F719" s="28"/>
      <c r="G719" s="28"/>
      <c r="H719" s="28"/>
      <c r="I719" s="28"/>
      <c r="J719" s="28"/>
      <c r="K719" s="28"/>
      <c r="L719" s="28"/>
      <c r="M719" s="28"/>
      <c r="N719" s="28"/>
      <c r="O719" s="28"/>
    </row>
    <row r="720" spans="1:15" ht="21" customHeight="1" x14ac:dyDescent="0.25">
      <c r="A720" s="28"/>
      <c r="B720" s="28"/>
      <c r="C720" s="28"/>
      <c r="D720" s="28"/>
      <c r="E720" s="28"/>
      <c r="F720" s="28"/>
      <c r="G720" s="28"/>
      <c r="H720" s="28"/>
      <c r="I720" s="28"/>
      <c r="J720" s="28"/>
      <c r="K720" s="28"/>
      <c r="L720" s="28"/>
      <c r="M720" s="28"/>
      <c r="N720" s="28"/>
      <c r="O720" s="28"/>
    </row>
    <row r="721" spans="1:15" ht="21" customHeight="1" x14ac:dyDescent="0.25">
      <c r="A721" s="28"/>
      <c r="B721" s="28"/>
      <c r="C721" s="28"/>
      <c r="D721" s="28"/>
      <c r="E721" s="28"/>
      <c r="F721" s="28"/>
      <c r="G721" s="28"/>
      <c r="H721" s="28"/>
      <c r="I721" s="28"/>
      <c r="J721" s="28"/>
      <c r="K721" s="28"/>
      <c r="L721" s="28"/>
      <c r="M721" s="28"/>
      <c r="N721" s="28"/>
      <c r="O721" s="28"/>
    </row>
    <row r="722" spans="1:15" ht="21" customHeight="1" x14ac:dyDescent="0.25">
      <c r="A722" s="28"/>
      <c r="B722" s="28"/>
      <c r="C722" s="28"/>
      <c r="D722" s="28"/>
      <c r="E722" s="28"/>
      <c r="F722" s="28"/>
      <c r="G722" s="28"/>
      <c r="H722" s="28"/>
      <c r="I722" s="28"/>
      <c r="J722" s="28"/>
      <c r="K722" s="28"/>
      <c r="L722" s="28"/>
      <c r="M722" s="28"/>
      <c r="N722" s="28"/>
      <c r="O722" s="28"/>
    </row>
    <row r="723" spans="1:15" ht="21" customHeight="1" x14ac:dyDescent="0.25">
      <c r="A723" s="28"/>
      <c r="B723" s="28"/>
      <c r="C723" s="28"/>
      <c r="D723" s="28"/>
      <c r="E723" s="28"/>
      <c r="F723" s="28"/>
      <c r="G723" s="28"/>
      <c r="H723" s="28"/>
      <c r="I723" s="28"/>
      <c r="J723" s="28"/>
      <c r="K723" s="28"/>
      <c r="L723" s="28"/>
      <c r="M723" s="28"/>
      <c r="N723" s="28"/>
      <c r="O723" s="28"/>
    </row>
    <row r="724" spans="1:15" ht="21" customHeight="1" x14ac:dyDescent="0.25">
      <c r="A724" s="28"/>
      <c r="B724" s="28"/>
      <c r="C724" s="28"/>
      <c r="D724" s="28"/>
      <c r="E724" s="28"/>
      <c r="F724" s="28"/>
      <c r="G724" s="28"/>
      <c r="H724" s="28"/>
      <c r="I724" s="28"/>
      <c r="J724" s="28"/>
      <c r="K724" s="28"/>
      <c r="L724" s="28"/>
      <c r="M724" s="28"/>
      <c r="N724" s="28"/>
      <c r="O724" s="28"/>
    </row>
    <row r="725" spans="1:15" ht="21" customHeight="1" x14ac:dyDescent="0.25">
      <c r="A725" s="28"/>
      <c r="B725" s="28"/>
      <c r="C725" s="28"/>
      <c r="D725" s="28"/>
      <c r="E725" s="28"/>
      <c r="F725" s="28"/>
      <c r="G725" s="28"/>
      <c r="H725" s="28"/>
      <c r="I725" s="28"/>
      <c r="J725" s="28"/>
      <c r="K725" s="28"/>
      <c r="L725" s="28"/>
      <c r="M725" s="28"/>
      <c r="N725" s="28"/>
      <c r="O725" s="28"/>
    </row>
    <row r="726" spans="1:15" ht="21" customHeight="1" x14ac:dyDescent="0.25">
      <c r="A726" s="28"/>
      <c r="B726" s="28"/>
      <c r="C726" s="28"/>
      <c r="D726" s="28"/>
      <c r="E726" s="28"/>
      <c r="F726" s="28"/>
      <c r="G726" s="28"/>
      <c r="H726" s="28"/>
      <c r="I726" s="28"/>
      <c r="J726" s="28"/>
      <c r="K726" s="28"/>
      <c r="L726" s="28"/>
      <c r="M726" s="28"/>
      <c r="N726" s="28"/>
      <c r="O726" s="28"/>
    </row>
    <row r="727" spans="1:15" ht="21" customHeight="1" x14ac:dyDescent="0.25">
      <c r="A727" s="28"/>
      <c r="B727" s="28"/>
      <c r="C727" s="28"/>
      <c r="D727" s="28"/>
      <c r="E727" s="28"/>
      <c r="F727" s="28"/>
      <c r="G727" s="28"/>
      <c r="H727" s="28"/>
      <c r="I727" s="28"/>
      <c r="J727" s="28"/>
      <c r="K727" s="28"/>
      <c r="L727" s="28"/>
      <c r="M727" s="28"/>
      <c r="N727" s="28"/>
      <c r="O727" s="28"/>
    </row>
    <row r="728" spans="1:15" ht="21" customHeight="1" x14ac:dyDescent="0.25">
      <c r="A728" s="28"/>
      <c r="B728" s="28"/>
      <c r="C728" s="28"/>
      <c r="D728" s="28"/>
      <c r="E728" s="28"/>
      <c r="F728" s="28"/>
      <c r="G728" s="28"/>
      <c r="H728" s="28"/>
      <c r="I728" s="28"/>
      <c r="J728" s="28"/>
      <c r="K728" s="28"/>
      <c r="L728" s="28"/>
      <c r="M728" s="28"/>
      <c r="N728" s="28"/>
      <c r="O728" s="28"/>
    </row>
    <row r="729" spans="1:15" ht="21" customHeight="1" x14ac:dyDescent="0.25">
      <c r="A729" s="28"/>
      <c r="B729" s="28"/>
      <c r="C729" s="28"/>
      <c r="D729" s="28"/>
      <c r="E729" s="28"/>
      <c r="F729" s="28"/>
      <c r="G729" s="28"/>
      <c r="H729" s="28"/>
      <c r="I729" s="28"/>
      <c r="J729" s="28"/>
      <c r="K729" s="28"/>
      <c r="L729" s="28"/>
      <c r="M729" s="28"/>
      <c r="N729" s="28"/>
      <c r="O729" s="28"/>
    </row>
    <row r="730" spans="1:15" ht="21" customHeight="1" x14ac:dyDescent="0.25">
      <c r="A730" s="28"/>
      <c r="B730" s="28"/>
      <c r="C730" s="28"/>
      <c r="D730" s="28"/>
      <c r="E730" s="28"/>
      <c r="F730" s="28"/>
      <c r="G730" s="28"/>
      <c r="H730" s="28"/>
      <c r="I730" s="28"/>
      <c r="J730" s="28"/>
      <c r="K730" s="28"/>
      <c r="L730" s="28"/>
      <c r="M730" s="28"/>
      <c r="N730" s="28"/>
      <c r="O730" s="28"/>
    </row>
    <row r="731" spans="1:15" ht="21" customHeight="1" x14ac:dyDescent="0.25">
      <c r="A731" s="28"/>
      <c r="B731" s="28"/>
      <c r="C731" s="28"/>
      <c r="D731" s="28"/>
      <c r="E731" s="28"/>
      <c r="F731" s="28"/>
      <c r="G731" s="28"/>
      <c r="H731" s="28"/>
      <c r="I731" s="28"/>
      <c r="J731" s="28"/>
      <c r="K731" s="28"/>
      <c r="L731" s="28"/>
      <c r="M731" s="28"/>
      <c r="N731" s="28"/>
      <c r="O731" s="28"/>
    </row>
    <row r="732" spans="1:15" ht="21" customHeight="1" x14ac:dyDescent="0.25">
      <c r="A732" s="28"/>
      <c r="B732" s="28"/>
      <c r="C732" s="28"/>
      <c r="D732" s="28"/>
      <c r="E732" s="28"/>
      <c r="F732" s="28"/>
      <c r="G732" s="28"/>
      <c r="H732" s="28"/>
      <c r="I732" s="28"/>
      <c r="J732" s="28"/>
      <c r="K732" s="28"/>
      <c r="L732" s="28"/>
      <c r="M732" s="28"/>
      <c r="N732" s="28"/>
      <c r="O732" s="28"/>
    </row>
    <row r="733" spans="1:15" ht="21" customHeight="1" x14ac:dyDescent="0.25">
      <c r="A733" s="28"/>
      <c r="B733" s="28"/>
      <c r="C733" s="28"/>
      <c r="D733" s="28"/>
      <c r="E733" s="28"/>
      <c r="F733" s="28"/>
      <c r="G733" s="28"/>
      <c r="H733" s="28"/>
      <c r="I733" s="28"/>
      <c r="J733" s="28"/>
      <c r="K733" s="28"/>
      <c r="L733" s="28"/>
      <c r="M733" s="28"/>
      <c r="N733" s="28"/>
      <c r="O733" s="28"/>
    </row>
    <row r="734" spans="1:15" ht="21" customHeight="1" x14ac:dyDescent="0.25">
      <c r="A734" s="28"/>
      <c r="B734" s="28"/>
      <c r="C734" s="28"/>
      <c r="D734" s="28"/>
      <c r="E734" s="28"/>
      <c r="F734" s="28"/>
      <c r="G734" s="28"/>
      <c r="H734" s="28"/>
      <c r="I734" s="28"/>
      <c r="J734" s="28"/>
      <c r="K734" s="28"/>
      <c r="L734" s="28"/>
      <c r="M734" s="28"/>
      <c r="N734" s="28"/>
      <c r="O734" s="28"/>
    </row>
    <row r="735" spans="1:15" ht="21" customHeight="1" x14ac:dyDescent="0.25">
      <c r="A735" s="28"/>
      <c r="B735" s="28"/>
      <c r="C735" s="28"/>
      <c r="D735" s="28"/>
      <c r="E735" s="28"/>
      <c r="F735" s="28"/>
      <c r="G735" s="28"/>
      <c r="H735" s="28"/>
      <c r="I735" s="28"/>
      <c r="J735" s="28"/>
      <c r="K735" s="28"/>
      <c r="L735" s="28"/>
      <c r="M735" s="28"/>
      <c r="N735" s="28"/>
      <c r="O735" s="28"/>
    </row>
    <row r="736" spans="1:15" ht="21" customHeight="1" x14ac:dyDescent="0.25">
      <c r="A736" s="28"/>
      <c r="B736" s="28"/>
      <c r="C736" s="28"/>
      <c r="D736" s="28"/>
      <c r="E736" s="28"/>
      <c r="F736" s="28"/>
      <c r="G736" s="28"/>
      <c r="H736" s="28"/>
      <c r="I736" s="28"/>
      <c r="J736" s="28"/>
      <c r="K736" s="28"/>
      <c r="L736" s="28"/>
      <c r="M736" s="28"/>
      <c r="N736" s="28"/>
      <c r="O736" s="28"/>
    </row>
    <row r="737" spans="1:15" ht="21" customHeight="1" x14ac:dyDescent="0.25">
      <c r="A737" s="28"/>
      <c r="B737" s="28"/>
      <c r="C737" s="28"/>
      <c r="D737" s="28"/>
      <c r="E737" s="28"/>
      <c r="F737" s="28"/>
      <c r="G737" s="28"/>
      <c r="H737" s="28"/>
      <c r="I737" s="28"/>
      <c r="J737" s="28"/>
      <c r="K737" s="28"/>
      <c r="L737" s="28"/>
      <c r="M737" s="28"/>
      <c r="N737" s="28"/>
      <c r="O737" s="28"/>
    </row>
    <row r="738" spans="1:15" ht="21" customHeight="1" x14ac:dyDescent="0.25">
      <c r="A738" s="28"/>
      <c r="B738" s="28"/>
      <c r="C738" s="28"/>
      <c r="D738" s="28"/>
      <c r="E738" s="28"/>
      <c r="F738" s="28"/>
      <c r="G738" s="28"/>
      <c r="H738" s="28"/>
      <c r="I738" s="28"/>
      <c r="J738" s="28"/>
      <c r="K738" s="28"/>
      <c r="L738" s="28"/>
      <c r="M738" s="28"/>
      <c r="N738" s="28"/>
      <c r="O738" s="28"/>
    </row>
    <row r="739" spans="1:15" ht="21" customHeight="1" x14ac:dyDescent="0.25">
      <c r="A739" s="28"/>
      <c r="B739" s="28"/>
      <c r="C739" s="28"/>
      <c r="D739" s="28"/>
      <c r="E739" s="28"/>
      <c r="F739" s="28"/>
      <c r="G739" s="28"/>
      <c r="H739" s="28"/>
      <c r="I739" s="28"/>
      <c r="J739" s="28"/>
      <c r="K739" s="28"/>
      <c r="L739" s="28"/>
      <c r="M739" s="28"/>
      <c r="N739" s="28"/>
      <c r="O739" s="28"/>
    </row>
    <row r="740" spans="1:15" ht="21" customHeight="1" x14ac:dyDescent="0.25">
      <c r="A740" s="28"/>
      <c r="B740" s="28"/>
      <c r="C740" s="28"/>
      <c r="D740" s="28"/>
      <c r="E740" s="28"/>
      <c r="F740" s="28"/>
      <c r="G740" s="28"/>
      <c r="H740" s="28"/>
      <c r="I740" s="28"/>
      <c r="J740" s="28"/>
      <c r="K740" s="28"/>
      <c r="L740" s="28"/>
      <c r="M740" s="28"/>
      <c r="N740" s="28"/>
      <c r="O740" s="28"/>
    </row>
    <row r="741" spans="1:15" ht="21" customHeight="1" x14ac:dyDescent="0.25">
      <c r="A741" s="28"/>
      <c r="B741" s="28"/>
      <c r="C741" s="28"/>
      <c r="D741" s="28"/>
      <c r="E741" s="28"/>
      <c r="F741" s="28"/>
      <c r="G741" s="28"/>
      <c r="H741" s="28"/>
      <c r="I741" s="28"/>
      <c r="J741" s="28"/>
      <c r="K741" s="28"/>
      <c r="L741" s="28"/>
      <c r="M741" s="28"/>
      <c r="N741" s="28"/>
      <c r="O741" s="28"/>
    </row>
    <row r="742" spans="1:15" ht="21" customHeight="1" x14ac:dyDescent="0.25">
      <c r="A742" s="28"/>
      <c r="B742" s="28"/>
      <c r="C742" s="28"/>
      <c r="D742" s="28"/>
      <c r="E742" s="28"/>
      <c r="F742" s="28"/>
      <c r="G742" s="28"/>
      <c r="H742" s="28"/>
      <c r="I742" s="28"/>
      <c r="J742" s="28"/>
      <c r="K742" s="28"/>
      <c r="L742" s="28"/>
      <c r="M742" s="28"/>
      <c r="N742" s="28"/>
      <c r="O742" s="28"/>
    </row>
    <row r="743" spans="1:15" ht="21" customHeight="1" x14ac:dyDescent="0.25">
      <c r="A743" s="28"/>
      <c r="B743" s="28"/>
      <c r="C743" s="28"/>
      <c r="D743" s="28"/>
      <c r="E743" s="28"/>
      <c r="F743" s="28"/>
      <c r="G743" s="28"/>
      <c r="H743" s="28"/>
      <c r="I743" s="28"/>
      <c r="J743" s="28"/>
      <c r="K743" s="28"/>
      <c r="L743" s="28"/>
      <c r="M743" s="28"/>
      <c r="N743" s="28"/>
      <c r="O743" s="28"/>
    </row>
    <row r="744" spans="1:15" ht="21" customHeight="1" x14ac:dyDescent="0.25">
      <c r="A744" s="28"/>
      <c r="B744" s="28"/>
      <c r="C744" s="28"/>
      <c r="D744" s="28"/>
      <c r="E744" s="28"/>
      <c r="F744" s="28"/>
      <c r="G744" s="28"/>
      <c r="H744" s="28"/>
      <c r="I744" s="28"/>
      <c r="J744" s="28"/>
      <c r="K744" s="28"/>
      <c r="L744" s="28"/>
      <c r="M744" s="28"/>
      <c r="N744" s="28"/>
      <c r="O744" s="28"/>
    </row>
    <row r="745" spans="1:15" ht="21" customHeight="1" x14ac:dyDescent="0.25">
      <c r="A745" s="28"/>
      <c r="B745" s="28"/>
      <c r="C745" s="28"/>
      <c r="D745" s="28"/>
      <c r="E745" s="28"/>
      <c r="F745" s="28"/>
      <c r="G745" s="28"/>
      <c r="H745" s="28"/>
      <c r="I745" s="28"/>
      <c r="J745" s="28"/>
      <c r="K745" s="28"/>
      <c r="L745" s="28"/>
      <c r="M745" s="28"/>
      <c r="N745" s="28"/>
      <c r="O745" s="28"/>
    </row>
    <row r="746" spans="1:15" ht="21" customHeight="1" x14ac:dyDescent="0.25">
      <c r="A746" s="28"/>
      <c r="B746" s="28"/>
      <c r="C746" s="28"/>
      <c r="D746" s="28"/>
      <c r="E746" s="28"/>
      <c r="F746" s="28"/>
      <c r="G746" s="28"/>
      <c r="H746" s="28"/>
      <c r="I746" s="28"/>
      <c r="J746" s="28"/>
      <c r="K746" s="28"/>
      <c r="L746" s="28"/>
      <c r="M746" s="28"/>
      <c r="N746" s="28"/>
      <c r="O746" s="28"/>
    </row>
    <row r="747" spans="1:15" ht="21" customHeight="1" x14ac:dyDescent="0.25">
      <c r="A747" s="28"/>
      <c r="B747" s="28"/>
      <c r="C747" s="28"/>
      <c r="D747" s="28"/>
      <c r="E747" s="28"/>
      <c r="F747" s="28"/>
      <c r="G747" s="28"/>
      <c r="H747" s="28"/>
      <c r="I747" s="28"/>
      <c r="J747" s="28"/>
      <c r="K747" s="28"/>
      <c r="L747" s="28"/>
      <c r="M747" s="28"/>
      <c r="N747" s="28"/>
      <c r="O747" s="28"/>
    </row>
    <row r="748" spans="1:15" ht="21" customHeight="1" x14ac:dyDescent="0.25">
      <c r="A748" s="28"/>
      <c r="B748" s="28"/>
      <c r="C748" s="28"/>
      <c r="D748" s="28"/>
      <c r="E748" s="28"/>
      <c r="F748" s="28"/>
      <c r="G748" s="28"/>
      <c r="H748" s="28"/>
      <c r="I748" s="28"/>
      <c r="J748" s="28"/>
      <c r="K748" s="28"/>
      <c r="L748" s="28"/>
      <c r="M748" s="28"/>
      <c r="N748" s="28"/>
      <c r="O748" s="28"/>
    </row>
    <row r="749" spans="1:15" ht="21" customHeight="1" x14ac:dyDescent="0.25">
      <c r="A749" s="28"/>
      <c r="B749" s="28"/>
      <c r="C749" s="28"/>
      <c r="D749" s="28"/>
      <c r="E749" s="28"/>
      <c r="F749" s="28"/>
      <c r="G749" s="28"/>
      <c r="H749" s="28"/>
      <c r="I749" s="28"/>
      <c r="J749" s="28"/>
      <c r="K749" s="28"/>
      <c r="L749" s="28"/>
      <c r="M749" s="28"/>
      <c r="N749" s="28"/>
      <c r="O749" s="28"/>
    </row>
    <row r="750" spans="1:15" ht="21" customHeight="1" x14ac:dyDescent="0.25">
      <c r="A750" s="28"/>
      <c r="B750" s="28"/>
      <c r="C750" s="28"/>
      <c r="D750" s="28"/>
      <c r="E750" s="28"/>
      <c r="F750" s="28"/>
      <c r="G750" s="28"/>
      <c r="H750" s="28"/>
      <c r="I750" s="28"/>
      <c r="J750" s="28"/>
      <c r="K750" s="28"/>
      <c r="L750" s="28"/>
      <c r="M750" s="28"/>
      <c r="N750" s="28"/>
      <c r="O750" s="28"/>
    </row>
    <row r="751" spans="1:15" ht="21" customHeight="1" x14ac:dyDescent="0.25">
      <c r="A751" s="28"/>
      <c r="B751" s="28"/>
      <c r="C751" s="28"/>
      <c r="D751" s="28"/>
      <c r="E751" s="28"/>
      <c r="F751" s="28"/>
      <c r="G751" s="28"/>
      <c r="H751" s="28"/>
      <c r="I751" s="28"/>
      <c r="J751" s="28"/>
      <c r="K751" s="28"/>
      <c r="L751" s="28"/>
      <c r="M751" s="28"/>
      <c r="N751" s="28"/>
      <c r="O751" s="28"/>
    </row>
    <row r="752" spans="1:15" ht="21" customHeight="1" x14ac:dyDescent="0.25">
      <c r="A752" s="28"/>
      <c r="B752" s="28"/>
      <c r="C752" s="28"/>
      <c r="D752" s="28"/>
      <c r="E752" s="28"/>
      <c r="F752" s="28"/>
      <c r="G752" s="28"/>
      <c r="H752" s="28"/>
      <c r="I752" s="28"/>
      <c r="J752" s="28"/>
      <c r="K752" s="28"/>
      <c r="L752" s="28"/>
      <c r="M752" s="28"/>
      <c r="N752" s="28"/>
      <c r="O752" s="28"/>
    </row>
    <row r="753" spans="1:15" ht="21" customHeight="1" x14ac:dyDescent="0.25">
      <c r="A753" s="28"/>
      <c r="B753" s="28"/>
      <c r="C753" s="28"/>
      <c r="D753" s="28"/>
      <c r="E753" s="28"/>
      <c r="F753" s="28"/>
      <c r="G753" s="28"/>
      <c r="H753" s="28"/>
      <c r="I753" s="28"/>
      <c r="J753" s="28"/>
      <c r="K753" s="28"/>
      <c r="L753" s="28"/>
      <c r="M753" s="28"/>
      <c r="N753" s="28"/>
      <c r="O753" s="28"/>
    </row>
    <row r="754" spans="1:15" ht="21" customHeight="1" x14ac:dyDescent="0.25">
      <c r="A754" s="28"/>
      <c r="B754" s="28"/>
      <c r="C754" s="28"/>
      <c r="D754" s="28"/>
      <c r="E754" s="28"/>
      <c r="F754" s="28"/>
      <c r="G754" s="28"/>
      <c r="H754" s="28"/>
      <c r="I754" s="28"/>
      <c r="J754" s="28"/>
      <c r="K754" s="28"/>
      <c r="L754" s="28"/>
      <c r="M754" s="28"/>
      <c r="N754" s="28"/>
      <c r="O754" s="28"/>
    </row>
    <row r="755" spans="1:15" ht="21" customHeight="1" x14ac:dyDescent="0.25">
      <c r="A755" s="28"/>
      <c r="B755" s="28"/>
      <c r="C755" s="28"/>
      <c r="D755" s="28"/>
      <c r="E755" s="28"/>
      <c r="F755" s="28"/>
      <c r="G755" s="28"/>
      <c r="H755" s="28"/>
      <c r="I755" s="28"/>
      <c r="J755" s="28"/>
      <c r="K755" s="28"/>
      <c r="L755" s="28"/>
      <c r="M755" s="28"/>
      <c r="N755" s="28"/>
      <c r="O755" s="28"/>
    </row>
    <row r="756" spans="1:15" ht="21" customHeight="1" x14ac:dyDescent="0.25">
      <c r="A756" s="28"/>
      <c r="B756" s="28"/>
      <c r="C756" s="28"/>
      <c r="D756" s="28"/>
      <c r="E756" s="28"/>
      <c r="F756" s="28"/>
      <c r="G756" s="28"/>
      <c r="H756" s="28"/>
      <c r="I756" s="28"/>
      <c r="J756" s="28"/>
      <c r="K756" s="28"/>
      <c r="L756" s="28"/>
      <c r="M756" s="28"/>
      <c r="N756" s="28"/>
      <c r="O756" s="28"/>
    </row>
    <row r="757" spans="1:15" ht="21" customHeight="1" x14ac:dyDescent="0.25">
      <c r="A757" s="28"/>
      <c r="B757" s="28"/>
      <c r="C757" s="28"/>
      <c r="D757" s="28"/>
      <c r="E757" s="28"/>
      <c r="F757" s="28"/>
      <c r="G757" s="28"/>
      <c r="H757" s="28"/>
      <c r="I757" s="28"/>
      <c r="J757" s="28"/>
      <c r="K757" s="28"/>
      <c r="L757" s="28"/>
      <c r="M757" s="28"/>
      <c r="N757" s="28"/>
      <c r="O757" s="28"/>
    </row>
    <row r="758" spans="1:15" ht="21" customHeight="1" x14ac:dyDescent="0.25">
      <c r="A758" s="28"/>
      <c r="B758" s="28"/>
      <c r="C758" s="28"/>
      <c r="D758" s="28"/>
      <c r="E758" s="28"/>
      <c r="F758" s="28"/>
      <c r="G758" s="28"/>
      <c r="H758" s="28"/>
      <c r="I758" s="28"/>
      <c r="J758" s="28"/>
      <c r="K758" s="28"/>
      <c r="L758" s="28"/>
      <c r="M758" s="28"/>
      <c r="N758" s="28"/>
      <c r="O758" s="28"/>
    </row>
    <row r="759" spans="1:15" ht="21" customHeight="1" x14ac:dyDescent="0.25">
      <c r="A759" s="28"/>
      <c r="B759" s="28"/>
      <c r="C759" s="28"/>
      <c r="D759" s="28"/>
      <c r="E759" s="28"/>
      <c r="F759" s="28"/>
      <c r="G759" s="28"/>
      <c r="H759" s="28"/>
      <c r="I759" s="28"/>
      <c r="J759" s="28"/>
      <c r="K759" s="28"/>
      <c r="L759" s="28"/>
      <c r="M759" s="28"/>
      <c r="N759" s="28"/>
      <c r="O759" s="28"/>
    </row>
    <row r="760" spans="1:15" ht="21" customHeight="1" x14ac:dyDescent="0.25">
      <c r="A760" s="28"/>
      <c r="B760" s="28"/>
      <c r="C760" s="28"/>
      <c r="D760" s="28"/>
      <c r="E760" s="28"/>
      <c r="F760" s="28"/>
      <c r="G760" s="28"/>
      <c r="H760" s="28"/>
      <c r="I760" s="28"/>
      <c r="J760" s="28"/>
      <c r="K760" s="28"/>
      <c r="L760" s="28"/>
      <c r="M760" s="28"/>
      <c r="N760" s="28"/>
      <c r="O760" s="28"/>
    </row>
    <row r="761" spans="1:15" ht="21" customHeight="1" x14ac:dyDescent="0.25">
      <c r="A761" s="28"/>
      <c r="B761" s="28"/>
      <c r="C761" s="28"/>
      <c r="D761" s="28"/>
      <c r="E761" s="28"/>
      <c r="F761" s="28"/>
      <c r="G761" s="28"/>
      <c r="H761" s="28"/>
      <c r="I761" s="28"/>
      <c r="J761" s="28"/>
      <c r="K761" s="28"/>
      <c r="L761" s="28"/>
      <c r="M761" s="28"/>
      <c r="N761" s="28"/>
      <c r="O761" s="28"/>
    </row>
    <row r="762" spans="1:15" ht="21" customHeight="1" x14ac:dyDescent="0.25">
      <c r="A762" s="28"/>
      <c r="B762" s="28"/>
      <c r="C762" s="28"/>
      <c r="D762" s="28"/>
      <c r="E762" s="28"/>
      <c r="F762" s="28"/>
      <c r="G762" s="28"/>
      <c r="H762" s="28"/>
      <c r="I762" s="28"/>
      <c r="J762" s="28"/>
      <c r="K762" s="28"/>
      <c r="L762" s="28"/>
      <c r="M762" s="28"/>
      <c r="N762" s="28"/>
      <c r="O762" s="28"/>
    </row>
    <row r="763" spans="1:15" ht="21" customHeight="1" x14ac:dyDescent="0.25">
      <c r="A763" s="28"/>
      <c r="B763" s="28"/>
      <c r="C763" s="28"/>
      <c r="D763" s="28"/>
      <c r="E763" s="28"/>
      <c r="F763" s="28"/>
      <c r="G763" s="28"/>
      <c r="H763" s="28"/>
      <c r="I763" s="28"/>
      <c r="J763" s="28"/>
      <c r="K763" s="28"/>
      <c r="L763" s="28"/>
      <c r="M763" s="28"/>
      <c r="N763" s="28"/>
      <c r="O763" s="28"/>
    </row>
    <row r="764" spans="1:15" ht="21" customHeight="1" x14ac:dyDescent="0.25">
      <c r="A764" s="28"/>
      <c r="B764" s="28"/>
      <c r="C764" s="28"/>
      <c r="D764" s="28"/>
      <c r="E764" s="28"/>
      <c r="F764" s="28"/>
      <c r="G764" s="28"/>
      <c r="H764" s="28"/>
      <c r="I764" s="28"/>
      <c r="J764" s="28"/>
      <c r="K764" s="28"/>
      <c r="L764" s="28"/>
      <c r="M764" s="28"/>
      <c r="N764" s="28"/>
      <c r="O764" s="28"/>
    </row>
    <row r="765" spans="1:15" ht="21" customHeight="1" x14ac:dyDescent="0.25">
      <c r="A765" s="28"/>
      <c r="B765" s="28"/>
      <c r="C765" s="28"/>
      <c r="D765" s="28"/>
      <c r="E765" s="28"/>
      <c r="F765" s="28"/>
      <c r="G765" s="28"/>
      <c r="H765" s="28"/>
      <c r="I765" s="28"/>
      <c r="J765" s="28"/>
      <c r="K765" s="28"/>
      <c r="L765" s="28"/>
      <c r="M765" s="28"/>
      <c r="N765" s="28"/>
      <c r="O765" s="28"/>
    </row>
    <row r="766" spans="1:15" ht="21" customHeight="1" x14ac:dyDescent="0.25">
      <c r="A766" s="28"/>
      <c r="B766" s="28"/>
      <c r="C766" s="28"/>
      <c r="D766" s="28"/>
      <c r="E766" s="28"/>
      <c r="F766" s="28"/>
      <c r="G766" s="28"/>
      <c r="H766" s="28"/>
      <c r="I766" s="28"/>
      <c r="J766" s="28"/>
      <c r="K766" s="28"/>
      <c r="L766" s="28"/>
      <c r="M766" s="28"/>
      <c r="N766" s="28"/>
      <c r="O766" s="28"/>
    </row>
    <row r="767" spans="1:15" ht="21" customHeight="1" x14ac:dyDescent="0.25">
      <c r="A767" s="28"/>
      <c r="B767" s="28"/>
      <c r="C767" s="28"/>
      <c r="D767" s="28"/>
      <c r="E767" s="28"/>
      <c r="F767" s="28"/>
      <c r="G767" s="28"/>
      <c r="H767" s="28"/>
      <c r="I767" s="28"/>
      <c r="J767" s="28"/>
      <c r="K767" s="28"/>
      <c r="L767" s="28"/>
      <c r="M767" s="28"/>
      <c r="N767" s="28"/>
      <c r="O767" s="28"/>
    </row>
    <row r="768" spans="1:15" ht="21" customHeight="1" x14ac:dyDescent="0.25">
      <c r="A768" s="28"/>
      <c r="B768" s="28"/>
      <c r="C768" s="28"/>
      <c r="D768" s="28"/>
      <c r="E768" s="28"/>
      <c r="F768" s="28"/>
      <c r="G768" s="28"/>
      <c r="H768" s="28"/>
      <c r="I768" s="28"/>
      <c r="J768" s="28"/>
      <c r="K768" s="28"/>
      <c r="L768" s="28"/>
      <c r="M768" s="28"/>
      <c r="N768" s="28"/>
      <c r="O768" s="28"/>
    </row>
    <row r="769" spans="1:15" ht="21" customHeight="1" x14ac:dyDescent="0.25">
      <c r="A769" s="28"/>
      <c r="B769" s="28"/>
      <c r="C769" s="28"/>
      <c r="D769" s="28"/>
      <c r="E769" s="28"/>
      <c r="F769" s="28"/>
      <c r="G769" s="28"/>
      <c r="H769" s="28"/>
      <c r="I769" s="28"/>
      <c r="J769" s="28"/>
      <c r="K769" s="28"/>
      <c r="L769" s="28"/>
      <c r="M769" s="28"/>
      <c r="N769" s="28"/>
      <c r="O769" s="28"/>
    </row>
    <row r="770" spans="1:15" ht="21" customHeight="1" x14ac:dyDescent="0.25">
      <c r="A770" s="28"/>
      <c r="B770" s="28"/>
      <c r="C770" s="28"/>
      <c r="D770" s="28"/>
      <c r="E770" s="28"/>
      <c r="F770" s="28"/>
      <c r="G770" s="28"/>
      <c r="H770" s="28"/>
      <c r="I770" s="28"/>
      <c r="J770" s="28"/>
      <c r="K770" s="28"/>
      <c r="L770" s="28"/>
      <c r="M770" s="28"/>
      <c r="N770" s="28"/>
      <c r="O770" s="28"/>
    </row>
    <row r="771" spans="1:15" ht="21" customHeight="1" x14ac:dyDescent="0.25">
      <c r="A771" s="28"/>
      <c r="B771" s="28"/>
      <c r="C771" s="28"/>
      <c r="D771" s="28"/>
      <c r="E771" s="28"/>
      <c r="F771" s="28"/>
      <c r="G771" s="28"/>
      <c r="H771" s="28"/>
      <c r="I771" s="28"/>
      <c r="J771" s="28"/>
      <c r="K771" s="28"/>
      <c r="L771" s="28"/>
      <c r="M771" s="28"/>
      <c r="N771" s="28"/>
      <c r="O771" s="28"/>
    </row>
    <row r="772" spans="1:15" ht="21" customHeight="1" x14ac:dyDescent="0.25">
      <c r="A772" s="28"/>
      <c r="B772" s="28"/>
      <c r="C772" s="28"/>
      <c r="D772" s="28"/>
      <c r="E772" s="28"/>
      <c r="F772" s="28"/>
      <c r="G772" s="28"/>
      <c r="H772" s="28"/>
      <c r="I772" s="28"/>
      <c r="J772" s="28"/>
      <c r="K772" s="28"/>
      <c r="L772" s="28"/>
      <c r="M772" s="28"/>
      <c r="N772" s="28"/>
      <c r="O772" s="28"/>
    </row>
    <row r="773" spans="1:15" ht="21" customHeight="1" x14ac:dyDescent="0.25">
      <c r="A773" s="28"/>
      <c r="B773" s="28"/>
      <c r="C773" s="28"/>
      <c r="D773" s="28"/>
      <c r="E773" s="28"/>
      <c r="F773" s="28"/>
      <c r="G773" s="28"/>
      <c r="H773" s="28"/>
      <c r="I773" s="28"/>
      <c r="J773" s="28"/>
      <c r="K773" s="28"/>
      <c r="L773" s="28"/>
      <c r="M773" s="28"/>
      <c r="N773" s="28"/>
      <c r="O773" s="28"/>
    </row>
    <row r="774" spans="1:15" ht="21" customHeight="1" x14ac:dyDescent="0.25">
      <c r="A774" s="28"/>
      <c r="B774" s="28"/>
      <c r="C774" s="28"/>
      <c r="D774" s="28"/>
      <c r="E774" s="28"/>
      <c r="F774" s="28"/>
      <c r="G774" s="28"/>
      <c r="H774" s="28"/>
      <c r="I774" s="28"/>
      <c r="J774" s="28"/>
      <c r="K774" s="28"/>
      <c r="L774" s="28"/>
      <c r="M774" s="28"/>
      <c r="N774" s="28"/>
      <c r="O774" s="28"/>
    </row>
    <row r="775" spans="1:15" ht="21" customHeight="1" x14ac:dyDescent="0.25">
      <c r="A775" s="28"/>
      <c r="B775" s="28"/>
      <c r="C775" s="28"/>
      <c r="D775" s="28"/>
      <c r="E775" s="28"/>
      <c r="F775" s="28"/>
      <c r="G775" s="28"/>
      <c r="H775" s="28"/>
      <c r="I775" s="28"/>
      <c r="J775" s="28"/>
      <c r="K775" s="28"/>
      <c r="L775" s="28"/>
      <c r="M775" s="28"/>
      <c r="N775" s="28"/>
      <c r="O775" s="28"/>
    </row>
    <row r="776" spans="1:15" ht="21" customHeight="1" x14ac:dyDescent="0.25">
      <c r="A776" s="28"/>
      <c r="B776" s="28"/>
      <c r="C776" s="28"/>
      <c r="D776" s="28"/>
      <c r="E776" s="28"/>
      <c r="F776" s="28"/>
      <c r="G776" s="28"/>
      <c r="H776" s="28"/>
      <c r="I776" s="28"/>
      <c r="J776" s="28"/>
      <c r="K776" s="28"/>
      <c r="L776" s="28"/>
      <c r="M776" s="28"/>
      <c r="N776" s="28"/>
      <c r="O776" s="28"/>
    </row>
    <row r="777" spans="1:15" ht="21" customHeight="1" x14ac:dyDescent="0.25">
      <c r="A777" s="28"/>
      <c r="B777" s="28"/>
      <c r="C777" s="28"/>
      <c r="D777" s="28"/>
      <c r="E777" s="28"/>
      <c r="F777" s="28"/>
      <c r="G777" s="28"/>
      <c r="H777" s="28"/>
      <c r="I777" s="28"/>
      <c r="J777" s="28"/>
      <c r="K777" s="28"/>
      <c r="L777" s="28"/>
      <c r="M777" s="28"/>
      <c r="N777" s="28"/>
      <c r="O777" s="28"/>
    </row>
    <row r="778" spans="1:15" ht="21" customHeight="1" x14ac:dyDescent="0.25">
      <c r="A778" s="28"/>
      <c r="B778" s="28"/>
      <c r="C778" s="28"/>
      <c r="D778" s="28"/>
      <c r="E778" s="28"/>
      <c r="F778" s="28"/>
      <c r="G778" s="28"/>
      <c r="H778" s="28"/>
      <c r="I778" s="28"/>
      <c r="J778" s="28"/>
      <c r="K778" s="28"/>
      <c r="L778" s="28"/>
      <c r="M778" s="28"/>
      <c r="N778" s="28"/>
      <c r="O778" s="28"/>
    </row>
    <row r="779" spans="1:15" ht="21" customHeight="1" x14ac:dyDescent="0.25">
      <c r="A779" s="28"/>
      <c r="B779" s="28"/>
      <c r="C779" s="28"/>
      <c r="D779" s="28"/>
      <c r="E779" s="28"/>
      <c r="F779" s="28"/>
      <c r="G779" s="28"/>
      <c r="H779" s="28"/>
      <c r="I779" s="28"/>
      <c r="J779" s="28"/>
      <c r="K779" s="28"/>
      <c r="L779" s="28"/>
      <c r="M779" s="28"/>
      <c r="N779" s="28"/>
      <c r="O779" s="28"/>
    </row>
    <row r="780" spans="1:15" ht="21" customHeight="1" x14ac:dyDescent="0.25">
      <c r="A780" s="28"/>
      <c r="B780" s="28"/>
      <c r="C780" s="28"/>
      <c r="D780" s="28"/>
      <c r="E780" s="28"/>
      <c r="F780" s="28"/>
      <c r="G780" s="28"/>
      <c r="H780" s="28"/>
      <c r="I780" s="28"/>
      <c r="J780" s="28"/>
      <c r="K780" s="28"/>
      <c r="L780" s="28"/>
      <c r="M780" s="28"/>
      <c r="N780" s="28"/>
      <c r="O780" s="28"/>
    </row>
    <row r="781" spans="1:15" ht="21" customHeight="1" x14ac:dyDescent="0.25">
      <c r="A781" s="28"/>
      <c r="B781" s="28"/>
      <c r="C781" s="28"/>
      <c r="D781" s="28"/>
      <c r="E781" s="28"/>
      <c r="F781" s="28"/>
      <c r="G781" s="28"/>
      <c r="H781" s="28"/>
      <c r="I781" s="28"/>
      <c r="J781" s="28"/>
      <c r="K781" s="28"/>
      <c r="L781" s="28"/>
      <c r="M781" s="28"/>
      <c r="N781" s="28"/>
      <c r="O781" s="28"/>
    </row>
    <row r="782" spans="1:15" ht="21" customHeight="1" x14ac:dyDescent="0.25">
      <c r="A782" s="28"/>
      <c r="B782" s="28"/>
      <c r="C782" s="28"/>
      <c r="D782" s="28"/>
      <c r="E782" s="28"/>
      <c r="F782" s="28"/>
      <c r="G782" s="28"/>
      <c r="H782" s="28"/>
      <c r="I782" s="28"/>
      <c r="J782" s="28"/>
      <c r="K782" s="28"/>
      <c r="L782" s="28"/>
      <c r="M782" s="28"/>
      <c r="N782" s="28"/>
      <c r="O782" s="28"/>
    </row>
    <row r="783" spans="1:15" ht="21" customHeight="1" x14ac:dyDescent="0.25">
      <c r="A783" s="28"/>
      <c r="B783" s="28"/>
      <c r="C783" s="28"/>
      <c r="D783" s="28"/>
      <c r="E783" s="28"/>
      <c r="F783" s="28"/>
      <c r="G783" s="28"/>
      <c r="H783" s="28"/>
      <c r="I783" s="28"/>
      <c r="J783" s="28"/>
      <c r="K783" s="28"/>
      <c r="L783" s="28"/>
      <c r="M783" s="28"/>
      <c r="N783" s="28"/>
      <c r="O783" s="28"/>
    </row>
    <row r="784" spans="1:15" ht="21" customHeight="1" x14ac:dyDescent="0.25">
      <c r="A784" s="28"/>
      <c r="B784" s="28"/>
      <c r="C784" s="28"/>
      <c r="D784" s="28"/>
      <c r="E784" s="28"/>
      <c r="F784" s="28"/>
      <c r="G784" s="28"/>
      <c r="H784" s="28"/>
      <c r="I784" s="28"/>
      <c r="J784" s="28"/>
      <c r="K784" s="28"/>
      <c r="L784" s="28"/>
      <c r="M784" s="28"/>
      <c r="N784" s="28"/>
      <c r="O784" s="28"/>
    </row>
    <row r="785" spans="1:15" ht="21" customHeight="1" x14ac:dyDescent="0.25">
      <c r="A785" s="28"/>
      <c r="B785" s="28"/>
      <c r="C785" s="28"/>
      <c r="D785" s="28"/>
      <c r="E785" s="28"/>
      <c r="F785" s="28"/>
      <c r="G785" s="28"/>
      <c r="H785" s="28"/>
      <c r="I785" s="28"/>
      <c r="J785" s="28"/>
      <c r="K785" s="28"/>
      <c r="L785" s="28"/>
      <c r="M785" s="28"/>
      <c r="N785" s="28"/>
      <c r="O785" s="28"/>
    </row>
    <row r="786" spans="1:15" ht="21" customHeight="1" x14ac:dyDescent="0.25">
      <c r="A786" s="28"/>
      <c r="B786" s="28"/>
      <c r="C786" s="28"/>
      <c r="D786" s="28"/>
      <c r="E786" s="28"/>
      <c r="F786" s="28"/>
      <c r="G786" s="28"/>
      <c r="H786" s="28"/>
      <c r="I786" s="28"/>
      <c r="J786" s="28"/>
      <c r="K786" s="28"/>
      <c r="L786" s="28"/>
      <c r="M786" s="28"/>
      <c r="N786" s="28"/>
      <c r="O786" s="28"/>
    </row>
    <row r="787" spans="1:15" ht="21" customHeight="1" x14ac:dyDescent="0.25">
      <c r="A787" s="28"/>
      <c r="B787" s="28"/>
      <c r="C787" s="28"/>
      <c r="D787" s="28"/>
      <c r="E787" s="28"/>
      <c r="F787" s="28"/>
      <c r="G787" s="28"/>
      <c r="H787" s="28"/>
      <c r="I787" s="28"/>
      <c r="J787" s="28"/>
      <c r="K787" s="28"/>
      <c r="L787" s="28"/>
      <c r="M787" s="28"/>
      <c r="N787" s="28"/>
      <c r="O787" s="28"/>
    </row>
    <row r="788" spans="1:15" ht="21" customHeight="1" x14ac:dyDescent="0.25">
      <c r="A788" s="28"/>
      <c r="B788" s="28"/>
      <c r="C788" s="28"/>
      <c r="D788" s="28"/>
      <c r="E788" s="28"/>
      <c r="F788" s="28"/>
      <c r="G788" s="28"/>
      <c r="H788" s="28"/>
      <c r="I788" s="28"/>
      <c r="J788" s="28"/>
      <c r="K788" s="28"/>
      <c r="L788" s="28"/>
      <c r="M788" s="28"/>
      <c r="N788" s="28"/>
      <c r="O788" s="28"/>
    </row>
    <row r="789" spans="1:15" ht="21" customHeight="1" x14ac:dyDescent="0.25">
      <c r="A789" s="28"/>
      <c r="B789" s="28"/>
      <c r="C789" s="28"/>
      <c r="D789" s="28"/>
      <c r="E789" s="28"/>
      <c r="F789" s="28"/>
      <c r="G789" s="28"/>
      <c r="H789" s="28"/>
      <c r="I789" s="28"/>
      <c r="J789" s="28"/>
      <c r="K789" s="28"/>
      <c r="L789" s="28"/>
      <c r="M789" s="28"/>
      <c r="N789" s="28"/>
      <c r="O789" s="28"/>
    </row>
    <row r="790" spans="1:15" ht="21" customHeight="1" x14ac:dyDescent="0.25">
      <c r="A790" s="28"/>
      <c r="B790" s="28"/>
      <c r="C790" s="28"/>
      <c r="D790" s="28"/>
      <c r="E790" s="28"/>
      <c r="F790" s="28"/>
      <c r="G790" s="28"/>
      <c r="H790" s="28"/>
      <c r="I790" s="28"/>
      <c r="J790" s="28"/>
      <c r="K790" s="28"/>
      <c r="L790" s="28"/>
      <c r="M790" s="28"/>
      <c r="N790" s="28"/>
      <c r="O790" s="28"/>
    </row>
    <row r="791" spans="1:15" ht="21" customHeight="1" x14ac:dyDescent="0.25">
      <c r="A791" s="28"/>
      <c r="B791" s="28"/>
      <c r="C791" s="28"/>
      <c r="D791" s="28"/>
      <c r="E791" s="28"/>
      <c r="F791" s="28"/>
      <c r="G791" s="28"/>
      <c r="H791" s="28"/>
      <c r="I791" s="28"/>
      <c r="J791" s="28"/>
      <c r="K791" s="28"/>
      <c r="L791" s="28"/>
      <c r="M791" s="28"/>
      <c r="N791" s="28"/>
      <c r="O791" s="28"/>
    </row>
    <row r="792" spans="1:15" ht="21" customHeight="1" x14ac:dyDescent="0.25">
      <c r="A792" s="28"/>
      <c r="B792" s="28"/>
      <c r="C792" s="28"/>
      <c r="D792" s="28"/>
      <c r="E792" s="28"/>
      <c r="F792" s="28"/>
      <c r="G792" s="28"/>
      <c r="H792" s="28"/>
      <c r="I792" s="28"/>
      <c r="J792" s="28"/>
      <c r="K792" s="28"/>
      <c r="L792" s="28"/>
      <c r="M792" s="28"/>
      <c r="N792" s="28"/>
      <c r="O792" s="28"/>
    </row>
    <row r="793" spans="1:15" ht="21" customHeight="1" x14ac:dyDescent="0.25">
      <c r="A793" s="28"/>
      <c r="B793" s="28"/>
      <c r="C793" s="28"/>
      <c r="D793" s="28"/>
      <c r="E793" s="28"/>
      <c r="F793" s="28"/>
      <c r="G793" s="28"/>
      <c r="H793" s="28"/>
      <c r="I793" s="28"/>
      <c r="J793" s="28"/>
      <c r="K793" s="28"/>
      <c r="L793" s="28"/>
      <c r="M793" s="28"/>
      <c r="N793" s="28"/>
      <c r="O793" s="28"/>
    </row>
    <row r="794" spans="1:15" ht="21" customHeight="1" x14ac:dyDescent="0.25">
      <c r="A794" s="28"/>
      <c r="B794" s="28"/>
      <c r="C794" s="28"/>
      <c r="D794" s="28"/>
      <c r="E794" s="28"/>
      <c r="F794" s="28"/>
      <c r="G794" s="28"/>
      <c r="H794" s="28"/>
      <c r="I794" s="28"/>
      <c r="J794" s="28"/>
      <c r="K794" s="28"/>
      <c r="L794" s="28"/>
      <c r="M794" s="28"/>
      <c r="N794" s="28"/>
      <c r="O794" s="28"/>
    </row>
  </sheetData>
  <sheetProtection algorithmName="SHA-512" hashValue="hfPeokH4OHt97OVCJkbfiob556FOreTWWulJBA3CkP8BiFn7aEoEFJycrHIbrG4MB6y+pyrHi4kYIw+C7uyaBQ==" saltValue="1WZSa4LWvND/FwA2LP0E3g==" spinCount="100000" sheet="1" scenarios="1"/>
  <mergeCells count="21">
    <mergeCell ref="A67:X67"/>
    <mergeCell ref="A61:A66"/>
    <mergeCell ref="AD3:AL3"/>
    <mergeCell ref="J61:Q61"/>
    <mergeCell ref="B61:I61"/>
    <mergeCell ref="B45:I45"/>
    <mergeCell ref="J45:Q45"/>
    <mergeCell ref="B25:I25"/>
    <mergeCell ref="J25:Q25"/>
    <mergeCell ref="A45:A50"/>
    <mergeCell ref="A53:Q53"/>
    <mergeCell ref="C54:I54"/>
    <mergeCell ref="K54:Q54"/>
    <mergeCell ref="A25:A30"/>
    <mergeCell ref="A33:Q33"/>
    <mergeCell ref="C34:I34"/>
    <mergeCell ref="K34:Q34"/>
    <mergeCell ref="A3:Q3"/>
    <mergeCell ref="C4:I4"/>
    <mergeCell ref="K4:Q4"/>
    <mergeCell ref="AF4:AL4"/>
  </mergeCells>
  <pageMargins left="0.7" right="0.7" top="0.75" bottom="0.75" header="0.3" footer="0.3"/>
  <pageSetup scale="32" orientation="landscape" verticalDpi="597" r:id="rId1"/>
  <headerFooter>
    <oddFooter>&amp;L&amp;Z&amp;F&amp;R&amp;D &amp;T</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L87"/>
  <sheetViews>
    <sheetView topLeftCell="G29" workbookViewId="0">
      <selection activeCell="T49" sqref="T49"/>
    </sheetView>
  </sheetViews>
  <sheetFormatPr defaultRowHeight="15" x14ac:dyDescent="0.25"/>
  <cols>
    <col min="1" max="1" width="28" customWidth="1"/>
    <col min="2" max="2" width="14.140625" customWidth="1"/>
    <col min="3" max="3" width="16" style="25" customWidth="1"/>
    <col min="4" max="10" width="9.28515625" bestFit="1" customWidth="1"/>
  </cols>
  <sheetData>
    <row r="1" spans="1:12" ht="28.5" customHeight="1" x14ac:dyDescent="0.25">
      <c r="A1" s="269" t="s">
        <v>205</v>
      </c>
      <c r="I1" s="294" t="s">
        <v>201</v>
      </c>
    </row>
    <row r="2" spans="1:12" ht="28.5" customHeight="1" x14ac:dyDescent="0.3">
      <c r="A2" s="296"/>
      <c r="B2" s="297"/>
      <c r="C2" s="298"/>
      <c r="D2" s="433" t="s">
        <v>139</v>
      </c>
      <c r="E2" s="433"/>
      <c r="F2" s="433"/>
      <c r="G2" s="433"/>
      <c r="H2" s="433"/>
      <c r="I2" s="433"/>
      <c r="J2" s="433"/>
      <c r="L2" s="263" t="s">
        <v>251</v>
      </c>
    </row>
    <row r="3" spans="1:12" ht="23.25" x14ac:dyDescent="0.25">
      <c r="A3" s="10" t="s">
        <v>202</v>
      </c>
      <c r="B3" s="299" t="s">
        <v>203</v>
      </c>
      <c r="C3" s="11" t="s">
        <v>24</v>
      </c>
      <c r="D3" s="10" t="s">
        <v>7</v>
      </c>
      <c r="E3" s="10" t="s">
        <v>1</v>
      </c>
      <c r="F3" s="10" t="s">
        <v>2</v>
      </c>
      <c r="G3" s="10" t="s">
        <v>3</v>
      </c>
      <c r="H3" s="10" t="s">
        <v>4</v>
      </c>
      <c r="I3" s="10" t="s">
        <v>5</v>
      </c>
      <c r="J3" s="10" t="s">
        <v>6</v>
      </c>
      <c r="K3" s="10"/>
    </row>
    <row r="4" spans="1:12" s="23" customFormat="1" ht="11.25" x14ac:dyDescent="0.2">
      <c r="A4" s="23" t="s">
        <v>70</v>
      </c>
      <c r="B4" s="295">
        <v>96.496266000000006</v>
      </c>
      <c r="C4" s="24">
        <v>42227</v>
      </c>
      <c r="D4" s="23">
        <v>6700</v>
      </c>
      <c r="E4" s="23">
        <v>3.9</v>
      </c>
      <c r="F4" s="23">
        <v>110</v>
      </c>
      <c r="H4" s="23">
        <v>350</v>
      </c>
      <c r="I4" s="23">
        <v>2800</v>
      </c>
      <c r="J4" s="23">
        <v>1100</v>
      </c>
    </row>
    <row r="5" spans="1:12" s="23" customFormat="1" ht="11.25" x14ac:dyDescent="0.2">
      <c r="A5" s="23" t="s">
        <v>30</v>
      </c>
      <c r="B5" s="295">
        <v>89.769208320000004</v>
      </c>
      <c r="C5" s="24">
        <v>42227.419444444444</v>
      </c>
      <c r="D5" s="23">
        <v>4600</v>
      </c>
      <c r="E5" s="23">
        <v>2.4500000000000002</v>
      </c>
      <c r="F5" s="23">
        <v>43.7</v>
      </c>
      <c r="G5" s="23">
        <v>12600</v>
      </c>
      <c r="H5" s="23">
        <v>162</v>
      </c>
      <c r="I5" s="23">
        <v>3060</v>
      </c>
      <c r="J5" s="23">
        <v>716</v>
      </c>
    </row>
    <row r="6" spans="1:12" s="23" customFormat="1" ht="11.25" x14ac:dyDescent="0.2">
      <c r="A6" s="23" t="s">
        <v>31</v>
      </c>
      <c r="B6" s="295">
        <v>89.769208320000004</v>
      </c>
      <c r="C6" s="24">
        <v>42227.42083333333</v>
      </c>
      <c r="D6" s="23">
        <v>4790</v>
      </c>
      <c r="E6" s="23">
        <v>2.48</v>
      </c>
      <c r="F6" s="23">
        <v>38.6</v>
      </c>
      <c r="G6" s="23">
        <v>13800</v>
      </c>
      <c r="H6" s="23">
        <v>158</v>
      </c>
      <c r="I6" s="23">
        <v>2870</v>
      </c>
      <c r="J6" s="23">
        <v>715</v>
      </c>
    </row>
    <row r="7" spans="1:12" s="23" customFormat="1" ht="11.25" x14ac:dyDescent="0.2">
      <c r="A7" s="23" t="s">
        <v>28</v>
      </c>
      <c r="B7" s="295">
        <v>87.355192320000015</v>
      </c>
      <c r="C7" s="24">
        <v>42227.449305555558</v>
      </c>
      <c r="D7" s="23">
        <v>3720</v>
      </c>
      <c r="E7" s="23">
        <v>1.96</v>
      </c>
      <c r="F7" s="23">
        <v>36.799999999999997</v>
      </c>
      <c r="G7" s="23">
        <v>11700</v>
      </c>
      <c r="H7" s="23">
        <v>165</v>
      </c>
      <c r="I7" s="23">
        <v>2430</v>
      </c>
      <c r="J7" s="23">
        <v>566</v>
      </c>
    </row>
    <row r="8" spans="1:12" s="23" customFormat="1" ht="11.25" x14ac:dyDescent="0.2">
      <c r="A8" s="23" t="s">
        <v>37</v>
      </c>
      <c r="B8" s="295">
        <v>91.780888320000003</v>
      </c>
      <c r="C8" s="24">
        <v>42227.449305555558</v>
      </c>
      <c r="D8" s="23">
        <v>5400</v>
      </c>
      <c r="E8" s="23">
        <v>2.35</v>
      </c>
      <c r="F8" s="23">
        <v>74.7</v>
      </c>
      <c r="G8" s="23">
        <v>17200</v>
      </c>
      <c r="H8" s="23">
        <v>203</v>
      </c>
      <c r="I8" s="23">
        <v>2210</v>
      </c>
      <c r="J8" s="23">
        <v>828</v>
      </c>
    </row>
    <row r="9" spans="1:12" s="23" customFormat="1" ht="11.25" x14ac:dyDescent="0.2">
      <c r="A9" s="23" t="s">
        <v>29</v>
      </c>
      <c r="B9" s="295">
        <v>87.934556160000014</v>
      </c>
      <c r="C9" s="24">
        <v>42227.456250000003</v>
      </c>
      <c r="D9" s="23">
        <v>4390</v>
      </c>
      <c r="E9" s="23">
        <v>2.64</v>
      </c>
      <c r="F9" s="23">
        <v>59.6</v>
      </c>
      <c r="G9" s="23">
        <v>14900</v>
      </c>
      <c r="H9" s="23">
        <v>208</v>
      </c>
      <c r="I9" s="23">
        <v>3180</v>
      </c>
      <c r="J9" s="23">
        <v>807</v>
      </c>
    </row>
    <row r="10" spans="1:12" s="23" customFormat="1" ht="11.25" x14ac:dyDescent="0.2">
      <c r="A10" s="23" t="s">
        <v>54</v>
      </c>
      <c r="B10" s="295">
        <v>93.502886400000008</v>
      </c>
      <c r="C10" s="24">
        <v>42227.526388888888</v>
      </c>
      <c r="D10" s="23">
        <v>6070</v>
      </c>
      <c r="E10" s="23">
        <v>2.67</v>
      </c>
      <c r="F10" s="23">
        <v>81.900000000000006</v>
      </c>
      <c r="G10" s="23">
        <v>17700</v>
      </c>
      <c r="H10" s="23">
        <v>242</v>
      </c>
      <c r="I10" s="23">
        <v>2140</v>
      </c>
      <c r="J10" s="23">
        <v>878</v>
      </c>
    </row>
    <row r="11" spans="1:12" s="23" customFormat="1" ht="11.25" x14ac:dyDescent="0.2">
      <c r="A11" s="23" t="s">
        <v>58</v>
      </c>
      <c r="B11" s="295">
        <v>95.900808960000006</v>
      </c>
      <c r="C11" s="24">
        <v>42227.590277777781</v>
      </c>
      <c r="D11" s="23">
        <v>4400</v>
      </c>
      <c r="E11" s="23">
        <v>2</v>
      </c>
      <c r="F11" s="23">
        <v>48</v>
      </c>
      <c r="H11" s="23">
        <v>180</v>
      </c>
      <c r="I11" s="23">
        <v>2100</v>
      </c>
      <c r="J11" s="23">
        <v>680</v>
      </c>
    </row>
    <row r="12" spans="1:12" s="23" customFormat="1" ht="11.25" x14ac:dyDescent="0.2">
      <c r="A12" s="23" t="s">
        <v>73</v>
      </c>
      <c r="B12" s="295">
        <v>97.832021760000003</v>
      </c>
      <c r="C12" s="24">
        <v>42227.597222222219</v>
      </c>
      <c r="D12" s="23">
        <v>5360</v>
      </c>
      <c r="E12" s="23">
        <v>2.5099999999999998</v>
      </c>
      <c r="F12" s="23">
        <v>68.3</v>
      </c>
      <c r="G12" s="23">
        <v>16400</v>
      </c>
      <c r="H12" s="23">
        <v>218</v>
      </c>
      <c r="I12" s="23">
        <v>2150</v>
      </c>
      <c r="J12" s="23">
        <v>783</v>
      </c>
    </row>
    <row r="13" spans="1:12" s="23" customFormat="1" ht="11.25" x14ac:dyDescent="0.2">
      <c r="A13" s="23" t="s">
        <v>75</v>
      </c>
      <c r="B13" s="295">
        <v>97.864208640000015</v>
      </c>
      <c r="C13" s="24">
        <v>42227.611111111109</v>
      </c>
      <c r="D13" s="23">
        <v>4400</v>
      </c>
      <c r="E13" s="23">
        <v>2</v>
      </c>
      <c r="F13" s="23">
        <v>48</v>
      </c>
      <c r="H13" s="23">
        <v>180</v>
      </c>
      <c r="I13" s="23">
        <v>2100</v>
      </c>
      <c r="J13" s="23">
        <v>680</v>
      </c>
    </row>
    <row r="14" spans="1:12" s="23" customFormat="1" ht="11.25" x14ac:dyDescent="0.2">
      <c r="A14" s="23" t="s">
        <v>71</v>
      </c>
      <c r="B14" s="295">
        <v>96.657200640000013</v>
      </c>
      <c r="C14" s="24">
        <v>42227.62222222222</v>
      </c>
      <c r="D14" s="23">
        <v>5090</v>
      </c>
      <c r="E14" s="23">
        <v>1.63</v>
      </c>
      <c r="F14" s="23">
        <v>43.6</v>
      </c>
      <c r="G14" s="23">
        <v>17400</v>
      </c>
      <c r="H14" s="23">
        <v>114</v>
      </c>
      <c r="I14" s="23">
        <v>1230</v>
      </c>
      <c r="J14" s="23">
        <v>489</v>
      </c>
    </row>
    <row r="15" spans="1:12" s="23" customFormat="1" ht="11.25" x14ac:dyDescent="0.2">
      <c r="A15" s="23" t="s">
        <v>72</v>
      </c>
      <c r="B15" s="295">
        <v>97.204377600000001</v>
      </c>
      <c r="C15" s="24">
        <v>42227.651388888888</v>
      </c>
      <c r="D15" s="23">
        <v>8930</v>
      </c>
      <c r="E15" s="23">
        <v>4.22</v>
      </c>
      <c r="F15" s="23">
        <v>118</v>
      </c>
      <c r="G15" s="23">
        <v>24800</v>
      </c>
      <c r="H15" s="23">
        <v>306</v>
      </c>
      <c r="I15" s="23">
        <v>2210</v>
      </c>
      <c r="J15" s="23">
        <v>1240</v>
      </c>
    </row>
    <row r="16" spans="1:12" s="23" customFormat="1" ht="11.25" x14ac:dyDescent="0.2">
      <c r="A16" s="23" t="s">
        <v>93</v>
      </c>
      <c r="B16" s="295">
        <v>103.17504384</v>
      </c>
      <c r="C16" s="24">
        <v>42227.695138888892</v>
      </c>
      <c r="D16" s="23">
        <v>5700</v>
      </c>
      <c r="E16" s="23">
        <v>1.91</v>
      </c>
      <c r="F16" s="23">
        <v>58.7</v>
      </c>
      <c r="G16" s="23">
        <v>18000</v>
      </c>
      <c r="H16" s="23">
        <v>156</v>
      </c>
      <c r="I16" s="23">
        <v>1720</v>
      </c>
      <c r="J16" s="23">
        <v>759</v>
      </c>
    </row>
    <row r="17" spans="1:10" s="23" customFormat="1" ht="11.25" x14ac:dyDescent="0.2">
      <c r="A17" s="23" t="s">
        <v>80</v>
      </c>
      <c r="B17" s="295">
        <v>102.64396032000001</v>
      </c>
      <c r="C17" s="24">
        <v>42227.708333333336</v>
      </c>
      <c r="D17" s="23">
        <v>4730</v>
      </c>
      <c r="E17" s="23">
        <v>1.99</v>
      </c>
      <c r="F17" s="23">
        <v>55.4</v>
      </c>
      <c r="G17" s="23">
        <v>15300</v>
      </c>
      <c r="H17" s="23">
        <v>197</v>
      </c>
      <c r="I17" s="23">
        <v>2130</v>
      </c>
      <c r="J17" s="23">
        <v>943</v>
      </c>
    </row>
    <row r="18" spans="1:10" s="23" customFormat="1" ht="11.25" x14ac:dyDescent="0.2">
      <c r="A18" s="23" t="s">
        <v>77</v>
      </c>
      <c r="B18" s="295">
        <v>101.17945728000001</v>
      </c>
      <c r="C18" s="24">
        <v>42227.76666666667</v>
      </c>
      <c r="D18" s="23">
        <v>4530</v>
      </c>
      <c r="E18" s="23">
        <v>1.82</v>
      </c>
      <c r="F18" s="23">
        <v>52.8</v>
      </c>
      <c r="G18" s="23">
        <v>14500</v>
      </c>
      <c r="H18" s="23">
        <v>200</v>
      </c>
      <c r="I18" s="23">
        <v>2520</v>
      </c>
      <c r="J18" s="23">
        <v>1040</v>
      </c>
    </row>
    <row r="19" spans="1:10" s="23" customFormat="1" ht="11.25" x14ac:dyDescent="0.2">
      <c r="A19" s="23" t="s">
        <v>94</v>
      </c>
      <c r="B19" s="295">
        <v>103.20723072</v>
      </c>
      <c r="C19" s="24">
        <v>42229.395833333336</v>
      </c>
      <c r="D19" s="23">
        <v>4600</v>
      </c>
      <c r="E19" s="23">
        <v>2.6</v>
      </c>
      <c r="F19" s="23">
        <v>130</v>
      </c>
      <c r="H19" s="23">
        <v>220</v>
      </c>
      <c r="I19" s="23">
        <v>2200</v>
      </c>
      <c r="J19" s="23">
        <v>850</v>
      </c>
    </row>
    <row r="20" spans="1:10" s="23" customFormat="1" ht="11.25" x14ac:dyDescent="0.2">
      <c r="A20" s="23" t="s">
        <v>81</v>
      </c>
      <c r="B20" s="295">
        <v>103.15895039999999</v>
      </c>
      <c r="C20" s="24">
        <v>42229.409722222219</v>
      </c>
      <c r="D20" s="23">
        <v>4800</v>
      </c>
      <c r="E20" s="23">
        <v>2.7</v>
      </c>
      <c r="F20" s="23">
        <v>76</v>
      </c>
      <c r="H20" s="23">
        <v>220</v>
      </c>
      <c r="I20" s="23">
        <v>1900</v>
      </c>
      <c r="J20" s="23">
        <v>790</v>
      </c>
    </row>
    <row r="21" spans="1:10" s="23" customFormat="1" ht="11.25" x14ac:dyDescent="0.2">
      <c r="A21" s="23" t="s">
        <v>79</v>
      </c>
      <c r="B21" s="295">
        <v>101.4691392</v>
      </c>
      <c r="C21" s="24">
        <v>42229.434027777781</v>
      </c>
      <c r="D21" s="23">
        <v>7100</v>
      </c>
      <c r="E21" s="23">
        <v>4.5999999999999996</v>
      </c>
      <c r="F21" s="23">
        <v>160</v>
      </c>
      <c r="H21" s="23">
        <v>540</v>
      </c>
      <c r="I21" s="23">
        <v>2000</v>
      </c>
      <c r="J21" s="23">
        <v>1100</v>
      </c>
    </row>
    <row r="22" spans="1:10" s="23" customFormat="1" ht="11.25" x14ac:dyDescent="0.2">
      <c r="A22" s="23" t="s">
        <v>78</v>
      </c>
      <c r="B22" s="295">
        <v>101.19555072000001</v>
      </c>
      <c r="C22" s="24">
        <v>42229.444444444445</v>
      </c>
      <c r="D22" s="23">
        <v>8400</v>
      </c>
      <c r="E22" s="23">
        <v>5.6</v>
      </c>
      <c r="F22" s="23">
        <v>230</v>
      </c>
      <c r="H22" s="23">
        <v>730</v>
      </c>
      <c r="I22" s="23">
        <v>2100</v>
      </c>
      <c r="J22" s="23">
        <v>1500</v>
      </c>
    </row>
    <row r="23" spans="1:10" s="23" customFormat="1" ht="11.25" x14ac:dyDescent="0.2">
      <c r="A23" s="23" t="s">
        <v>76</v>
      </c>
      <c r="B23" s="295">
        <v>99.183870720000016</v>
      </c>
      <c r="C23" s="24">
        <v>42229.479166666664</v>
      </c>
      <c r="D23" s="23">
        <v>6500</v>
      </c>
      <c r="E23" s="23">
        <v>3.9</v>
      </c>
      <c r="F23" s="23">
        <v>200</v>
      </c>
      <c r="H23" s="23">
        <v>740</v>
      </c>
      <c r="I23" s="23">
        <v>1700</v>
      </c>
      <c r="J23" s="23">
        <v>1100</v>
      </c>
    </row>
    <row r="24" spans="1:10" s="23" customFormat="1" ht="11.25" x14ac:dyDescent="0.2">
      <c r="A24" s="23" t="s">
        <v>74</v>
      </c>
      <c r="B24" s="295">
        <v>97.848115199999995</v>
      </c>
      <c r="C24" s="24">
        <v>42229.5</v>
      </c>
      <c r="D24" s="23">
        <v>5200</v>
      </c>
      <c r="E24" s="23">
        <v>3</v>
      </c>
      <c r="F24" s="23">
        <v>140</v>
      </c>
      <c r="H24" s="23">
        <v>450</v>
      </c>
      <c r="I24" s="23">
        <v>2100</v>
      </c>
      <c r="J24" s="23">
        <v>900</v>
      </c>
    </row>
    <row r="25" spans="1:10" s="23" customFormat="1" ht="11.25" x14ac:dyDescent="0.2">
      <c r="A25" s="23" t="s">
        <v>57</v>
      </c>
      <c r="B25" s="295">
        <v>95.868622080000009</v>
      </c>
      <c r="C25" s="24">
        <v>42229.527777777781</v>
      </c>
      <c r="D25" s="23">
        <v>18000</v>
      </c>
      <c r="E25" s="23">
        <v>7.3</v>
      </c>
      <c r="F25" s="23">
        <v>620</v>
      </c>
      <c r="H25" s="23">
        <v>2700</v>
      </c>
      <c r="I25" s="23">
        <v>4000</v>
      </c>
      <c r="J25" s="23">
        <v>2600</v>
      </c>
    </row>
    <row r="26" spans="1:10" s="23" customFormat="1" ht="11.25" x14ac:dyDescent="0.2">
      <c r="A26" s="23" t="s">
        <v>56</v>
      </c>
      <c r="B26" s="295">
        <v>95.546753280000004</v>
      </c>
      <c r="C26" s="24">
        <v>42229.545138888891</v>
      </c>
      <c r="D26" s="23">
        <v>7600</v>
      </c>
      <c r="E26" s="23">
        <v>5.7</v>
      </c>
      <c r="F26" s="23">
        <v>190</v>
      </c>
      <c r="H26" s="23">
        <v>500</v>
      </c>
      <c r="I26" s="23">
        <v>2500</v>
      </c>
      <c r="J26" s="23">
        <v>1300</v>
      </c>
    </row>
    <row r="27" spans="1:10" s="23" customFormat="1" ht="11.25" x14ac:dyDescent="0.2">
      <c r="A27" s="23" t="s">
        <v>53</v>
      </c>
      <c r="B27" s="295">
        <v>93.197111039999996</v>
      </c>
      <c r="C27" s="24">
        <v>42229.579861111109</v>
      </c>
      <c r="D27" s="23">
        <v>11000</v>
      </c>
      <c r="E27" s="23">
        <v>5.3</v>
      </c>
      <c r="F27" s="23">
        <v>350</v>
      </c>
      <c r="H27" s="23">
        <v>1300</v>
      </c>
      <c r="I27" s="23">
        <v>2700</v>
      </c>
      <c r="J27" s="23">
        <v>1600</v>
      </c>
    </row>
    <row r="28" spans="1:10" s="23" customFormat="1" ht="11.25" x14ac:dyDescent="0.2">
      <c r="A28" s="23" t="s">
        <v>52</v>
      </c>
      <c r="B28" s="295">
        <v>93.164924160000012</v>
      </c>
      <c r="C28" s="24">
        <v>42229.590277777781</v>
      </c>
      <c r="D28" s="23">
        <v>8900</v>
      </c>
      <c r="E28" s="23">
        <v>3.5</v>
      </c>
      <c r="F28" s="23">
        <v>320</v>
      </c>
      <c r="H28" s="23">
        <v>1500</v>
      </c>
      <c r="I28" s="23">
        <v>1700</v>
      </c>
      <c r="J28" s="23">
        <v>1100</v>
      </c>
    </row>
    <row r="29" spans="1:10" s="23" customFormat="1" ht="11.25" x14ac:dyDescent="0.2">
      <c r="A29" s="23" t="s">
        <v>35</v>
      </c>
      <c r="B29" s="295">
        <v>91.571673599999997</v>
      </c>
      <c r="C29" s="24">
        <v>42229.600694444445</v>
      </c>
      <c r="D29" s="23">
        <v>9900</v>
      </c>
      <c r="E29" s="23">
        <v>4.0999999999999996</v>
      </c>
      <c r="F29" s="23">
        <v>270</v>
      </c>
      <c r="H29" s="23">
        <v>840</v>
      </c>
      <c r="I29" s="23">
        <v>2000</v>
      </c>
      <c r="J29" s="23">
        <v>1300</v>
      </c>
    </row>
    <row r="30" spans="1:10" s="23" customFormat="1" ht="11.25" x14ac:dyDescent="0.2">
      <c r="A30" s="23" t="s">
        <v>34</v>
      </c>
      <c r="B30" s="295">
        <v>89.946236160000012</v>
      </c>
      <c r="C30" s="24">
        <v>42230.319444444445</v>
      </c>
      <c r="D30" s="23">
        <v>6000</v>
      </c>
      <c r="E30" s="23">
        <v>2.7</v>
      </c>
      <c r="F30" s="23">
        <v>210</v>
      </c>
      <c r="H30" s="23">
        <v>9700</v>
      </c>
      <c r="I30" s="23">
        <v>1700</v>
      </c>
      <c r="J30" s="23">
        <v>830</v>
      </c>
    </row>
    <row r="31" spans="1:10" s="23" customFormat="1" ht="11.25" x14ac:dyDescent="0.2">
      <c r="A31" s="23" t="s">
        <v>32</v>
      </c>
      <c r="B31" s="295">
        <v>89.769208320000004</v>
      </c>
      <c r="C31" s="24">
        <v>42230.326388888891</v>
      </c>
      <c r="D31" s="23">
        <v>13000</v>
      </c>
      <c r="E31" s="23">
        <v>4.7</v>
      </c>
      <c r="F31" s="23">
        <v>560</v>
      </c>
      <c r="H31" s="23">
        <v>2300</v>
      </c>
      <c r="I31" s="23">
        <v>1800</v>
      </c>
      <c r="J31" s="23">
        <v>1500</v>
      </c>
    </row>
    <row r="32" spans="1:10" s="23" customFormat="1" ht="11.25" x14ac:dyDescent="0.2">
      <c r="A32" s="23" t="s">
        <v>95</v>
      </c>
      <c r="B32" s="295">
        <v>104.17283712000001</v>
      </c>
      <c r="C32" s="24">
        <v>42230.527777777781</v>
      </c>
      <c r="D32" s="23">
        <v>5100</v>
      </c>
      <c r="E32" s="23">
        <v>4.2</v>
      </c>
      <c r="F32" s="23">
        <v>120</v>
      </c>
      <c r="H32" s="23">
        <v>370</v>
      </c>
      <c r="I32" s="23">
        <v>2100</v>
      </c>
      <c r="J32" s="23">
        <v>1100</v>
      </c>
    </row>
    <row r="33" spans="1:10" s="23" customFormat="1" ht="11.25" x14ac:dyDescent="0.2">
      <c r="A33" s="23" t="s">
        <v>82</v>
      </c>
      <c r="B33" s="295">
        <v>103.15895039999999</v>
      </c>
      <c r="C33" s="24">
        <v>42243.371527777781</v>
      </c>
      <c r="D33" s="23">
        <v>5200</v>
      </c>
      <c r="E33" s="23">
        <v>1.5</v>
      </c>
      <c r="F33" s="23">
        <v>38</v>
      </c>
      <c r="G33" s="23">
        <v>13000</v>
      </c>
      <c r="H33" s="23">
        <v>130</v>
      </c>
      <c r="I33" s="23">
        <v>1600</v>
      </c>
      <c r="J33" s="23">
        <v>500</v>
      </c>
    </row>
    <row r="34" spans="1:10" s="23" customFormat="1" ht="11.25" x14ac:dyDescent="0.2">
      <c r="A34" s="23" t="s">
        <v>59</v>
      </c>
      <c r="B34" s="295">
        <v>96.480172800000005</v>
      </c>
      <c r="C34" s="24">
        <v>42243.385416666664</v>
      </c>
      <c r="D34" s="23">
        <v>6100</v>
      </c>
      <c r="E34" s="23">
        <v>1.8</v>
      </c>
      <c r="F34" s="23">
        <v>55</v>
      </c>
      <c r="G34" s="23">
        <v>18000</v>
      </c>
      <c r="H34" s="23">
        <v>180</v>
      </c>
      <c r="I34" s="23">
        <v>2200</v>
      </c>
      <c r="J34" s="23">
        <v>640</v>
      </c>
    </row>
    <row r="35" spans="1:10" s="23" customFormat="1" ht="11.25" x14ac:dyDescent="0.2">
      <c r="A35" s="23" t="s">
        <v>38</v>
      </c>
      <c r="B35" s="295">
        <v>92.376345600000008</v>
      </c>
      <c r="C35" s="24">
        <v>42243.402777777781</v>
      </c>
      <c r="D35" s="23">
        <v>7100</v>
      </c>
      <c r="E35" s="23">
        <v>2.1</v>
      </c>
      <c r="F35" s="23">
        <v>66</v>
      </c>
      <c r="G35" s="23">
        <v>20000</v>
      </c>
      <c r="H35" s="23">
        <v>200</v>
      </c>
      <c r="I35" s="23">
        <v>2400</v>
      </c>
      <c r="J35" s="23">
        <v>710</v>
      </c>
    </row>
    <row r="36" spans="1:10" s="23" customFormat="1" ht="11.25" x14ac:dyDescent="0.2">
      <c r="A36" s="23" t="s">
        <v>83</v>
      </c>
      <c r="B36" s="295">
        <v>103.15895039999999</v>
      </c>
      <c r="C36" s="24">
        <v>42244.350694444445</v>
      </c>
      <c r="D36" s="23">
        <v>5200</v>
      </c>
      <c r="E36" s="23">
        <v>1.4</v>
      </c>
      <c r="F36" s="23">
        <v>64</v>
      </c>
      <c r="G36" s="23">
        <v>18000</v>
      </c>
      <c r="H36" s="23">
        <v>300</v>
      </c>
      <c r="I36" s="23">
        <v>1700</v>
      </c>
      <c r="J36" s="23">
        <v>1300</v>
      </c>
    </row>
    <row r="37" spans="1:10" s="23" customFormat="1" ht="11.25" x14ac:dyDescent="0.2">
      <c r="A37" s="23" t="s">
        <v>60</v>
      </c>
      <c r="B37" s="295">
        <v>96.480172800000005</v>
      </c>
      <c r="C37" s="24">
        <v>42244.375</v>
      </c>
      <c r="D37" s="23">
        <v>5700</v>
      </c>
      <c r="E37" s="23">
        <v>2</v>
      </c>
      <c r="F37" s="23">
        <v>87</v>
      </c>
      <c r="G37" s="23">
        <v>18000</v>
      </c>
      <c r="H37" s="23">
        <v>210</v>
      </c>
      <c r="I37" s="23">
        <v>2400</v>
      </c>
      <c r="J37" s="23">
        <v>730</v>
      </c>
    </row>
    <row r="38" spans="1:10" s="23" customFormat="1" ht="11.25" x14ac:dyDescent="0.2">
      <c r="A38" s="23" t="s">
        <v>39</v>
      </c>
      <c r="B38" s="295">
        <v>92.376345600000008</v>
      </c>
      <c r="C38" s="24">
        <v>42244.409722222219</v>
      </c>
      <c r="D38" s="23">
        <v>5700</v>
      </c>
      <c r="E38" s="23">
        <v>1.9</v>
      </c>
      <c r="F38" s="23">
        <v>74</v>
      </c>
      <c r="G38" s="23">
        <v>16000</v>
      </c>
      <c r="H38" s="23">
        <v>180</v>
      </c>
      <c r="I38" s="23">
        <v>1900</v>
      </c>
      <c r="J38" s="23">
        <v>610</v>
      </c>
    </row>
    <row r="39" spans="1:10" s="23" customFormat="1" ht="11.25" x14ac:dyDescent="0.2">
      <c r="A39" s="23" t="s">
        <v>40</v>
      </c>
      <c r="B39" s="295">
        <v>92.376345600000008</v>
      </c>
      <c r="C39" s="24">
        <v>42244.409722222219</v>
      </c>
      <c r="D39" s="23">
        <v>6200</v>
      </c>
      <c r="E39" s="23">
        <v>1.4</v>
      </c>
      <c r="F39" s="23">
        <v>59</v>
      </c>
      <c r="G39" s="23">
        <v>16000</v>
      </c>
      <c r="H39" s="23">
        <v>130</v>
      </c>
      <c r="I39" s="23">
        <v>1400</v>
      </c>
      <c r="J39" s="23">
        <v>450</v>
      </c>
    </row>
    <row r="40" spans="1:10" s="23" customFormat="1" ht="11.25" x14ac:dyDescent="0.2">
      <c r="A40" s="23" t="s">
        <v>84</v>
      </c>
      <c r="B40" s="295">
        <v>103.15895039999999</v>
      </c>
      <c r="C40" s="24">
        <v>42248.350694444445</v>
      </c>
      <c r="D40" s="23">
        <v>5400</v>
      </c>
      <c r="E40" s="23">
        <v>2.5</v>
      </c>
      <c r="F40" s="23">
        <v>71</v>
      </c>
      <c r="G40" s="23">
        <v>14000</v>
      </c>
      <c r="H40" s="23">
        <v>190</v>
      </c>
      <c r="I40" s="23">
        <v>1900</v>
      </c>
      <c r="J40" s="23">
        <v>710</v>
      </c>
    </row>
    <row r="41" spans="1:10" s="23" customFormat="1" ht="11.25" x14ac:dyDescent="0.2">
      <c r="A41" s="23" t="s">
        <v>85</v>
      </c>
      <c r="B41" s="295">
        <v>103.15895039999999</v>
      </c>
      <c r="C41" s="24">
        <v>42248.350694444445</v>
      </c>
      <c r="D41" s="23">
        <v>6100</v>
      </c>
      <c r="E41" s="23">
        <v>2.7</v>
      </c>
      <c r="F41" s="23">
        <v>72</v>
      </c>
      <c r="G41" s="23">
        <v>16000</v>
      </c>
      <c r="H41" s="23">
        <v>200</v>
      </c>
      <c r="I41" s="23">
        <v>2100</v>
      </c>
      <c r="J41" s="23">
        <v>880</v>
      </c>
    </row>
    <row r="42" spans="1:10" s="23" customFormat="1" ht="11.25" x14ac:dyDescent="0.2">
      <c r="A42" s="23" t="s">
        <v>61</v>
      </c>
      <c r="B42" s="295">
        <v>96.480172800000005</v>
      </c>
      <c r="C42" s="24">
        <v>42248.371527777781</v>
      </c>
      <c r="D42" s="23">
        <v>5300</v>
      </c>
      <c r="E42" s="23">
        <v>2.5</v>
      </c>
      <c r="F42" s="23">
        <v>74</v>
      </c>
      <c r="G42" s="23">
        <v>15000</v>
      </c>
      <c r="H42" s="23">
        <v>180</v>
      </c>
      <c r="I42" s="23">
        <v>2400</v>
      </c>
      <c r="J42" s="23">
        <v>730</v>
      </c>
    </row>
    <row r="43" spans="1:10" s="23" customFormat="1" ht="11.25" x14ac:dyDescent="0.2">
      <c r="A43" s="23" t="s">
        <v>41</v>
      </c>
      <c r="B43" s="295">
        <v>92.376345600000008</v>
      </c>
      <c r="C43" s="24">
        <v>42248.388888888891</v>
      </c>
      <c r="D43" s="23">
        <v>7400</v>
      </c>
      <c r="E43" s="23">
        <v>2.8</v>
      </c>
      <c r="F43" s="23">
        <v>100</v>
      </c>
      <c r="G43" s="23">
        <v>21000</v>
      </c>
      <c r="H43" s="23">
        <v>270</v>
      </c>
      <c r="I43" s="23">
        <v>2100</v>
      </c>
      <c r="J43" s="23">
        <v>830</v>
      </c>
    </row>
    <row r="44" spans="1:10" s="23" customFormat="1" ht="11.25" x14ac:dyDescent="0.2">
      <c r="A44" s="23" t="s">
        <v>86</v>
      </c>
      <c r="B44" s="295">
        <v>103.15895039999999</v>
      </c>
      <c r="C44" s="24">
        <v>42264.347222222219</v>
      </c>
      <c r="D44" s="23">
        <v>5800</v>
      </c>
      <c r="E44" s="23">
        <v>1.5</v>
      </c>
      <c r="F44" s="23">
        <v>53</v>
      </c>
      <c r="G44" s="23">
        <v>14000</v>
      </c>
      <c r="H44" s="23">
        <v>180</v>
      </c>
      <c r="I44" s="23">
        <v>1200</v>
      </c>
      <c r="J44" s="23">
        <v>600</v>
      </c>
    </row>
    <row r="45" spans="1:10" s="23" customFormat="1" ht="11.25" x14ac:dyDescent="0.2">
      <c r="A45" s="23" t="s">
        <v>62</v>
      </c>
      <c r="B45" s="295">
        <v>96.480172800000005</v>
      </c>
      <c r="C45" s="24">
        <v>42264.364583333336</v>
      </c>
      <c r="D45" s="23">
        <v>5800</v>
      </c>
      <c r="E45" s="23">
        <v>2.1</v>
      </c>
      <c r="F45" s="23">
        <v>61</v>
      </c>
      <c r="G45" s="23">
        <v>16000</v>
      </c>
      <c r="H45" s="23">
        <v>170</v>
      </c>
      <c r="I45" s="23">
        <v>2200</v>
      </c>
      <c r="J45" s="23">
        <v>700</v>
      </c>
    </row>
    <row r="46" spans="1:10" s="23" customFormat="1" ht="11.25" x14ac:dyDescent="0.2">
      <c r="A46" s="23" t="s">
        <v>42</v>
      </c>
      <c r="B46" s="295">
        <v>92.376345600000008</v>
      </c>
      <c r="C46" s="24">
        <v>42264.385416666664</v>
      </c>
      <c r="D46" s="23">
        <v>6000</v>
      </c>
      <c r="E46" s="23">
        <v>2.2000000000000002</v>
      </c>
      <c r="F46" s="23">
        <v>81</v>
      </c>
      <c r="G46" s="23">
        <v>15000</v>
      </c>
      <c r="H46" s="23">
        <v>190</v>
      </c>
      <c r="I46" s="23">
        <v>2000</v>
      </c>
      <c r="J46" s="23">
        <v>640</v>
      </c>
    </row>
    <row r="47" spans="1:10" s="23" customFormat="1" ht="11.25" x14ac:dyDescent="0.2">
      <c r="A47" s="23" t="s">
        <v>87</v>
      </c>
      <c r="B47" s="295">
        <v>103.15895039999999</v>
      </c>
      <c r="C47" s="24">
        <v>42265.350694444445</v>
      </c>
      <c r="D47" s="23">
        <v>7600</v>
      </c>
      <c r="E47" s="23">
        <v>1.3</v>
      </c>
      <c r="F47" s="23">
        <v>43</v>
      </c>
      <c r="G47" s="23">
        <v>15000</v>
      </c>
      <c r="H47" s="23">
        <v>120</v>
      </c>
      <c r="I47" s="23">
        <v>1400</v>
      </c>
      <c r="J47" s="23">
        <v>430</v>
      </c>
    </row>
    <row r="48" spans="1:10" s="23" customFormat="1" ht="11.25" x14ac:dyDescent="0.2">
      <c r="A48" s="23" t="s">
        <v>63</v>
      </c>
      <c r="B48" s="295">
        <v>96.480172800000005</v>
      </c>
      <c r="C48" s="24">
        <v>42265.368055555555</v>
      </c>
      <c r="D48" s="23">
        <v>8900</v>
      </c>
      <c r="E48" s="23">
        <v>2.9</v>
      </c>
      <c r="F48" s="23">
        <v>95</v>
      </c>
      <c r="G48" s="23">
        <v>22000</v>
      </c>
      <c r="H48" s="23">
        <v>200</v>
      </c>
      <c r="I48" s="23">
        <v>2200</v>
      </c>
      <c r="J48" s="23">
        <v>910</v>
      </c>
    </row>
    <row r="49" spans="1:10" s="23" customFormat="1" ht="11.25" x14ac:dyDescent="0.2">
      <c r="A49" s="23" t="s">
        <v>43</v>
      </c>
      <c r="B49" s="295">
        <v>92.376345600000008</v>
      </c>
      <c r="C49" s="24">
        <v>42265.385416666664</v>
      </c>
      <c r="D49" s="23">
        <v>7000</v>
      </c>
      <c r="E49" s="23">
        <v>2.1</v>
      </c>
      <c r="F49" s="23">
        <v>70</v>
      </c>
      <c r="G49" s="23">
        <v>17000</v>
      </c>
      <c r="H49" s="23">
        <v>160</v>
      </c>
      <c r="I49" s="23">
        <v>1800</v>
      </c>
      <c r="J49" s="23">
        <v>600</v>
      </c>
    </row>
    <row r="50" spans="1:10" s="23" customFormat="1" ht="11.25" x14ac:dyDescent="0.2">
      <c r="A50" s="23" t="s">
        <v>44</v>
      </c>
      <c r="B50" s="295">
        <v>92.376345600000008</v>
      </c>
      <c r="C50" s="24">
        <v>42265.385416666664</v>
      </c>
      <c r="D50" s="23">
        <v>7000</v>
      </c>
      <c r="E50" s="23">
        <v>2.2000000000000002</v>
      </c>
      <c r="F50" s="23">
        <v>83</v>
      </c>
      <c r="G50" s="23">
        <v>17000</v>
      </c>
      <c r="H50" s="23">
        <v>200</v>
      </c>
      <c r="I50" s="23">
        <v>2200</v>
      </c>
      <c r="J50" s="23">
        <v>750</v>
      </c>
    </row>
    <row r="51" spans="1:10" s="23" customFormat="1" ht="11.25" x14ac:dyDescent="0.2">
      <c r="A51" s="23" t="s">
        <v>88</v>
      </c>
      <c r="B51" s="295">
        <v>103.15895039999999</v>
      </c>
      <c r="C51" s="24">
        <v>42267.375</v>
      </c>
      <c r="D51" s="23">
        <v>10000</v>
      </c>
      <c r="E51" s="23">
        <v>0.96</v>
      </c>
      <c r="F51" s="23">
        <v>40</v>
      </c>
      <c r="G51" s="23">
        <v>17000</v>
      </c>
      <c r="H51" s="23">
        <v>73</v>
      </c>
      <c r="I51" s="23">
        <v>760</v>
      </c>
      <c r="J51" s="23">
        <v>280</v>
      </c>
    </row>
    <row r="52" spans="1:10" s="23" customFormat="1" ht="11.25" x14ac:dyDescent="0.2">
      <c r="A52" s="23" t="s">
        <v>64</v>
      </c>
      <c r="B52" s="295">
        <v>96.480172800000005</v>
      </c>
      <c r="C52" s="24">
        <v>42267.395833333336</v>
      </c>
      <c r="D52" s="23">
        <v>8100</v>
      </c>
      <c r="E52" s="23">
        <v>3</v>
      </c>
      <c r="F52" s="23">
        <v>74</v>
      </c>
      <c r="G52" s="23">
        <v>20000</v>
      </c>
      <c r="H52" s="23">
        <v>180</v>
      </c>
      <c r="I52" s="23">
        <v>2200</v>
      </c>
      <c r="J52" s="23">
        <v>850</v>
      </c>
    </row>
    <row r="53" spans="1:10" s="23" customFormat="1" ht="11.25" x14ac:dyDescent="0.2">
      <c r="A53" s="23" t="s">
        <v>45</v>
      </c>
      <c r="B53" s="295">
        <v>92.376345600000008</v>
      </c>
      <c r="C53" s="24">
        <v>42267.416666666664</v>
      </c>
      <c r="D53" s="23">
        <v>5700</v>
      </c>
      <c r="E53" s="23">
        <v>1.6</v>
      </c>
      <c r="F53" s="23">
        <v>64</v>
      </c>
      <c r="G53" s="23">
        <v>14000</v>
      </c>
      <c r="H53" s="23">
        <v>150</v>
      </c>
      <c r="I53" s="23">
        <v>1700</v>
      </c>
      <c r="J53" s="23">
        <v>560</v>
      </c>
    </row>
    <row r="54" spans="1:10" s="23" customFormat="1" ht="11.25" x14ac:dyDescent="0.2">
      <c r="A54" s="23" t="s">
        <v>46</v>
      </c>
      <c r="B54" s="295">
        <v>92.376345600000008</v>
      </c>
      <c r="C54" s="24">
        <v>42267.416666666664</v>
      </c>
      <c r="D54" s="23">
        <v>5800</v>
      </c>
      <c r="E54" s="23">
        <v>1.7</v>
      </c>
      <c r="F54" s="23">
        <v>65</v>
      </c>
      <c r="G54" s="23">
        <v>14000</v>
      </c>
      <c r="H54" s="23">
        <v>150</v>
      </c>
      <c r="I54" s="23">
        <v>1600</v>
      </c>
      <c r="J54" s="23">
        <v>580</v>
      </c>
    </row>
    <row r="55" spans="1:10" s="23" customFormat="1" ht="11.25" x14ac:dyDescent="0.2">
      <c r="A55" s="23" t="s">
        <v>89</v>
      </c>
      <c r="B55" s="295">
        <v>103.15895039999999</v>
      </c>
      <c r="C55" s="24">
        <v>42268.340277777781</v>
      </c>
      <c r="D55" s="23">
        <v>8200</v>
      </c>
      <c r="E55" s="23">
        <v>0.91</v>
      </c>
      <c r="F55" s="23">
        <v>31</v>
      </c>
      <c r="G55" s="23">
        <v>15000</v>
      </c>
      <c r="H55" s="23">
        <v>110</v>
      </c>
      <c r="I55" s="23">
        <v>1200</v>
      </c>
      <c r="J55" s="23">
        <v>280</v>
      </c>
    </row>
    <row r="56" spans="1:10" s="23" customFormat="1" ht="11.25" x14ac:dyDescent="0.2">
      <c r="A56" s="23" t="s">
        <v>65</v>
      </c>
      <c r="B56" s="295">
        <v>96.480172800000005</v>
      </c>
      <c r="C56" s="24">
        <v>42268.357638888891</v>
      </c>
      <c r="D56" s="23">
        <v>3500</v>
      </c>
      <c r="E56" s="23">
        <v>1.4</v>
      </c>
      <c r="F56" s="23">
        <v>34</v>
      </c>
      <c r="G56" s="23">
        <v>8700</v>
      </c>
      <c r="H56" s="23">
        <v>200</v>
      </c>
      <c r="I56" s="23">
        <v>2800</v>
      </c>
      <c r="J56" s="23">
        <v>460</v>
      </c>
    </row>
    <row r="57" spans="1:10" s="23" customFormat="1" ht="11.25" x14ac:dyDescent="0.2">
      <c r="A57" s="23" t="s">
        <v>47</v>
      </c>
      <c r="B57" s="295">
        <v>92.376345600000008</v>
      </c>
      <c r="C57" s="24">
        <v>42268.378472222219</v>
      </c>
      <c r="D57" s="23">
        <v>5200</v>
      </c>
      <c r="E57" s="23">
        <v>1.6</v>
      </c>
      <c r="F57" s="23">
        <v>58</v>
      </c>
      <c r="G57" s="23">
        <v>12000</v>
      </c>
      <c r="H57" s="23">
        <v>200</v>
      </c>
      <c r="I57" s="23">
        <v>2000</v>
      </c>
      <c r="J57" s="23">
        <v>530</v>
      </c>
    </row>
    <row r="58" spans="1:10" s="23" customFormat="1" ht="11.25" x14ac:dyDescent="0.2">
      <c r="A58" s="23" t="s">
        <v>90</v>
      </c>
      <c r="B58" s="295">
        <v>103.15895039999999</v>
      </c>
      <c r="C58" s="24">
        <v>42271.378472222219</v>
      </c>
      <c r="D58" s="23">
        <v>6900</v>
      </c>
      <c r="E58" s="23">
        <v>1.9</v>
      </c>
      <c r="F58" s="23">
        <v>60</v>
      </c>
      <c r="G58" s="23">
        <v>17000</v>
      </c>
      <c r="H58" s="23">
        <v>160</v>
      </c>
      <c r="I58" s="23">
        <v>1700</v>
      </c>
      <c r="J58" s="23">
        <v>580</v>
      </c>
    </row>
    <row r="59" spans="1:10" s="23" customFormat="1" ht="11.25" x14ac:dyDescent="0.2">
      <c r="A59" s="23" t="s">
        <v>66</v>
      </c>
      <c r="B59" s="295">
        <v>96.480172800000005</v>
      </c>
      <c r="C59" s="24">
        <v>42271.402777777781</v>
      </c>
      <c r="D59" s="23">
        <v>6200</v>
      </c>
      <c r="E59" s="23">
        <v>2.1</v>
      </c>
      <c r="F59" s="23">
        <v>62</v>
      </c>
      <c r="G59" s="23">
        <v>17000</v>
      </c>
      <c r="H59" s="23">
        <v>170</v>
      </c>
      <c r="I59" s="23">
        <v>2400</v>
      </c>
      <c r="J59" s="23">
        <v>670</v>
      </c>
    </row>
    <row r="60" spans="1:10" s="23" customFormat="1" ht="11.25" x14ac:dyDescent="0.2">
      <c r="A60" s="23" t="s">
        <v>48</v>
      </c>
      <c r="B60" s="295">
        <v>92.376345600000008</v>
      </c>
      <c r="C60" s="24">
        <v>42271.430555555555</v>
      </c>
      <c r="D60" s="23">
        <v>5100</v>
      </c>
      <c r="E60" s="23">
        <v>1.6</v>
      </c>
      <c r="F60" s="23">
        <v>54</v>
      </c>
      <c r="G60" s="23">
        <v>13000</v>
      </c>
      <c r="H60" s="23">
        <v>130</v>
      </c>
      <c r="I60" s="23">
        <v>1600</v>
      </c>
      <c r="J60" s="23">
        <v>520</v>
      </c>
    </row>
    <row r="61" spans="1:10" s="23" customFormat="1" ht="11.25" x14ac:dyDescent="0.2">
      <c r="A61" s="23" t="s">
        <v>91</v>
      </c>
      <c r="B61" s="295">
        <v>103.15895039999999</v>
      </c>
      <c r="C61" s="24">
        <v>42275.361111111109</v>
      </c>
      <c r="D61" s="23">
        <v>9100</v>
      </c>
      <c r="E61" s="23">
        <v>1</v>
      </c>
      <c r="F61" s="23">
        <v>35</v>
      </c>
      <c r="G61" s="23">
        <v>15000</v>
      </c>
      <c r="H61" s="23">
        <v>86</v>
      </c>
      <c r="I61" s="23">
        <v>840</v>
      </c>
      <c r="J61" s="23">
        <v>320</v>
      </c>
    </row>
    <row r="62" spans="1:10" s="23" customFormat="1" ht="11.25" x14ac:dyDescent="0.2">
      <c r="A62" s="23" t="s">
        <v>67</v>
      </c>
      <c r="B62" s="295">
        <v>96.480172800000005</v>
      </c>
      <c r="C62" s="24">
        <v>42275.385416666664</v>
      </c>
      <c r="D62" s="23">
        <v>5600</v>
      </c>
      <c r="E62" s="23">
        <v>2.2000000000000002</v>
      </c>
      <c r="F62" s="23">
        <v>67</v>
      </c>
      <c r="G62" s="23">
        <v>16000</v>
      </c>
      <c r="H62" s="23">
        <v>150</v>
      </c>
      <c r="I62" s="23">
        <v>2200</v>
      </c>
      <c r="J62" s="23">
        <v>680</v>
      </c>
    </row>
    <row r="63" spans="1:10" s="23" customFormat="1" ht="11.25" x14ac:dyDescent="0.2">
      <c r="A63" s="23" t="s">
        <v>49</v>
      </c>
      <c r="B63" s="295">
        <v>92.376345600000008</v>
      </c>
      <c r="C63" s="24">
        <v>42275.416666666664</v>
      </c>
      <c r="D63" s="23">
        <v>4300</v>
      </c>
      <c r="E63" s="23">
        <v>1.7</v>
      </c>
      <c r="F63" s="23">
        <v>69</v>
      </c>
      <c r="G63" s="23">
        <v>11000</v>
      </c>
      <c r="H63" s="23">
        <v>180</v>
      </c>
      <c r="I63" s="23">
        <v>2000</v>
      </c>
      <c r="J63" s="23">
        <v>630</v>
      </c>
    </row>
    <row r="64" spans="1:10" s="23" customFormat="1" ht="11.25" x14ac:dyDescent="0.2">
      <c r="A64" s="23" t="s">
        <v>50</v>
      </c>
      <c r="B64" s="295">
        <v>92.376345600000008</v>
      </c>
      <c r="C64" s="24">
        <v>42275.416666666664</v>
      </c>
      <c r="D64" s="23">
        <v>5200</v>
      </c>
      <c r="E64" s="23">
        <v>1.7</v>
      </c>
      <c r="F64" s="23">
        <v>67</v>
      </c>
      <c r="G64" s="23">
        <v>14000</v>
      </c>
      <c r="H64" s="23">
        <v>170</v>
      </c>
      <c r="I64" s="23">
        <v>2000</v>
      </c>
      <c r="J64" s="23">
        <v>580</v>
      </c>
    </row>
    <row r="65" spans="1:10" s="23" customFormat="1" ht="11.25" x14ac:dyDescent="0.2">
      <c r="A65" s="23" t="s">
        <v>92</v>
      </c>
      <c r="B65" s="295">
        <v>103.15895039999999</v>
      </c>
      <c r="C65" s="24">
        <v>42278.395833333336</v>
      </c>
      <c r="D65" s="23">
        <v>5000</v>
      </c>
      <c r="E65" s="23">
        <v>1.3</v>
      </c>
      <c r="F65" s="23">
        <v>33</v>
      </c>
      <c r="G65" s="23">
        <v>15000</v>
      </c>
      <c r="H65" s="23">
        <v>97</v>
      </c>
      <c r="I65" s="23">
        <v>1200</v>
      </c>
      <c r="J65" s="23">
        <v>410</v>
      </c>
    </row>
    <row r="66" spans="1:10" s="23" customFormat="1" ht="11.25" x14ac:dyDescent="0.2">
      <c r="A66" s="23" t="s">
        <v>68</v>
      </c>
      <c r="B66" s="295">
        <v>96.480172800000005</v>
      </c>
      <c r="C66" s="24">
        <v>42278.4375</v>
      </c>
      <c r="D66" s="23">
        <v>8100</v>
      </c>
      <c r="E66" s="23">
        <v>3.2</v>
      </c>
      <c r="F66" s="23">
        <v>83</v>
      </c>
      <c r="G66" s="23">
        <v>22000</v>
      </c>
      <c r="H66" s="23">
        <v>220</v>
      </c>
      <c r="I66" s="23">
        <v>2700</v>
      </c>
      <c r="J66" s="23">
        <v>970</v>
      </c>
    </row>
    <row r="67" spans="1:10" s="23" customFormat="1" ht="11.25" x14ac:dyDescent="0.2">
      <c r="A67" s="23" t="s">
        <v>51</v>
      </c>
      <c r="B67" s="295">
        <v>92.376345600000008</v>
      </c>
      <c r="C67" s="24">
        <v>42278.458333333336</v>
      </c>
      <c r="D67" s="23">
        <v>5600</v>
      </c>
      <c r="E67" s="23">
        <v>1.7</v>
      </c>
      <c r="F67" s="23">
        <v>58</v>
      </c>
      <c r="G67" s="23">
        <v>17000</v>
      </c>
      <c r="H67" s="23">
        <v>140</v>
      </c>
      <c r="I67" s="23">
        <v>1900</v>
      </c>
      <c r="J67" s="23">
        <v>560</v>
      </c>
    </row>
    <row r="68" spans="1:10" s="23" customFormat="1" ht="11.25" x14ac:dyDescent="0.2">
      <c r="A68" s="23" t="s">
        <v>33</v>
      </c>
      <c r="B68" s="295">
        <v>89.930142720000006</v>
      </c>
      <c r="C68" s="24">
        <v>42304.363194444442</v>
      </c>
      <c r="D68" s="23">
        <v>7700</v>
      </c>
      <c r="E68" s="23">
        <v>2.4</v>
      </c>
      <c r="F68" s="23">
        <v>100</v>
      </c>
      <c r="G68" s="23">
        <v>21000</v>
      </c>
      <c r="H68" s="23">
        <v>260</v>
      </c>
      <c r="I68" s="23">
        <v>2700</v>
      </c>
      <c r="J68" s="23">
        <v>830</v>
      </c>
    </row>
    <row r="69" spans="1:10" s="23" customFormat="1" ht="11.25" x14ac:dyDescent="0.2">
      <c r="A69" s="23" t="s">
        <v>36</v>
      </c>
      <c r="B69" s="295">
        <v>91.764794880000011</v>
      </c>
      <c r="C69" s="24">
        <v>42304.467361111114</v>
      </c>
      <c r="D69" s="23">
        <v>6400</v>
      </c>
      <c r="E69" s="23">
        <v>2</v>
      </c>
      <c r="F69" s="23">
        <v>72</v>
      </c>
      <c r="G69" s="23">
        <v>19000</v>
      </c>
      <c r="H69" s="23">
        <v>190</v>
      </c>
      <c r="I69" s="23">
        <v>2600</v>
      </c>
      <c r="J69" s="23">
        <v>810</v>
      </c>
    </row>
    <row r="70" spans="1:10" s="23" customFormat="1" ht="11.25" x14ac:dyDescent="0.2">
      <c r="A70" s="23" t="s">
        <v>55</v>
      </c>
      <c r="B70" s="295">
        <v>94.24318464000001</v>
      </c>
      <c r="C70" s="24">
        <v>42304.491666666669</v>
      </c>
      <c r="D70" s="23">
        <v>8000</v>
      </c>
      <c r="E70" s="23">
        <v>1.7</v>
      </c>
      <c r="F70" s="23">
        <v>66</v>
      </c>
      <c r="G70" s="23">
        <v>21000</v>
      </c>
      <c r="H70" s="23">
        <v>240</v>
      </c>
      <c r="I70" s="23">
        <v>2800</v>
      </c>
      <c r="J70" s="23">
        <v>960</v>
      </c>
    </row>
    <row r="71" spans="1:10" s="23" customFormat="1" ht="11.25" x14ac:dyDescent="0.2">
      <c r="A71" s="23" t="s">
        <v>69</v>
      </c>
      <c r="B71" s="295">
        <v>96.480172800000005</v>
      </c>
      <c r="C71" s="24">
        <v>42304.574305555558</v>
      </c>
      <c r="D71" s="23">
        <v>5700</v>
      </c>
      <c r="E71" s="23">
        <v>1.4</v>
      </c>
      <c r="F71" s="23">
        <v>48</v>
      </c>
      <c r="G71" s="23">
        <v>17000</v>
      </c>
      <c r="H71" s="23">
        <v>200</v>
      </c>
      <c r="I71" s="23">
        <v>2400</v>
      </c>
      <c r="J71" s="23">
        <v>870</v>
      </c>
    </row>
    <row r="72" spans="1:10" s="23" customFormat="1" ht="11.25" x14ac:dyDescent="0.2">
      <c r="A72" s="23" t="s">
        <v>96</v>
      </c>
      <c r="B72" s="295">
        <v>104.17283712000001</v>
      </c>
      <c r="C72" s="24">
        <v>42305.620138888888</v>
      </c>
      <c r="D72" s="23">
        <v>8300</v>
      </c>
      <c r="E72" s="23">
        <v>2.1</v>
      </c>
      <c r="F72" s="23">
        <v>63</v>
      </c>
      <c r="G72" s="23">
        <v>21000</v>
      </c>
      <c r="H72" s="23">
        <v>140</v>
      </c>
      <c r="I72" s="23">
        <v>1900</v>
      </c>
      <c r="J72" s="23">
        <v>670</v>
      </c>
    </row>
    <row r="73" spans="1:10" x14ac:dyDescent="0.25">
      <c r="A73" s="10" t="s">
        <v>25</v>
      </c>
      <c r="B73" s="295"/>
      <c r="C73" s="11">
        <v>42493</v>
      </c>
      <c r="D73" s="10">
        <v>5800</v>
      </c>
      <c r="E73" s="10">
        <v>1.6</v>
      </c>
      <c r="F73" s="10">
        <v>55</v>
      </c>
      <c r="G73" s="10">
        <v>17000</v>
      </c>
      <c r="H73" s="10">
        <v>140</v>
      </c>
      <c r="I73" s="10">
        <v>1900</v>
      </c>
      <c r="J73" s="10">
        <v>560</v>
      </c>
    </row>
    <row r="74" spans="1:10" x14ac:dyDescent="0.25">
      <c r="A74" s="10" t="s">
        <v>25</v>
      </c>
      <c r="B74" s="295"/>
      <c r="C74" s="11">
        <v>42501</v>
      </c>
      <c r="D74" s="10">
        <v>4800</v>
      </c>
      <c r="E74" s="10">
        <v>2.1</v>
      </c>
      <c r="F74" s="10">
        <v>120</v>
      </c>
      <c r="G74" s="10">
        <v>21000</v>
      </c>
      <c r="H74" s="10">
        <v>200</v>
      </c>
      <c r="I74" s="10">
        <v>2900</v>
      </c>
      <c r="J74" s="10">
        <v>650</v>
      </c>
    </row>
    <row r="75" spans="1:10" x14ac:dyDescent="0.25">
      <c r="A75" s="10" t="s">
        <v>25</v>
      </c>
      <c r="B75" s="295"/>
      <c r="C75" s="11">
        <v>42509</v>
      </c>
      <c r="D75" s="10">
        <v>7600</v>
      </c>
      <c r="E75" s="10">
        <v>2.2999999999999998</v>
      </c>
      <c r="F75" s="10">
        <v>81</v>
      </c>
      <c r="G75" s="10">
        <v>22000</v>
      </c>
      <c r="H75" s="10">
        <v>190</v>
      </c>
      <c r="I75" s="10">
        <v>1900</v>
      </c>
      <c r="J75" s="10">
        <v>690</v>
      </c>
    </row>
    <row r="76" spans="1:10" x14ac:dyDescent="0.25">
      <c r="A76" s="10" t="s">
        <v>25</v>
      </c>
      <c r="B76" s="295"/>
      <c r="C76" s="11">
        <v>42516</v>
      </c>
      <c r="D76" s="10">
        <v>8300</v>
      </c>
      <c r="E76" s="10">
        <v>2.2000000000000002</v>
      </c>
      <c r="F76" s="10">
        <v>81</v>
      </c>
      <c r="G76" s="10">
        <v>24000</v>
      </c>
      <c r="H76" s="10">
        <v>190</v>
      </c>
      <c r="I76" s="10">
        <v>2100</v>
      </c>
      <c r="J76" s="10">
        <v>710</v>
      </c>
    </row>
    <row r="77" spans="1:10" x14ac:dyDescent="0.25">
      <c r="A77" s="10" t="s">
        <v>25</v>
      </c>
      <c r="B77" s="295"/>
      <c r="C77" s="11">
        <v>42522</v>
      </c>
      <c r="D77" s="10">
        <v>7100</v>
      </c>
      <c r="E77" s="10">
        <v>2</v>
      </c>
      <c r="F77" s="10">
        <v>81</v>
      </c>
      <c r="G77" s="10">
        <v>24000</v>
      </c>
      <c r="H77" s="10">
        <v>220</v>
      </c>
      <c r="I77" s="10">
        <v>2500</v>
      </c>
      <c r="J77" s="10">
        <v>740</v>
      </c>
    </row>
    <row r="78" spans="1:10" x14ac:dyDescent="0.25">
      <c r="A78" s="10" t="s">
        <v>25</v>
      </c>
      <c r="B78" s="295"/>
      <c r="C78" s="11">
        <v>42528</v>
      </c>
      <c r="D78" s="10">
        <v>4600</v>
      </c>
      <c r="E78" s="10">
        <v>2</v>
      </c>
      <c r="F78" s="10">
        <v>47</v>
      </c>
      <c r="G78" s="10">
        <v>16000</v>
      </c>
      <c r="H78" s="10">
        <v>160</v>
      </c>
      <c r="I78" s="10">
        <v>2300</v>
      </c>
      <c r="J78" s="10">
        <v>620</v>
      </c>
    </row>
    <row r="79" spans="1:10" x14ac:dyDescent="0.25">
      <c r="A79" s="10" t="s">
        <v>25</v>
      </c>
      <c r="B79" s="295"/>
      <c r="C79" s="11">
        <v>42536</v>
      </c>
      <c r="D79" s="10">
        <v>4200</v>
      </c>
      <c r="E79" s="10">
        <v>2.5</v>
      </c>
      <c r="F79" s="10">
        <v>52</v>
      </c>
      <c r="G79" s="10">
        <v>15000</v>
      </c>
      <c r="H79" s="10">
        <v>180</v>
      </c>
      <c r="I79" s="10">
        <v>2600</v>
      </c>
      <c r="J79" s="10">
        <v>730</v>
      </c>
    </row>
    <row r="81" spans="3:10" x14ac:dyDescent="0.25">
      <c r="E81" t="s">
        <v>323</v>
      </c>
    </row>
    <row r="82" spans="3:10" x14ac:dyDescent="0.25">
      <c r="D82" s="10" t="s">
        <v>7</v>
      </c>
      <c r="E82" s="10" t="s">
        <v>1</v>
      </c>
      <c r="F82" s="10" t="s">
        <v>2</v>
      </c>
      <c r="G82" s="10" t="s">
        <v>3</v>
      </c>
      <c r="H82" s="10" t="s">
        <v>4</v>
      </c>
      <c r="I82" s="10" t="s">
        <v>5</v>
      </c>
      <c r="J82" s="10" t="s">
        <v>6</v>
      </c>
    </row>
    <row r="83" spans="3:10" x14ac:dyDescent="0.25">
      <c r="C83" s="411" t="s">
        <v>324</v>
      </c>
      <c r="D83" s="412">
        <f>GEOMEAN(D4:D72)</f>
        <v>6259.6116974193519</v>
      </c>
      <c r="E83" s="412">
        <f t="shared" ref="E83:J83" si="0">GEOMEAN(E4:E72)</f>
        <v>2.2681084520269308</v>
      </c>
      <c r="F83" s="412">
        <f t="shared" si="0"/>
        <v>78.427144787753292</v>
      </c>
      <c r="G83" s="412">
        <f t="shared" si="0"/>
        <v>16093.313005008617</v>
      </c>
      <c r="H83" s="412">
        <f t="shared" si="0"/>
        <v>241.60439757574781</v>
      </c>
      <c r="I83" s="412">
        <f t="shared" si="0"/>
        <v>2007.4853892827307</v>
      </c>
      <c r="J83" s="412">
        <f t="shared" si="0"/>
        <v>751.20223711027199</v>
      </c>
    </row>
    <row r="84" spans="3:10" x14ac:dyDescent="0.25">
      <c r="C84" s="411" t="s">
        <v>325</v>
      </c>
      <c r="D84" s="412">
        <f>GEOMEAN(D4:D39)</f>
        <v>6150.8205654092217</v>
      </c>
      <c r="E84" s="412">
        <f t="shared" ref="E84:J84" si="1">GEOMEAN(E4:E39)</f>
        <v>2.737271067450981</v>
      </c>
      <c r="F84" s="412">
        <f t="shared" si="1"/>
        <v>98.563404692785937</v>
      </c>
      <c r="G84" s="412">
        <f t="shared" si="1"/>
        <v>16248.261340165212</v>
      </c>
      <c r="H84" s="412">
        <f t="shared" si="1"/>
        <v>342.82270679336767</v>
      </c>
      <c r="I84" s="412">
        <f t="shared" si="1"/>
        <v>2135.2639873526737</v>
      </c>
      <c r="J84" s="412">
        <f t="shared" si="1"/>
        <v>898.25805358571927</v>
      </c>
    </row>
    <row r="85" spans="3:10" x14ac:dyDescent="0.25">
      <c r="C85" s="411" t="s">
        <v>326</v>
      </c>
      <c r="D85" s="412">
        <f>GEOMEAN(D40:D64)</f>
        <v>6271.2329798347882</v>
      </c>
      <c r="E85" s="412">
        <f t="shared" ref="E85:J85" si="2">GEOMEAN(E40:E64)</f>
        <v>1.8310967976318873</v>
      </c>
      <c r="F85" s="412">
        <f t="shared" si="2"/>
        <v>60.734791193193104</v>
      </c>
      <c r="G85" s="412">
        <f t="shared" si="2"/>
        <v>15157.109267021298</v>
      </c>
      <c r="H85" s="412">
        <f t="shared" si="2"/>
        <v>161.06916329116663</v>
      </c>
      <c r="I85" s="412">
        <f t="shared" si="2"/>
        <v>1783.3639875607446</v>
      </c>
      <c r="J85" s="412">
        <f t="shared" si="2"/>
        <v>585.1463163049176</v>
      </c>
    </row>
    <row r="86" spans="3:10" x14ac:dyDescent="0.25">
      <c r="C86" s="411" t="s">
        <v>327</v>
      </c>
      <c r="D86" s="412">
        <f>GEOMEAN(D65:D72)</f>
        <v>6734.3329679076987</v>
      </c>
      <c r="E86" s="412">
        <f t="shared" ref="E86:J86" si="3">GEOMEAN(E65:E72)</f>
        <v>1.8997544376121844</v>
      </c>
      <c r="F86" s="412">
        <f t="shared" si="3"/>
        <v>62.346170168581224</v>
      </c>
      <c r="G86" s="412">
        <f t="shared" si="3"/>
        <v>18971.554093961568</v>
      </c>
      <c r="H86" s="412">
        <f t="shared" si="3"/>
        <v>177.64473238706563</v>
      </c>
      <c r="I86" s="412">
        <f t="shared" si="3"/>
        <v>2201.5057528056254</v>
      </c>
      <c r="J86" s="412">
        <f t="shared" si="3"/>
        <v>733.49389283229732</v>
      </c>
    </row>
    <row r="87" spans="3:10" x14ac:dyDescent="0.25">
      <c r="C87" s="411" t="s">
        <v>328</v>
      </c>
      <c r="D87" s="412">
        <f>GEOMEAN(D73:D79)</f>
        <v>5872.6259644089741</v>
      </c>
      <c r="E87" s="412">
        <f t="shared" ref="E87:J87" si="4">GEOMEAN(E73:E79)</f>
        <v>2.0827704107995939</v>
      </c>
      <c r="F87" s="412">
        <f t="shared" si="4"/>
        <v>70.40212078342114</v>
      </c>
      <c r="G87" s="412">
        <f t="shared" si="4"/>
        <v>19535.197359269172</v>
      </c>
      <c r="H87" s="412">
        <f t="shared" si="4"/>
        <v>181.16263499495048</v>
      </c>
      <c r="I87" s="412">
        <f t="shared" si="4"/>
        <v>2288.4317011036255</v>
      </c>
      <c r="J87" s="412">
        <f t="shared" si="4"/>
        <v>668.59790773642067</v>
      </c>
    </row>
  </sheetData>
  <sheetProtection algorithmName="SHA-512" hashValue="yfX6hdDjogoT1yj4G9hW3Zq27ZVSmx8Iikdsfd0oi5z2eOeZsXNtDxeJcFDY9C6MyUQjyNXuv/LuaCFRWUW58g==" saltValue="dS4UI3r5ULsF8kFwoPRQ3A==" spinCount="100000" sheet="1" scenarios="1"/>
  <sortState ref="A2:J90">
    <sortCondition ref="C2:C90"/>
  </sortState>
  <mergeCells count="1">
    <mergeCell ref="D2:J2"/>
  </mergeCells>
  <pageMargins left="0.7" right="0.7" top="0.75" bottom="0.75" header="0.3" footer="0.3"/>
  <pageSetup orientation="portrait" r:id="rId1"/>
  <ignoredErrors>
    <ignoredError sqref="D83:J87" formulaRange="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AM234"/>
  <sheetViews>
    <sheetView showGridLines="0" topLeftCell="P1" workbookViewId="0">
      <selection activeCell="Y20" sqref="Y20"/>
    </sheetView>
  </sheetViews>
  <sheetFormatPr defaultRowHeight="18.75" customHeight="1" x14ac:dyDescent="0.25"/>
  <cols>
    <col min="1" max="1" width="9.140625" style="1"/>
    <col min="2" max="2" width="19" style="3" customWidth="1"/>
    <col min="3" max="4" width="11.85546875" style="1" customWidth="1"/>
    <col min="5" max="9" width="9.5703125" style="1" customWidth="1"/>
    <col min="10" max="10" width="9.140625" style="1"/>
    <col min="11" max="17" width="11" style="1" customWidth="1"/>
    <col min="18" max="18" width="14.140625" style="1" customWidth="1"/>
    <col min="19" max="19" width="15.85546875" style="1" customWidth="1"/>
    <col min="20" max="20" width="19.42578125" style="1" customWidth="1"/>
    <col min="21" max="21" width="8.28515625" style="1" customWidth="1"/>
    <col min="22" max="22" width="16.140625" style="1" customWidth="1"/>
    <col min="23" max="23" width="10.140625" style="1" customWidth="1"/>
    <col min="24" max="26" width="13.7109375" style="1" customWidth="1"/>
    <col min="27" max="27" width="23.7109375" style="1" customWidth="1"/>
    <col min="28" max="31" width="9.140625" style="1"/>
    <col min="32" max="33" width="11.85546875" style="1" customWidth="1"/>
    <col min="34" max="34" width="16.7109375" style="1" customWidth="1"/>
    <col min="35" max="35" width="9.140625" style="1"/>
    <col min="36" max="36" width="17" style="1" customWidth="1"/>
    <col min="37" max="37" width="10.140625" style="1" customWidth="1"/>
    <col min="38" max="38" width="13.5703125" style="1" customWidth="1"/>
    <col min="39" max="39" width="15.5703125" style="1" customWidth="1"/>
    <col min="40" max="16384" width="9.140625" style="1"/>
  </cols>
  <sheetData>
    <row r="1" spans="1:37" ht="18.75" customHeight="1" x14ac:dyDescent="0.25">
      <c r="A1" s="269" t="s">
        <v>204</v>
      </c>
    </row>
    <row r="2" spans="1:37" ht="18.75" customHeight="1" x14ac:dyDescent="0.25">
      <c r="S2" s="286" t="s">
        <v>165</v>
      </c>
    </row>
    <row r="3" spans="1:37" ht="18.75" customHeight="1" x14ac:dyDescent="0.25">
      <c r="B3" s="432" t="s">
        <v>183</v>
      </c>
      <c r="C3" s="432"/>
      <c r="D3" s="432"/>
      <c r="E3" s="432"/>
      <c r="F3" s="432"/>
      <c r="G3" s="432"/>
      <c r="H3" s="432"/>
      <c r="I3" s="432"/>
      <c r="J3" s="432"/>
      <c r="K3" s="432"/>
      <c r="L3" s="432"/>
      <c r="M3" s="432"/>
      <c r="N3" s="432"/>
      <c r="O3" s="432"/>
      <c r="P3" s="432"/>
      <c r="Q3" s="432"/>
      <c r="R3" s="432"/>
    </row>
    <row r="4" spans="1:37" s="15" customFormat="1" ht="18.75" customHeight="1" x14ac:dyDescent="0.25">
      <c r="B4" s="292"/>
      <c r="C4" s="421" t="s">
        <v>214</v>
      </c>
      <c r="D4" s="421"/>
      <c r="E4" s="421"/>
      <c r="F4" s="421"/>
      <c r="G4" s="421"/>
      <c r="H4" s="421"/>
      <c r="I4" s="421"/>
      <c r="J4" s="1"/>
      <c r="K4" s="421" t="s">
        <v>213</v>
      </c>
      <c r="L4" s="421"/>
      <c r="M4" s="421"/>
      <c r="N4" s="421"/>
      <c r="O4" s="421"/>
      <c r="P4" s="421"/>
      <c r="Q4" s="421"/>
      <c r="R4" s="292"/>
      <c r="AE4" s="15" t="s">
        <v>209</v>
      </c>
    </row>
    <row r="5" spans="1:37" ht="18.75" customHeight="1" x14ac:dyDescent="0.25">
      <c r="A5" s="1" t="s">
        <v>140</v>
      </c>
      <c r="B5" s="3" t="s">
        <v>9</v>
      </c>
      <c r="C5" s="1" t="s">
        <v>7</v>
      </c>
      <c r="D5" s="1" t="s">
        <v>1</v>
      </c>
      <c r="E5" s="1" t="s">
        <v>2</v>
      </c>
      <c r="F5" s="1" t="s">
        <v>3</v>
      </c>
      <c r="G5" s="1" t="s">
        <v>4</v>
      </c>
      <c r="H5" s="1" t="s">
        <v>5</v>
      </c>
      <c r="I5" s="1" t="s">
        <v>6</v>
      </c>
      <c r="K5" s="1" t="s">
        <v>7</v>
      </c>
      <c r="L5" s="1" t="s">
        <v>1</v>
      </c>
      <c r="M5" s="1" t="s">
        <v>2</v>
      </c>
      <c r="N5" s="1" t="s">
        <v>3</v>
      </c>
      <c r="O5" s="1" t="s">
        <v>4</v>
      </c>
      <c r="P5" s="1" t="s">
        <v>5</v>
      </c>
      <c r="Q5" s="1" t="s">
        <v>6</v>
      </c>
      <c r="W5" s="41" t="s">
        <v>112</v>
      </c>
      <c r="AD5" s="15"/>
      <c r="AE5" s="15"/>
      <c r="AF5" s="15"/>
      <c r="AG5" s="15"/>
      <c r="AH5" s="15"/>
      <c r="AI5" s="15"/>
      <c r="AJ5" s="15"/>
      <c r="AK5" s="15"/>
    </row>
    <row r="6" spans="1:37" ht="18.75" customHeight="1" x14ac:dyDescent="0.25">
      <c r="A6" s="18" t="s">
        <v>101</v>
      </c>
      <c r="B6" s="210">
        <v>42227.541666666664</v>
      </c>
      <c r="C6" s="15">
        <v>8800</v>
      </c>
      <c r="D6" s="15">
        <v>0.52</v>
      </c>
      <c r="E6" s="15">
        <v>25</v>
      </c>
      <c r="F6" s="15">
        <v>14000</v>
      </c>
      <c r="G6" s="15">
        <v>39</v>
      </c>
      <c r="H6" s="15">
        <v>530</v>
      </c>
      <c r="I6" s="15">
        <v>180</v>
      </c>
      <c r="J6" s="15"/>
      <c r="K6" s="215">
        <f>LOG(C6)</f>
        <v>3.9444826721501687</v>
      </c>
      <c r="L6" s="215">
        <f t="shared" ref="L6:Q21" si="0">LOG(D6)</f>
        <v>-0.28399665636520083</v>
      </c>
      <c r="M6" s="215">
        <f t="shared" si="0"/>
        <v>1.3979400086720377</v>
      </c>
      <c r="N6" s="215">
        <f t="shared" si="0"/>
        <v>4.1461280356782382</v>
      </c>
      <c r="O6" s="215">
        <f t="shared" si="0"/>
        <v>1.5910646070264991</v>
      </c>
      <c r="P6" s="215">
        <f t="shared" si="0"/>
        <v>2.7242758696007892</v>
      </c>
      <c r="Q6" s="215">
        <f t="shared" si="0"/>
        <v>2.255272505103306</v>
      </c>
      <c r="S6" s="45" t="s">
        <v>109</v>
      </c>
      <c r="T6" s="41"/>
      <c r="U6" s="45" t="s">
        <v>101</v>
      </c>
      <c r="W6" s="41"/>
      <c r="AD6" s="210" t="s">
        <v>9</v>
      </c>
      <c r="AE6" s="15" t="s">
        <v>7</v>
      </c>
      <c r="AF6" s="15" t="s">
        <v>1</v>
      </c>
      <c r="AG6" s="15" t="s">
        <v>2</v>
      </c>
      <c r="AH6" s="15" t="s">
        <v>3</v>
      </c>
      <c r="AI6" s="15" t="s">
        <v>4</v>
      </c>
      <c r="AJ6" s="15" t="s">
        <v>5</v>
      </c>
      <c r="AK6" s="15" t="s">
        <v>6</v>
      </c>
    </row>
    <row r="7" spans="1:37" ht="18.75" customHeight="1" x14ac:dyDescent="0.25">
      <c r="A7" s="18" t="s">
        <v>101</v>
      </c>
      <c r="B7" s="210">
        <v>42228.461805555555</v>
      </c>
      <c r="C7" s="15">
        <v>8100</v>
      </c>
      <c r="D7" s="15">
        <v>0.42</v>
      </c>
      <c r="E7" s="15">
        <v>20</v>
      </c>
      <c r="F7" s="15">
        <v>14000</v>
      </c>
      <c r="G7" s="15">
        <v>33</v>
      </c>
      <c r="H7" s="15">
        <v>460</v>
      </c>
      <c r="I7" s="15">
        <v>150</v>
      </c>
      <c r="J7" s="15"/>
      <c r="K7" s="215">
        <f t="shared" ref="K7:K63" si="1">LOG(C7)</f>
        <v>3.90848501887865</v>
      </c>
      <c r="L7" s="215">
        <f t="shared" si="0"/>
        <v>-0.37675070960209955</v>
      </c>
      <c r="M7" s="215">
        <f t="shared" si="0"/>
        <v>1.3010299956639813</v>
      </c>
      <c r="N7" s="215">
        <f t="shared" si="0"/>
        <v>4.1461280356782382</v>
      </c>
      <c r="O7" s="215">
        <f t="shared" si="0"/>
        <v>1.5185139398778875</v>
      </c>
      <c r="P7" s="215">
        <f t="shared" si="0"/>
        <v>2.6627578316815739</v>
      </c>
      <c r="Q7" s="215">
        <f t="shared" si="0"/>
        <v>2.1760912590556813</v>
      </c>
      <c r="S7" s="42" t="s">
        <v>8</v>
      </c>
      <c r="T7" s="79" t="s">
        <v>27</v>
      </c>
      <c r="U7" s="80" t="s">
        <v>116</v>
      </c>
      <c r="V7" s="79" t="s">
        <v>126</v>
      </c>
      <c r="W7" s="42" t="s">
        <v>116</v>
      </c>
      <c r="X7" s="42" t="s">
        <v>12</v>
      </c>
      <c r="Y7" s="42" t="s">
        <v>13</v>
      </c>
      <c r="AD7" s="210">
        <v>42227.541666666664</v>
      </c>
      <c r="AE7" s="15">
        <v>8800</v>
      </c>
      <c r="AF7" s="15">
        <v>0.52</v>
      </c>
      <c r="AG7" s="15">
        <v>25</v>
      </c>
      <c r="AH7" s="15">
        <v>14000</v>
      </c>
      <c r="AI7" s="15">
        <v>39</v>
      </c>
      <c r="AJ7" s="15">
        <v>530</v>
      </c>
      <c r="AK7" s="15">
        <v>180</v>
      </c>
    </row>
    <row r="8" spans="1:37" ht="18.75" customHeight="1" x14ac:dyDescent="0.25">
      <c r="A8" s="18" t="s">
        <v>101</v>
      </c>
      <c r="B8" s="210">
        <v>42229.451388888891</v>
      </c>
      <c r="C8" s="15">
        <v>9200</v>
      </c>
      <c r="D8" s="15">
        <v>0.46</v>
      </c>
      <c r="E8" s="15">
        <v>21</v>
      </c>
      <c r="F8" s="15">
        <v>15000</v>
      </c>
      <c r="G8" s="15">
        <v>33</v>
      </c>
      <c r="H8" s="15">
        <v>490</v>
      </c>
      <c r="I8" s="15">
        <v>160</v>
      </c>
      <c r="J8" s="15"/>
      <c r="K8" s="215">
        <f t="shared" si="1"/>
        <v>3.9637878273455551</v>
      </c>
      <c r="L8" s="215">
        <f t="shared" si="0"/>
        <v>-0.33724216831842591</v>
      </c>
      <c r="M8" s="215">
        <f t="shared" si="0"/>
        <v>1.3222192947339193</v>
      </c>
      <c r="N8" s="215">
        <f t="shared" si="0"/>
        <v>4.1760912590556813</v>
      </c>
      <c r="O8" s="215">
        <f t="shared" si="0"/>
        <v>1.5185139398778875</v>
      </c>
      <c r="P8" s="215">
        <f t="shared" si="0"/>
        <v>2.6901960800285138</v>
      </c>
      <c r="Q8" s="215">
        <f t="shared" si="0"/>
        <v>2.2041199826559246</v>
      </c>
      <c r="S8" s="87" t="s">
        <v>7</v>
      </c>
      <c r="T8" s="88" t="s">
        <v>21</v>
      </c>
      <c r="U8" s="81" t="s">
        <v>20</v>
      </c>
      <c r="V8" s="88">
        <f>C54</f>
        <v>9791.0681657464029</v>
      </c>
      <c r="W8" s="88">
        <f>C56</f>
        <v>478.80134661192869</v>
      </c>
      <c r="X8" s="87" t="s">
        <v>20</v>
      </c>
      <c r="Y8" s="87" t="s">
        <v>20</v>
      </c>
      <c r="AD8" s="210">
        <v>42228.461805555555</v>
      </c>
      <c r="AE8" s="15">
        <v>8100</v>
      </c>
      <c r="AF8" s="15">
        <v>0.42</v>
      </c>
      <c r="AG8" s="15">
        <v>20</v>
      </c>
      <c r="AH8" s="15">
        <v>14000</v>
      </c>
      <c r="AI8" s="15">
        <v>33</v>
      </c>
      <c r="AJ8" s="15">
        <v>460</v>
      </c>
      <c r="AK8" s="15">
        <v>150</v>
      </c>
    </row>
    <row r="9" spans="1:37" ht="18.75" customHeight="1" x14ac:dyDescent="0.25">
      <c r="A9" s="18" t="s">
        <v>101</v>
      </c>
      <c r="B9" s="210">
        <v>42231.434027777781</v>
      </c>
      <c r="C9" s="15">
        <v>23000</v>
      </c>
      <c r="D9" s="15">
        <v>0.48</v>
      </c>
      <c r="E9" s="15">
        <v>21</v>
      </c>
      <c r="F9" s="15">
        <v>23000</v>
      </c>
      <c r="G9" s="15">
        <v>40</v>
      </c>
      <c r="H9" s="15">
        <v>520</v>
      </c>
      <c r="I9" s="15">
        <v>170</v>
      </c>
      <c r="J9" s="15"/>
      <c r="K9" s="215">
        <f t="shared" si="1"/>
        <v>4.3617278360175931</v>
      </c>
      <c r="L9" s="215">
        <f t="shared" si="0"/>
        <v>-0.31875876262441277</v>
      </c>
      <c r="M9" s="215">
        <f t="shared" si="0"/>
        <v>1.3222192947339193</v>
      </c>
      <c r="N9" s="215">
        <f t="shared" si="0"/>
        <v>4.3617278360175931</v>
      </c>
      <c r="O9" s="215">
        <f t="shared" si="0"/>
        <v>1.6020599913279623</v>
      </c>
      <c r="P9" s="215">
        <f t="shared" si="0"/>
        <v>2.716003343634799</v>
      </c>
      <c r="Q9" s="215">
        <f t="shared" si="0"/>
        <v>2.2304489213782741</v>
      </c>
      <c r="S9" s="449" t="s">
        <v>1</v>
      </c>
      <c r="T9" s="450">
        <f>D80</f>
        <v>1.0675222915991089</v>
      </c>
      <c r="U9" s="451">
        <f>D82</f>
        <v>0.70200506487568237</v>
      </c>
      <c r="V9" s="451">
        <f>D54</f>
        <v>0.23833369586525799</v>
      </c>
      <c r="W9" s="451">
        <f>D56</f>
        <v>1.8049190797372473E-2</v>
      </c>
      <c r="X9" s="449">
        <v>8.0000000000000002E-3</v>
      </c>
      <c r="Y9" s="449">
        <v>2.9999999999999997E-4</v>
      </c>
      <c r="AD9" s="210">
        <v>42229.451388888891</v>
      </c>
      <c r="AE9" s="15">
        <v>9200</v>
      </c>
      <c r="AF9" s="15">
        <v>0.46</v>
      </c>
      <c r="AG9" s="15">
        <v>21</v>
      </c>
      <c r="AH9" s="15">
        <v>15000</v>
      </c>
      <c r="AI9" s="15">
        <v>33</v>
      </c>
      <c r="AJ9" s="15">
        <v>490</v>
      </c>
      <c r="AK9" s="15">
        <v>160</v>
      </c>
    </row>
    <row r="10" spans="1:37" ht="18.75" customHeight="1" x14ac:dyDescent="0.25">
      <c r="A10" s="18" t="s">
        <v>101</v>
      </c>
      <c r="B10" s="210">
        <v>42232.375</v>
      </c>
      <c r="C10" s="15">
        <v>8600</v>
      </c>
      <c r="D10" s="15">
        <v>0.14000000000000001</v>
      </c>
      <c r="E10" s="15">
        <v>22</v>
      </c>
      <c r="F10" s="15">
        <v>13000</v>
      </c>
      <c r="G10" s="15">
        <v>45</v>
      </c>
      <c r="H10" s="15">
        <v>600</v>
      </c>
      <c r="I10" s="15">
        <v>180</v>
      </c>
      <c r="J10" s="15"/>
      <c r="K10" s="215">
        <f t="shared" si="1"/>
        <v>3.9344984512435679</v>
      </c>
      <c r="L10" s="215">
        <f t="shared" si="0"/>
        <v>-0.85387196432176193</v>
      </c>
      <c r="M10" s="215">
        <f t="shared" si="0"/>
        <v>1.3424226808222062</v>
      </c>
      <c r="N10" s="215">
        <f t="shared" si="0"/>
        <v>4.1139433523068369</v>
      </c>
      <c r="O10" s="215">
        <f t="shared" si="0"/>
        <v>1.6532125137753437</v>
      </c>
      <c r="P10" s="215">
        <f t="shared" si="0"/>
        <v>2.7781512503836434</v>
      </c>
      <c r="Q10" s="215">
        <f t="shared" si="0"/>
        <v>2.255272505103306</v>
      </c>
      <c r="S10" s="69" t="s">
        <v>2</v>
      </c>
      <c r="T10" s="71">
        <f>E80</f>
        <v>8.6535360001066923</v>
      </c>
      <c r="U10" s="71">
        <f>E82</f>
        <v>3.1718873631395628</v>
      </c>
      <c r="V10" s="72">
        <f>E54</f>
        <v>15.236617858796288</v>
      </c>
      <c r="W10" s="75">
        <f>E56</f>
        <v>0.57565421719794274</v>
      </c>
      <c r="X10" s="69">
        <v>0.21</v>
      </c>
      <c r="Y10" s="69">
        <v>0.21</v>
      </c>
      <c r="AD10" s="210">
        <v>42231.434027777781</v>
      </c>
      <c r="AE10" s="15">
        <v>23000</v>
      </c>
      <c r="AF10" s="15">
        <v>0.48</v>
      </c>
      <c r="AG10" s="15">
        <v>21</v>
      </c>
      <c r="AH10" s="15">
        <v>23000</v>
      </c>
      <c r="AI10" s="15">
        <v>40</v>
      </c>
      <c r="AJ10" s="15">
        <v>520</v>
      </c>
      <c r="AK10" s="15">
        <v>170</v>
      </c>
    </row>
    <row r="11" spans="1:37" ht="18.75" customHeight="1" x14ac:dyDescent="0.25">
      <c r="A11" s="18" t="s">
        <v>101</v>
      </c>
      <c r="B11" s="210">
        <v>42233.347222222219</v>
      </c>
      <c r="C11" s="15">
        <v>8400</v>
      </c>
      <c r="D11" s="15">
        <v>0.14000000000000001</v>
      </c>
      <c r="E11" s="15">
        <v>18</v>
      </c>
      <c r="F11" s="15">
        <v>13000</v>
      </c>
      <c r="G11" s="15">
        <v>35</v>
      </c>
      <c r="H11" s="15">
        <v>500</v>
      </c>
      <c r="I11" s="15">
        <v>160</v>
      </c>
      <c r="J11" s="15"/>
      <c r="K11" s="215">
        <f t="shared" si="1"/>
        <v>3.9242792860618816</v>
      </c>
      <c r="L11" s="215">
        <f t="shared" si="0"/>
        <v>-0.85387196432176193</v>
      </c>
      <c r="M11" s="215">
        <f t="shared" si="0"/>
        <v>1.255272505103306</v>
      </c>
      <c r="N11" s="215">
        <f t="shared" si="0"/>
        <v>4.1139433523068369</v>
      </c>
      <c r="O11" s="215">
        <f t="shared" si="0"/>
        <v>1.5440680443502757</v>
      </c>
      <c r="P11" s="215">
        <f t="shared" si="0"/>
        <v>2.6989700043360187</v>
      </c>
      <c r="Q11" s="215">
        <f t="shared" si="0"/>
        <v>2.2041199826559246</v>
      </c>
      <c r="S11" s="371" t="s">
        <v>3</v>
      </c>
      <c r="T11" s="372">
        <f>F80</f>
        <v>4476.6586988712252</v>
      </c>
      <c r="U11" s="372">
        <f>F82</f>
        <v>2806.852279096046</v>
      </c>
      <c r="V11" s="372">
        <f>F54</f>
        <v>13316.080603934182</v>
      </c>
      <c r="W11" s="372">
        <f>F56</f>
        <v>380.85496589975691</v>
      </c>
      <c r="X11" s="371">
        <v>0.09</v>
      </c>
      <c r="Y11" s="371">
        <v>0.04</v>
      </c>
      <c r="AD11" s="210">
        <v>42232.375</v>
      </c>
      <c r="AE11" s="15">
        <v>8600</v>
      </c>
      <c r="AF11" s="15">
        <v>0.14000000000000001</v>
      </c>
      <c r="AG11" s="15">
        <v>22</v>
      </c>
      <c r="AH11" s="15">
        <v>13000</v>
      </c>
      <c r="AI11" s="15">
        <v>45</v>
      </c>
      <c r="AJ11" s="15">
        <v>600</v>
      </c>
      <c r="AK11" s="15">
        <v>180</v>
      </c>
    </row>
    <row r="12" spans="1:37" ht="18.75" customHeight="1" x14ac:dyDescent="0.25">
      <c r="A12" s="18" t="s">
        <v>101</v>
      </c>
      <c r="B12" s="210">
        <v>42234.479166666664</v>
      </c>
      <c r="C12" s="15">
        <v>7800</v>
      </c>
      <c r="D12" s="15">
        <v>0.46</v>
      </c>
      <c r="E12" s="15">
        <v>20</v>
      </c>
      <c r="F12" s="15">
        <v>12000</v>
      </c>
      <c r="G12" s="15">
        <v>35</v>
      </c>
      <c r="H12" s="15">
        <v>460</v>
      </c>
      <c r="I12" s="15">
        <v>160</v>
      </c>
      <c r="J12" s="15"/>
      <c r="K12" s="215">
        <f t="shared" si="1"/>
        <v>3.8920946026904804</v>
      </c>
      <c r="L12" s="215">
        <f t="shared" si="0"/>
        <v>-0.33724216831842591</v>
      </c>
      <c r="M12" s="215">
        <f t="shared" si="0"/>
        <v>1.3010299956639813</v>
      </c>
      <c r="N12" s="215">
        <f t="shared" si="0"/>
        <v>4.0791812460476251</v>
      </c>
      <c r="O12" s="215">
        <f t="shared" si="0"/>
        <v>1.5440680443502757</v>
      </c>
      <c r="P12" s="215">
        <f t="shared" si="0"/>
        <v>2.6627578316815739</v>
      </c>
      <c r="Q12" s="215">
        <f t="shared" si="0"/>
        <v>2.2041199826559246</v>
      </c>
      <c r="S12" s="69" t="s">
        <v>4</v>
      </c>
      <c r="T12" s="72">
        <f>G80</f>
        <v>23.363507530923638</v>
      </c>
      <c r="U12" s="71">
        <f>G82</f>
        <v>7.4694981610398559</v>
      </c>
      <c r="V12" s="72">
        <f>G54</f>
        <v>20.737137493287136</v>
      </c>
      <c r="W12" s="71">
        <f>G56</f>
        <v>1.3402849086532445</v>
      </c>
      <c r="X12" s="69">
        <v>0.68</v>
      </c>
      <c r="Y12" s="69">
        <v>0.87</v>
      </c>
      <c r="AD12" s="210">
        <v>42233.347222222219</v>
      </c>
      <c r="AE12" s="15">
        <v>8400</v>
      </c>
      <c r="AF12" s="15">
        <v>0.14000000000000001</v>
      </c>
      <c r="AG12" s="15">
        <v>18</v>
      </c>
      <c r="AH12" s="15">
        <v>13000</v>
      </c>
      <c r="AI12" s="15">
        <v>35</v>
      </c>
      <c r="AJ12" s="15">
        <v>500</v>
      </c>
      <c r="AK12" s="15">
        <v>160</v>
      </c>
    </row>
    <row r="13" spans="1:37" ht="18.75" customHeight="1" x14ac:dyDescent="0.25">
      <c r="A13" s="18" t="s">
        <v>101</v>
      </c>
      <c r="B13" s="210">
        <v>42235.458333333336</v>
      </c>
      <c r="C13" s="15">
        <v>7500</v>
      </c>
      <c r="D13" s="15">
        <v>0.41</v>
      </c>
      <c r="E13" s="15">
        <v>20</v>
      </c>
      <c r="F13" s="15">
        <v>12000</v>
      </c>
      <c r="G13" s="15">
        <v>30</v>
      </c>
      <c r="H13" s="15">
        <v>430</v>
      </c>
      <c r="I13" s="15">
        <v>140</v>
      </c>
      <c r="J13" s="15"/>
      <c r="K13" s="215">
        <f t="shared" si="1"/>
        <v>3.8750612633917001</v>
      </c>
      <c r="L13" s="215">
        <f t="shared" si="0"/>
        <v>-0.38721614328026455</v>
      </c>
      <c r="M13" s="215">
        <f t="shared" si="0"/>
        <v>1.3010299956639813</v>
      </c>
      <c r="N13" s="215">
        <f t="shared" si="0"/>
        <v>4.0791812460476251</v>
      </c>
      <c r="O13" s="215">
        <f t="shared" si="0"/>
        <v>1.4771212547196624</v>
      </c>
      <c r="P13" s="215">
        <f t="shared" si="0"/>
        <v>2.6334684555795866</v>
      </c>
      <c r="Q13" s="215">
        <f t="shared" si="0"/>
        <v>2.1461280356782382</v>
      </c>
      <c r="S13" s="69" t="s">
        <v>5</v>
      </c>
      <c r="T13" s="72">
        <f>H80</f>
        <v>317.6458766090077</v>
      </c>
      <c r="U13" s="72">
        <f>H82</f>
        <v>144.73921472005358</v>
      </c>
      <c r="V13" s="72">
        <f>H54</f>
        <v>416.09556409201406</v>
      </c>
      <c r="W13" s="72">
        <f>H56</f>
        <v>11.67008127038812</v>
      </c>
      <c r="X13" s="69">
        <v>0.52</v>
      </c>
      <c r="Y13" s="69">
        <v>0.99</v>
      </c>
      <c r="AD13" s="210">
        <v>42234.479166666664</v>
      </c>
      <c r="AE13" s="15">
        <v>7800</v>
      </c>
      <c r="AF13" s="15">
        <v>0.46</v>
      </c>
      <c r="AG13" s="15">
        <v>20</v>
      </c>
      <c r="AH13" s="15">
        <v>12000</v>
      </c>
      <c r="AI13" s="15">
        <v>35</v>
      </c>
      <c r="AJ13" s="15">
        <v>460</v>
      </c>
      <c r="AK13" s="15">
        <v>160</v>
      </c>
    </row>
    <row r="14" spans="1:37" ht="18.75" customHeight="1" x14ac:dyDescent="0.25">
      <c r="A14" s="18" t="s">
        <v>101</v>
      </c>
      <c r="B14" s="210">
        <v>42236.427083333336</v>
      </c>
      <c r="C14" s="15">
        <v>8100</v>
      </c>
      <c r="D14" s="15">
        <v>0.42</v>
      </c>
      <c r="E14" s="15">
        <v>19</v>
      </c>
      <c r="F14" s="15">
        <v>12000</v>
      </c>
      <c r="G14" s="15">
        <v>29</v>
      </c>
      <c r="H14" s="15">
        <v>400</v>
      </c>
      <c r="I14" s="15">
        <v>140</v>
      </c>
      <c r="J14" s="15"/>
      <c r="K14" s="215">
        <f t="shared" si="1"/>
        <v>3.90848501887865</v>
      </c>
      <c r="L14" s="215">
        <f t="shared" si="0"/>
        <v>-0.37675070960209955</v>
      </c>
      <c r="M14" s="215">
        <f t="shared" si="0"/>
        <v>1.2787536009528289</v>
      </c>
      <c r="N14" s="215">
        <f t="shared" si="0"/>
        <v>4.0791812460476251</v>
      </c>
      <c r="O14" s="215">
        <f t="shared" si="0"/>
        <v>1.4623979978989561</v>
      </c>
      <c r="P14" s="215">
        <f t="shared" si="0"/>
        <v>2.6020599913279625</v>
      </c>
      <c r="Q14" s="215">
        <f t="shared" si="0"/>
        <v>2.1461280356782382</v>
      </c>
      <c r="S14" s="89" t="s">
        <v>6</v>
      </c>
      <c r="T14" s="90">
        <f>I80</f>
        <v>89.319753206286606</v>
      </c>
      <c r="U14" s="90">
        <f>I82</f>
        <v>68.363360089874007</v>
      </c>
      <c r="V14" s="90">
        <f>I54</f>
        <v>92.521027385748283</v>
      </c>
      <c r="W14" s="91">
        <f>I56</f>
        <v>6.0809721014834306</v>
      </c>
      <c r="X14" s="89">
        <v>0.96</v>
      </c>
      <c r="Y14" s="89">
        <v>0.59</v>
      </c>
      <c r="AD14" s="210">
        <v>42235.458333333336</v>
      </c>
      <c r="AE14" s="15">
        <v>7500</v>
      </c>
      <c r="AF14" s="15">
        <v>0.41</v>
      </c>
      <c r="AG14" s="15">
        <v>20</v>
      </c>
      <c r="AH14" s="15">
        <v>12000</v>
      </c>
      <c r="AI14" s="15">
        <v>30</v>
      </c>
      <c r="AJ14" s="15">
        <v>430</v>
      </c>
      <c r="AK14" s="15">
        <v>140</v>
      </c>
    </row>
    <row r="15" spans="1:37" ht="18.75" customHeight="1" x14ac:dyDescent="0.25">
      <c r="A15" s="18" t="s">
        <v>101</v>
      </c>
      <c r="B15" s="210">
        <v>42237.451388888891</v>
      </c>
      <c r="C15" s="15">
        <v>8900</v>
      </c>
      <c r="D15" s="15">
        <v>0.45</v>
      </c>
      <c r="E15" s="15">
        <v>19</v>
      </c>
      <c r="F15" s="15">
        <v>13000</v>
      </c>
      <c r="G15" s="15">
        <v>31</v>
      </c>
      <c r="H15" s="15">
        <v>400</v>
      </c>
      <c r="I15" s="15"/>
      <c r="J15" s="15"/>
      <c r="K15" s="215">
        <f t="shared" si="1"/>
        <v>3.9493900066449128</v>
      </c>
      <c r="L15" s="215">
        <f t="shared" si="0"/>
        <v>-0.34678748622465633</v>
      </c>
      <c r="M15" s="215">
        <f t="shared" si="0"/>
        <v>1.2787536009528289</v>
      </c>
      <c r="N15" s="215">
        <f t="shared" si="0"/>
        <v>4.1139433523068369</v>
      </c>
      <c r="O15" s="215">
        <f t="shared" si="0"/>
        <v>1.4913616938342726</v>
      </c>
      <c r="P15" s="215">
        <f t="shared" si="0"/>
        <v>2.6020599913279625</v>
      </c>
      <c r="Q15" s="215"/>
      <c r="S15" s="46" t="s">
        <v>108</v>
      </c>
      <c r="T15" s="46">
        <v>6</v>
      </c>
      <c r="U15" s="46"/>
      <c r="V15" s="46">
        <v>45</v>
      </c>
      <c r="W15" s="46"/>
      <c r="X15" s="2"/>
      <c r="Y15" s="2"/>
      <c r="AD15" s="210">
        <v>42236.427083333336</v>
      </c>
      <c r="AE15" s="15">
        <v>8100</v>
      </c>
      <c r="AF15" s="15">
        <v>0.42</v>
      </c>
      <c r="AG15" s="15">
        <v>19</v>
      </c>
      <c r="AH15" s="15">
        <v>12000</v>
      </c>
      <c r="AI15" s="15">
        <v>29</v>
      </c>
      <c r="AJ15" s="15">
        <v>400</v>
      </c>
      <c r="AK15" s="15">
        <v>140</v>
      </c>
    </row>
    <row r="16" spans="1:37" ht="18.75" customHeight="1" x14ac:dyDescent="0.25">
      <c r="A16" s="18" t="s">
        <v>101</v>
      </c>
      <c r="B16" s="210">
        <v>42238.4375</v>
      </c>
      <c r="C16" s="15">
        <v>6700</v>
      </c>
      <c r="D16" s="15">
        <v>0.45</v>
      </c>
      <c r="E16" s="15">
        <v>19</v>
      </c>
      <c r="F16" s="15">
        <v>11000</v>
      </c>
      <c r="G16" s="15">
        <v>35</v>
      </c>
      <c r="H16" s="15">
        <v>560</v>
      </c>
      <c r="I16" s="15">
        <v>160</v>
      </c>
      <c r="J16" s="15"/>
      <c r="K16" s="215">
        <f t="shared" si="1"/>
        <v>3.8260748027008264</v>
      </c>
      <c r="L16" s="215">
        <f t="shared" si="0"/>
        <v>-0.34678748622465633</v>
      </c>
      <c r="M16" s="215">
        <f t="shared" si="0"/>
        <v>1.2787536009528289</v>
      </c>
      <c r="N16" s="215">
        <f t="shared" si="0"/>
        <v>4.0413926851582254</v>
      </c>
      <c r="O16" s="215">
        <f t="shared" si="0"/>
        <v>1.5440680443502757</v>
      </c>
      <c r="P16" s="215">
        <f t="shared" si="0"/>
        <v>2.7481880270062002</v>
      </c>
      <c r="Q16" s="215">
        <f t="shared" si="0"/>
        <v>2.2041199826559246</v>
      </c>
      <c r="S16" s="2"/>
      <c r="T16" s="2"/>
      <c r="U16" s="136" t="s">
        <v>128</v>
      </c>
      <c r="V16" s="2"/>
      <c r="W16" s="2"/>
      <c r="X16" s="2"/>
      <c r="Y16" s="2"/>
      <c r="Z16" s="2"/>
      <c r="AA16" s="2"/>
      <c r="AB16" s="2"/>
      <c r="AC16" s="2"/>
      <c r="AD16" s="210">
        <v>42237.451388888891</v>
      </c>
      <c r="AE16" s="15">
        <v>8900</v>
      </c>
      <c r="AF16" s="15">
        <v>0.45</v>
      </c>
      <c r="AG16" s="15">
        <v>19</v>
      </c>
      <c r="AH16" s="15">
        <v>13000</v>
      </c>
      <c r="AI16" s="15">
        <v>31</v>
      </c>
      <c r="AJ16" s="15">
        <v>400</v>
      </c>
      <c r="AK16" s="15"/>
    </row>
    <row r="17" spans="1:39" ht="18.75" customHeight="1" x14ac:dyDescent="0.25">
      <c r="A17" s="18" t="s">
        <v>101</v>
      </c>
      <c r="B17" s="210">
        <v>42239.430555555555</v>
      </c>
      <c r="C17" s="15">
        <v>9200</v>
      </c>
      <c r="D17" s="15">
        <v>0.45</v>
      </c>
      <c r="E17" s="15">
        <v>20</v>
      </c>
      <c r="F17" s="15">
        <v>13000</v>
      </c>
      <c r="G17" s="15">
        <v>36</v>
      </c>
      <c r="H17" s="15">
        <v>500</v>
      </c>
      <c r="I17" s="15">
        <v>160</v>
      </c>
      <c r="J17" s="15"/>
      <c r="K17" s="215">
        <f t="shared" si="1"/>
        <v>3.9637878273455551</v>
      </c>
      <c r="L17" s="215">
        <f t="shared" si="0"/>
        <v>-0.34678748622465633</v>
      </c>
      <c r="M17" s="215">
        <f t="shared" si="0"/>
        <v>1.3010299956639813</v>
      </c>
      <c r="N17" s="215">
        <f t="shared" si="0"/>
        <v>4.1139433523068369</v>
      </c>
      <c r="O17" s="215">
        <f t="shared" si="0"/>
        <v>1.5563025007672873</v>
      </c>
      <c r="P17" s="215">
        <f t="shared" si="0"/>
        <v>2.6989700043360187</v>
      </c>
      <c r="Q17" s="215">
        <f t="shared" si="0"/>
        <v>2.2041199826559246</v>
      </c>
      <c r="S17" s="65" t="s">
        <v>115</v>
      </c>
      <c r="U17" s="41" t="s">
        <v>22</v>
      </c>
      <c r="AA17" s="2"/>
      <c r="AB17" s="2"/>
      <c r="AC17" s="2"/>
      <c r="AD17" s="210">
        <v>42238.4375</v>
      </c>
      <c r="AE17" s="15">
        <v>6700</v>
      </c>
      <c r="AF17" s="15">
        <v>0.45</v>
      </c>
      <c r="AG17" s="15">
        <v>19</v>
      </c>
      <c r="AH17" s="15">
        <v>11000</v>
      </c>
      <c r="AI17" s="15">
        <v>35</v>
      </c>
      <c r="AJ17" s="15">
        <v>560</v>
      </c>
      <c r="AK17" s="15">
        <v>160</v>
      </c>
    </row>
    <row r="18" spans="1:39" ht="18.75" customHeight="1" x14ac:dyDescent="0.25">
      <c r="A18" s="18" t="s">
        <v>101</v>
      </c>
      <c r="B18" s="210">
        <v>42240.434027777781</v>
      </c>
      <c r="C18" s="15">
        <v>6600</v>
      </c>
      <c r="D18" s="15">
        <v>0.31</v>
      </c>
      <c r="E18" s="15">
        <v>19</v>
      </c>
      <c r="F18" s="15">
        <v>11000</v>
      </c>
      <c r="G18" s="15">
        <v>34</v>
      </c>
      <c r="H18" s="15">
        <v>510</v>
      </c>
      <c r="I18" s="15">
        <v>160</v>
      </c>
      <c r="J18" s="15"/>
      <c r="K18" s="215">
        <f t="shared" si="1"/>
        <v>3.8195439355418688</v>
      </c>
      <c r="L18" s="215">
        <f t="shared" si="0"/>
        <v>-0.50863830616572736</v>
      </c>
      <c r="M18" s="215">
        <f t="shared" si="0"/>
        <v>1.2787536009528289</v>
      </c>
      <c r="N18" s="215">
        <f t="shared" si="0"/>
        <v>4.0413926851582254</v>
      </c>
      <c r="O18" s="215">
        <f t="shared" si="0"/>
        <v>1.5314789170422551</v>
      </c>
      <c r="P18" s="215">
        <f t="shared" si="0"/>
        <v>2.7075701760979363</v>
      </c>
      <c r="Q18" s="215">
        <f t="shared" si="0"/>
        <v>2.2041199826559246</v>
      </c>
      <c r="S18" s="39" t="s">
        <v>8</v>
      </c>
      <c r="T18" s="39" t="s">
        <v>27</v>
      </c>
      <c r="U18" s="39" t="s">
        <v>116</v>
      </c>
      <c r="V18" s="39" t="s">
        <v>126</v>
      </c>
      <c r="W18" s="39" t="s">
        <v>19</v>
      </c>
      <c r="X18"/>
      <c r="Y18"/>
      <c r="AA18" s="2"/>
      <c r="AB18" s="2"/>
      <c r="AC18" s="2"/>
      <c r="AD18" s="210">
        <v>42239.430555555555</v>
      </c>
      <c r="AE18" s="15">
        <v>9200</v>
      </c>
      <c r="AF18" s="15">
        <v>0.45</v>
      </c>
      <c r="AG18" s="15">
        <v>20</v>
      </c>
      <c r="AH18" s="15">
        <v>13000</v>
      </c>
      <c r="AI18" s="15">
        <v>36</v>
      </c>
      <c r="AJ18" s="15">
        <v>500</v>
      </c>
      <c r="AK18" s="15">
        <v>160</v>
      </c>
      <c r="AL18" s="27"/>
      <c r="AM18" s="27"/>
    </row>
    <row r="19" spans="1:39" ht="18.75" customHeight="1" x14ac:dyDescent="0.25">
      <c r="A19" s="18" t="s">
        <v>101</v>
      </c>
      <c r="B19" s="210">
        <v>42241.409722222219</v>
      </c>
      <c r="C19" s="15">
        <v>8800</v>
      </c>
      <c r="D19" s="15">
        <v>0.19</v>
      </c>
      <c r="E19" s="15">
        <v>9.1999999999999993</v>
      </c>
      <c r="F19" s="15">
        <v>13000</v>
      </c>
      <c r="G19" s="15">
        <v>15</v>
      </c>
      <c r="H19" s="15">
        <v>200</v>
      </c>
      <c r="I19" s="15">
        <v>57</v>
      </c>
      <c r="J19" s="15"/>
      <c r="K19" s="215">
        <f t="shared" si="1"/>
        <v>3.9444826721501687</v>
      </c>
      <c r="L19" s="215">
        <f t="shared" si="0"/>
        <v>-0.72124639904717103</v>
      </c>
      <c r="M19" s="215">
        <f t="shared" si="0"/>
        <v>0.96378782734555524</v>
      </c>
      <c r="N19" s="215">
        <f t="shared" si="0"/>
        <v>4.1139433523068369</v>
      </c>
      <c r="O19" s="215">
        <f t="shared" si="0"/>
        <v>1.1760912590556813</v>
      </c>
      <c r="P19" s="215">
        <f t="shared" si="0"/>
        <v>2.3010299956639813</v>
      </c>
      <c r="Q19" s="215">
        <f t="shared" si="0"/>
        <v>1.7558748556724915</v>
      </c>
      <c r="S19" s="78" t="s">
        <v>7</v>
      </c>
      <c r="T19" s="81" t="s">
        <v>21</v>
      </c>
      <c r="U19" s="81" t="s">
        <v>20</v>
      </c>
      <c r="V19" s="81">
        <v>9500</v>
      </c>
      <c r="W19" s="68" t="s">
        <v>20</v>
      </c>
      <c r="X19"/>
      <c r="Y19"/>
      <c r="AA19" s="2"/>
      <c r="AB19" s="2"/>
      <c r="AC19" s="2"/>
      <c r="AD19" s="210">
        <v>42240.434027777781</v>
      </c>
      <c r="AE19" s="15">
        <v>6600</v>
      </c>
      <c r="AF19" s="15">
        <v>0.31</v>
      </c>
      <c r="AG19" s="15">
        <v>19</v>
      </c>
      <c r="AH19" s="15">
        <v>11000</v>
      </c>
      <c r="AI19" s="15">
        <v>34</v>
      </c>
      <c r="AJ19" s="15">
        <v>510</v>
      </c>
      <c r="AK19" s="15">
        <v>160</v>
      </c>
      <c r="AL19" s="27"/>
      <c r="AM19" s="27"/>
    </row>
    <row r="20" spans="1:39" ht="18.75" customHeight="1" x14ac:dyDescent="0.25">
      <c r="A20" s="18" t="s">
        <v>101</v>
      </c>
      <c r="B20" s="210">
        <v>42242.413194444445</v>
      </c>
      <c r="C20" s="15">
        <v>7900</v>
      </c>
      <c r="D20" s="15">
        <v>0.48</v>
      </c>
      <c r="E20" s="15">
        <v>19</v>
      </c>
      <c r="F20" s="15">
        <v>13000</v>
      </c>
      <c r="G20" s="15">
        <v>31</v>
      </c>
      <c r="H20" s="15">
        <v>440</v>
      </c>
      <c r="I20" s="15">
        <v>140</v>
      </c>
      <c r="J20" s="15"/>
      <c r="K20" s="215">
        <f t="shared" si="1"/>
        <v>3.8976270912904414</v>
      </c>
      <c r="L20" s="215">
        <f t="shared" si="0"/>
        <v>-0.31875876262441277</v>
      </c>
      <c r="M20" s="215">
        <f t="shared" si="0"/>
        <v>1.2787536009528289</v>
      </c>
      <c r="N20" s="215">
        <f t="shared" si="0"/>
        <v>4.1139433523068369</v>
      </c>
      <c r="O20" s="215">
        <f t="shared" si="0"/>
        <v>1.4913616938342726</v>
      </c>
      <c r="P20" s="215">
        <f t="shared" si="0"/>
        <v>2.6434526764861874</v>
      </c>
      <c r="Q20" s="215">
        <f t="shared" si="0"/>
        <v>2.1461280356782382</v>
      </c>
      <c r="S20" s="77" t="s">
        <v>1</v>
      </c>
      <c r="T20" s="73">
        <f>D80</f>
        <v>1.0675222915991089</v>
      </c>
      <c r="U20" s="76">
        <f>D82</f>
        <v>0.70200506487568237</v>
      </c>
      <c r="V20" s="55">
        <v>0.88</v>
      </c>
      <c r="W20" s="76">
        <v>-0.1090528527493736</v>
      </c>
      <c r="X20"/>
      <c r="Y20"/>
      <c r="Z20"/>
      <c r="AA20"/>
      <c r="AB20" s="2"/>
      <c r="AC20" s="2"/>
      <c r="AD20" s="210">
        <v>42241.409722222219</v>
      </c>
      <c r="AE20" s="15">
        <v>8800</v>
      </c>
      <c r="AF20" s="15">
        <v>0.19</v>
      </c>
      <c r="AG20" s="15">
        <v>9.1999999999999993</v>
      </c>
      <c r="AH20" s="15">
        <v>13000</v>
      </c>
      <c r="AI20" s="15">
        <v>15</v>
      </c>
      <c r="AJ20" s="15">
        <v>200</v>
      </c>
      <c r="AK20" s="15">
        <v>57</v>
      </c>
      <c r="AL20" s="213"/>
      <c r="AM20" s="213"/>
    </row>
    <row r="21" spans="1:39" ht="18.75" customHeight="1" x14ac:dyDescent="0.25">
      <c r="A21" s="18" t="s">
        <v>101</v>
      </c>
      <c r="B21" s="210">
        <v>42243.4375</v>
      </c>
      <c r="C21" s="15">
        <v>6400</v>
      </c>
      <c r="D21" s="15">
        <v>0.21</v>
      </c>
      <c r="E21" s="15">
        <v>11</v>
      </c>
      <c r="F21" s="15">
        <v>10000</v>
      </c>
      <c r="G21" s="15">
        <v>20</v>
      </c>
      <c r="H21" s="15">
        <v>370</v>
      </c>
      <c r="I21" s="15">
        <v>99</v>
      </c>
      <c r="J21" s="15"/>
      <c r="K21" s="215">
        <f t="shared" si="1"/>
        <v>3.8061799739838871</v>
      </c>
      <c r="L21" s="215">
        <f t="shared" si="0"/>
        <v>-0.6777807052660807</v>
      </c>
      <c r="M21" s="215">
        <f t="shared" si="0"/>
        <v>1.0413926851582251</v>
      </c>
      <c r="N21" s="215">
        <f t="shared" si="0"/>
        <v>4</v>
      </c>
      <c r="O21" s="215">
        <f t="shared" si="0"/>
        <v>1.3010299956639813</v>
      </c>
      <c r="P21" s="215">
        <f t="shared" si="0"/>
        <v>2.568201724066995</v>
      </c>
      <c r="Q21" s="215">
        <f t="shared" si="0"/>
        <v>1.9956351945975499</v>
      </c>
      <c r="S21" s="92" t="s">
        <v>2</v>
      </c>
      <c r="T21" s="93">
        <f>E80</f>
        <v>8.6535360001066923</v>
      </c>
      <c r="U21" s="93">
        <f>E82</f>
        <v>3.1718873631395628</v>
      </c>
      <c r="V21" s="94">
        <v>35</v>
      </c>
      <c r="W21" s="93">
        <v>3.3910090921633071</v>
      </c>
      <c r="X21"/>
      <c r="Y21"/>
      <c r="Z21"/>
      <c r="AA21"/>
      <c r="AB21" s="2"/>
      <c r="AC21" s="2"/>
      <c r="AD21" s="210">
        <v>42242.413194444445</v>
      </c>
      <c r="AE21" s="15">
        <v>7900</v>
      </c>
      <c r="AF21" s="15">
        <v>0.48</v>
      </c>
      <c r="AG21" s="15">
        <v>19</v>
      </c>
      <c r="AH21" s="15">
        <v>13000</v>
      </c>
      <c r="AI21" s="15">
        <v>31</v>
      </c>
      <c r="AJ21" s="15">
        <v>440</v>
      </c>
      <c r="AK21" s="15">
        <v>140</v>
      </c>
      <c r="AL21" s="133"/>
      <c r="AM21" s="133"/>
    </row>
    <row r="22" spans="1:39" ht="18.75" customHeight="1" x14ac:dyDescent="0.25">
      <c r="A22" s="18" t="s">
        <v>101</v>
      </c>
      <c r="B22" s="210">
        <v>42244.423611111109</v>
      </c>
      <c r="C22" s="15">
        <v>8300</v>
      </c>
      <c r="D22" s="15">
        <v>0.2</v>
      </c>
      <c r="E22" s="15">
        <v>12</v>
      </c>
      <c r="F22" s="15">
        <v>12000</v>
      </c>
      <c r="G22" s="15">
        <v>19</v>
      </c>
      <c r="H22" s="15">
        <v>390</v>
      </c>
      <c r="I22" s="15">
        <v>78</v>
      </c>
      <c r="J22" s="15"/>
      <c r="K22" s="215">
        <f t="shared" si="1"/>
        <v>3.9190780923760737</v>
      </c>
      <c r="L22" s="215">
        <f t="shared" ref="L22:L63" si="2">LOG(D22)</f>
        <v>-0.69897000433601875</v>
      </c>
      <c r="M22" s="215">
        <f t="shared" ref="M22:M63" si="3">LOG(E22)</f>
        <v>1.0791812460476249</v>
      </c>
      <c r="N22" s="215">
        <f t="shared" ref="N22:N63" si="4">LOG(F22)</f>
        <v>4.0791812460476251</v>
      </c>
      <c r="O22" s="215">
        <f t="shared" ref="O22:O63" si="5">LOG(G22)</f>
        <v>1.2787536009528289</v>
      </c>
      <c r="P22" s="215">
        <f t="shared" ref="P22:P63" si="6">LOG(H22)</f>
        <v>2.5910646070264991</v>
      </c>
      <c r="Q22" s="215">
        <f t="shared" ref="Q22:Q63" si="7">LOG(I22)</f>
        <v>1.8920946026904804</v>
      </c>
      <c r="S22" s="77" t="s">
        <v>3</v>
      </c>
      <c r="T22" s="54">
        <f>F80</f>
        <v>4476.6586988712252</v>
      </c>
      <c r="U22" s="54">
        <f>F82</f>
        <v>2806.852279096046</v>
      </c>
      <c r="V22" s="55">
        <v>17000</v>
      </c>
      <c r="W22" s="73">
        <v>1.8214826320421285</v>
      </c>
      <c r="X22"/>
      <c r="Y22"/>
      <c r="Z22"/>
      <c r="AA22"/>
      <c r="AB22" s="2"/>
      <c r="AC22" s="2"/>
      <c r="AD22" s="210">
        <v>42243.4375</v>
      </c>
      <c r="AE22" s="15">
        <v>6400</v>
      </c>
      <c r="AF22" s="15">
        <v>0.21</v>
      </c>
      <c r="AG22" s="15">
        <v>11</v>
      </c>
      <c r="AH22" s="15">
        <v>10000</v>
      </c>
      <c r="AI22" s="15">
        <v>20</v>
      </c>
      <c r="AJ22" s="15">
        <v>370</v>
      </c>
      <c r="AK22" s="15">
        <v>99</v>
      </c>
      <c r="AL22" s="214"/>
      <c r="AM22" s="214"/>
    </row>
    <row r="23" spans="1:39" ht="18.75" customHeight="1" x14ac:dyDescent="0.25">
      <c r="A23" s="18" t="s">
        <v>101</v>
      </c>
      <c r="B23" s="210">
        <v>42245.423611111109</v>
      </c>
      <c r="C23" s="15">
        <v>9700</v>
      </c>
      <c r="D23" s="15">
        <v>0.17</v>
      </c>
      <c r="E23" s="15">
        <v>13</v>
      </c>
      <c r="F23" s="15">
        <v>14000</v>
      </c>
      <c r="G23" s="15">
        <v>18</v>
      </c>
      <c r="H23" s="15">
        <v>460</v>
      </c>
      <c r="I23" s="15">
        <v>86</v>
      </c>
      <c r="J23" s="15"/>
      <c r="K23" s="215">
        <f t="shared" si="1"/>
        <v>3.9867717342662448</v>
      </c>
      <c r="L23" s="215">
        <f t="shared" si="2"/>
        <v>-0.769551078621726</v>
      </c>
      <c r="M23" s="215">
        <f t="shared" si="3"/>
        <v>1.1139433523068367</v>
      </c>
      <c r="N23" s="215">
        <f t="shared" si="4"/>
        <v>4.1461280356782382</v>
      </c>
      <c r="O23" s="215">
        <f t="shared" si="5"/>
        <v>1.255272505103306</v>
      </c>
      <c r="P23" s="215">
        <f t="shared" si="6"/>
        <v>2.6627578316815739</v>
      </c>
      <c r="Q23" s="215">
        <f t="shared" si="7"/>
        <v>1.9344984512435677</v>
      </c>
      <c r="S23" s="92" t="s">
        <v>4</v>
      </c>
      <c r="T23" s="95">
        <f>G80</f>
        <v>23.363507530923638</v>
      </c>
      <c r="U23" s="93">
        <f>G82</f>
        <v>7.4694981610398559</v>
      </c>
      <c r="V23" s="94">
        <v>94</v>
      </c>
      <c r="W23" s="93">
        <v>3.8606646220593519</v>
      </c>
      <c r="X23"/>
      <c r="Y23"/>
      <c r="Z23"/>
      <c r="AA23"/>
      <c r="AB23" s="2"/>
      <c r="AC23" s="2"/>
      <c r="AD23" s="210">
        <v>42244.423611111109</v>
      </c>
      <c r="AE23" s="15">
        <v>8300</v>
      </c>
      <c r="AF23" s="15">
        <v>0.2</v>
      </c>
      <c r="AG23" s="15">
        <v>12</v>
      </c>
      <c r="AH23" s="15">
        <v>12000</v>
      </c>
      <c r="AI23" s="15">
        <v>19</v>
      </c>
      <c r="AJ23" s="15">
        <v>390</v>
      </c>
      <c r="AK23" s="15">
        <v>78</v>
      </c>
      <c r="AL23" s="434"/>
      <c r="AM23" s="435"/>
    </row>
    <row r="24" spans="1:39" ht="18.75" customHeight="1" x14ac:dyDescent="0.25">
      <c r="A24" s="18" t="s">
        <v>101</v>
      </c>
      <c r="B24" s="210">
        <v>42246.440972222219</v>
      </c>
      <c r="C24" s="15">
        <v>12000</v>
      </c>
      <c r="D24" s="15">
        <v>0.24</v>
      </c>
      <c r="E24" s="15">
        <v>16</v>
      </c>
      <c r="F24" s="15">
        <v>14000</v>
      </c>
      <c r="G24" s="15">
        <v>16</v>
      </c>
      <c r="H24" s="15">
        <v>440</v>
      </c>
      <c r="I24" s="15">
        <v>77</v>
      </c>
      <c r="J24" s="15"/>
      <c r="K24" s="215">
        <f t="shared" si="1"/>
        <v>4.0791812460476251</v>
      </c>
      <c r="L24" s="215">
        <f t="shared" si="2"/>
        <v>-0.61978875828839397</v>
      </c>
      <c r="M24" s="215">
        <f t="shared" si="3"/>
        <v>1.2041199826559248</v>
      </c>
      <c r="N24" s="215">
        <f t="shared" si="4"/>
        <v>4.1461280356782382</v>
      </c>
      <c r="O24" s="215">
        <f t="shared" si="5"/>
        <v>1.2041199826559248</v>
      </c>
      <c r="P24" s="215">
        <f t="shared" si="6"/>
        <v>2.6434526764861874</v>
      </c>
      <c r="Q24" s="215">
        <f t="shared" si="7"/>
        <v>1.8864907251724818</v>
      </c>
      <c r="S24" s="77" t="s">
        <v>5</v>
      </c>
      <c r="T24" s="54">
        <f>H80</f>
        <v>317.6458766090077</v>
      </c>
      <c r="U24" s="54">
        <f>H82</f>
        <v>144.73921472005358</v>
      </c>
      <c r="V24" s="55">
        <v>840</v>
      </c>
      <c r="W24" s="73">
        <v>1.4733407135279739</v>
      </c>
      <c r="X24"/>
      <c r="Y24"/>
      <c r="Z24"/>
      <c r="AA24"/>
      <c r="AB24" s="5"/>
      <c r="AC24" s="2"/>
      <c r="AD24" s="210">
        <v>42245.423611111109</v>
      </c>
      <c r="AE24" s="15">
        <v>9700</v>
      </c>
      <c r="AF24" s="15">
        <v>0.17</v>
      </c>
      <c r="AG24" s="15">
        <v>13</v>
      </c>
      <c r="AH24" s="15">
        <v>14000</v>
      </c>
      <c r="AI24" s="15">
        <v>18</v>
      </c>
      <c r="AJ24" s="15">
        <v>460</v>
      </c>
      <c r="AK24" s="15">
        <v>86</v>
      </c>
      <c r="AL24" s="214"/>
      <c r="AM24" s="214"/>
    </row>
    <row r="25" spans="1:39" ht="18.75" customHeight="1" x14ac:dyDescent="0.25">
      <c r="A25" s="18" t="s">
        <v>101</v>
      </c>
      <c r="B25" s="210">
        <v>42247.402777777781</v>
      </c>
      <c r="C25" s="15">
        <v>12000</v>
      </c>
      <c r="D25" s="15">
        <v>0.18</v>
      </c>
      <c r="E25" s="15">
        <v>14</v>
      </c>
      <c r="F25" s="15">
        <v>15000</v>
      </c>
      <c r="G25" s="15">
        <v>17</v>
      </c>
      <c r="H25" s="15">
        <v>430</v>
      </c>
      <c r="I25" s="15">
        <v>76</v>
      </c>
      <c r="J25" s="15"/>
      <c r="K25" s="215">
        <f t="shared" si="1"/>
        <v>4.0791812460476251</v>
      </c>
      <c r="L25" s="215">
        <f t="shared" si="2"/>
        <v>-0.74472749489669399</v>
      </c>
      <c r="M25" s="215">
        <f t="shared" si="3"/>
        <v>1.146128035678238</v>
      </c>
      <c r="N25" s="215">
        <f t="shared" si="4"/>
        <v>4.1760912590556813</v>
      </c>
      <c r="O25" s="215">
        <f t="shared" si="5"/>
        <v>1.2304489213782739</v>
      </c>
      <c r="P25" s="215">
        <f t="shared" si="6"/>
        <v>2.6334684555795866</v>
      </c>
      <c r="Q25" s="215">
        <f t="shared" si="7"/>
        <v>1.8808135922807914</v>
      </c>
      <c r="S25" s="85" t="s">
        <v>6</v>
      </c>
      <c r="T25" s="74">
        <f>I80</f>
        <v>89.319753206286606</v>
      </c>
      <c r="U25" s="74">
        <f>I82</f>
        <v>68.363360089874007</v>
      </c>
      <c r="V25" s="58">
        <v>350</v>
      </c>
      <c r="W25" s="57">
        <v>1.5567149562473701</v>
      </c>
      <c r="X25"/>
      <c r="Y25"/>
      <c r="Z25"/>
      <c r="AA25"/>
      <c r="AB25" s="2"/>
      <c r="AC25" s="2"/>
      <c r="AD25" s="210">
        <v>42246.440972222219</v>
      </c>
      <c r="AE25" s="15">
        <v>12000</v>
      </c>
      <c r="AF25" s="15">
        <v>0.24</v>
      </c>
      <c r="AG25" s="15">
        <v>16</v>
      </c>
      <c r="AH25" s="15">
        <v>14000</v>
      </c>
      <c r="AI25" s="15">
        <v>16</v>
      </c>
      <c r="AJ25" s="15">
        <v>440</v>
      </c>
      <c r="AK25" s="15">
        <v>77</v>
      </c>
      <c r="AL25" s="214"/>
      <c r="AM25" s="214"/>
    </row>
    <row r="26" spans="1:39" ht="18.75" customHeight="1" x14ac:dyDescent="0.25">
      <c r="A26" s="18" t="s">
        <v>101</v>
      </c>
      <c r="B26" s="210">
        <v>42248.413194444445</v>
      </c>
      <c r="C26" s="15">
        <v>9300</v>
      </c>
      <c r="D26" s="15">
        <v>0.27</v>
      </c>
      <c r="E26" s="15">
        <v>14</v>
      </c>
      <c r="F26" s="15">
        <v>11000</v>
      </c>
      <c r="G26" s="15">
        <v>16</v>
      </c>
      <c r="H26" s="15">
        <v>410</v>
      </c>
      <c r="I26" s="15">
        <v>67</v>
      </c>
      <c r="J26" s="15"/>
      <c r="K26" s="215">
        <f t="shared" si="1"/>
        <v>3.9684829485539352</v>
      </c>
      <c r="L26" s="215">
        <f t="shared" si="2"/>
        <v>-0.56863623584101264</v>
      </c>
      <c r="M26" s="215">
        <f t="shared" si="3"/>
        <v>1.146128035678238</v>
      </c>
      <c r="N26" s="215">
        <f t="shared" si="4"/>
        <v>4.0413926851582254</v>
      </c>
      <c r="O26" s="215">
        <f t="shared" si="5"/>
        <v>1.2041199826559248</v>
      </c>
      <c r="P26" s="215">
        <f t="shared" si="6"/>
        <v>2.6127838567197355</v>
      </c>
      <c r="Q26" s="215">
        <f t="shared" si="7"/>
        <v>1.8260748027008264</v>
      </c>
      <c r="S26" s="46" t="s">
        <v>108</v>
      </c>
      <c r="T26" s="46">
        <v>6</v>
      </c>
      <c r="U26" s="46"/>
      <c r="V26" s="46">
        <v>1</v>
      </c>
      <c r="W26" s="5"/>
      <c r="X26"/>
      <c r="Y26"/>
      <c r="Z26"/>
      <c r="AA26"/>
      <c r="AB26" s="2"/>
      <c r="AC26" s="2"/>
      <c r="AD26" s="210">
        <v>42247.402777777781</v>
      </c>
      <c r="AE26" s="15">
        <v>12000</v>
      </c>
      <c r="AF26" s="15">
        <v>0.18</v>
      </c>
      <c r="AG26" s="15">
        <v>14</v>
      </c>
      <c r="AH26" s="15">
        <v>15000</v>
      </c>
      <c r="AI26" s="15">
        <v>17</v>
      </c>
      <c r="AJ26" s="15">
        <v>430</v>
      </c>
      <c r="AK26" s="15">
        <v>76</v>
      </c>
      <c r="AL26" s="434"/>
      <c r="AM26" s="435"/>
    </row>
    <row r="27" spans="1:39" ht="18.75" customHeight="1" x14ac:dyDescent="0.25">
      <c r="A27" s="18" t="s">
        <v>101</v>
      </c>
      <c r="B27" s="210">
        <v>42252.454861111109</v>
      </c>
      <c r="C27" s="15">
        <v>7200</v>
      </c>
      <c r="D27" s="15">
        <v>0.18</v>
      </c>
      <c r="E27" s="15">
        <v>13</v>
      </c>
      <c r="F27" s="15">
        <v>11000</v>
      </c>
      <c r="G27" s="15">
        <v>17</v>
      </c>
      <c r="H27" s="15">
        <v>380</v>
      </c>
      <c r="I27" s="15">
        <v>84</v>
      </c>
      <c r="J27" s="15"/>
      <c r="K27" s="215">
        <f t="shared" si="1"/>
        <v>3.8573324964312685</v>
      </c>
      <c r="L27" s="215">
        <f t="shared" si="2"/>
        <v>-0.74472749489669399</v>
      </c>
      <c r="M27" s="215">
        <f t="shared" si="3"/>
        <v>1.1139433523068367</v>
      </c>
      <c r="N27" s="215">
        <f t="shared" si="4"/>
        <v>4.0413926851582254</v>
      </c>
      <c r="O27" s="215">
        <f t="shared" si="5"/>
        <v>1.2304489213782739</v>
      </c>
      <c r="P27" s="215">
        <f t="shared" si="6"/>
        <v>2.5797835966168101</v>
      </c>
      <c r="Q27" s="215">
        <f t="shared" si="7"/>
        <v>1.9242792860618816</v>
      </c>
      <c r="S27" s="2"/>
      <c r="T27" s="2"/>
      <c r="U27" s="2"/>
      <c r="V27" s="2"/>
      <c r="W27" s="2"/>
      <c r="X27"/>
      <c r="Y27"/>
      <c r="Z27" s="293" t="s">
        <v>262</v>
      </c>
      <c r="AA27" s="2"/>
      <c r="AB27" s="5"/>
      <c r="AC27" s="5"/>
      <c r="AD27" s="210">
        <v>42248.413194444445</v>
      </c>
      <c r="AE27" s="15">
        <v>9300</v>
      </c>
      <c r="AF27" s="15">
        <v>0.27</v>
      </c>
      <c r="AG27" s="15">
        <v>14</v>
      </c>
      <c r="AH27" s="15">
        <v>11000</v>
      </c>
      <c r="AI27" s="15">
        <v>16</v>
      </c>
      <c r="AJ27" s="15">
        <v>410</v>
      </c>
      <c r="AK27" s="15">
        <v>67</v>
      </c>
      <c r="AL27" s="214"/>
      <c r="AM27" s="214"/>
    </row>
    <row r="28" spans="1:39" ht="18.75" customHeight="1" x14ac:dyDescent="0.25">
      <c r="A28" s="18" t="s">
        <v>101</v>
      </c>
      <c r="B28" s="210">
        <v>42253.451388888891</v>
      </c>
      <c r="C28" s="15">
        <v>5400</v>
      </c>
      <c r="D28" s="15">
        <v>0.13</v>
      </c>
      <c r="E28" s="15">
        <v>10</v>
      </c>
      <c r="F28" s="15">
        <v>9000</v>
      </c>
      <c r="G28" s="15">
        <v>13</v>
      </c>
      <c r="H28" s="15">
        <v>290</v>
      </c>
      <c r="I28" s="15">
        <v>57</v>
      </c>
      <c r="J28" s="15"/>
      <c r="K28" s="215">
        <f t="shared" si="1"/>
        <v>3.7323937598229686</v>
      </c>
      <c r="L28" s="215">
        <f t="shared" si="2"/>
        <v>-0.88605664769316317</v>
      </c>
      <c r="M28" s="215">
        <f t="shared" si="3"/>
        <v>1</v>
      </c>
      <c r="N28" s="215">
        <f t="shared" si="4"/>
        <v>3.9542425094393248</v>
      </c>
      <c r="O28" s="215">
        <f t="shared" si="5"/>
        <v>1.1139433523068367</v>
      </c>
      <c r="P28" s="215">
        <f t="shared" si="6"/>
        <v>2.4623979978989561</v>
      </c>
      <c r="Q28" s="215">
        <f t="shared" si="7"/>
        <v>1.7558748556724915</v>
      </c>
      <c r="S28" s="5"/>
      <c r="T28" s="5"/>
      <c r="U28" s="5"/>
      <c r="V28" s="5"/>
      <c r="W28" s="5"/>
      <c r="X28"/>
      <c r="Y28"/>
      <c r="Z28" s="5"/>
      <c r="AA28" s="5"/>
      <c r="AB28" s="2"/>
      <c r="AC28" s="2"/>
      <c r="AD28" s="210">
        <v>42252.454861111109</v>
      </c>
      <c r="AE28" s="15">
        <v>7200</v>
      </c>
      <c r="AF28" s="15">
        <v>0.18</v>
      </c>
      <c r="AG28" s="15">
        <v>13</v>
      </c>
      <c r="AH28" s="15">
        <v>11000</v>
      </c>
      <c r="AI28" s="15">
        <v>17</v>
      </c>
      <c r="AJ28" s="15">
        <v>380</v>
      </c>
      <c r="AK28" s="15">
        <v>84</v>
      </c>
      <c r="AL28" s="214"/>
      <c r="AM28" s="214"/>
    </row>
    <row r="29" spans="1:39" ht="18.75" customHeight="1" x14ac:dyDescent="0.25">
      <c r="A29" s="18" t="s">
        <v>101</v>
      </c>
      <c r="B29" s="210">
        <v>42254.423611111109</v>
      </c>
      <c r="C29" s="15">
        <v>11000</v>
      </c>
      <c r="D29" s="15">
        <v>0.16</v>
      </c>
      <c r="E29" s="15">
        <v>15</v>
      </c>
      <c r="F29" s="15">
        <v>16000</v>
      </c>
      <c r="G29" s="15">
        <v>16</v>
      </c>
      <c r="H29" s="15">
        <v>410</v>
      </c>
      <c r="I29" s="15">
        <v>68</v>
      </c>
      <c r="J29" s="15"/>
      <c r="K29" s="215">
        <f t="shared" si="1"/>
        <v>4.0413926851582254</v>
      </c>
      <c r="L29" s="215">
        <f t="shared" si="2"/>
        <v>-0.79588001734407521</v>
      </c>
      <c r="M29" s="215">
        <f t="shared" si="3"/>
        <v>1.1760912590556813</v>
      </c>
      <c r="N29" s="215">
        <f t="shared" si="4"/>
        <v>4.204119982655925</v>
      </c>
      <c r="O29" s="215">
        <f t="shared" si="5"/>
        <v>1.2041199826559248</v>
      </c>
      <c r="P29" s="215">
        <f t="shared" si="6"/>
        <v>2.6127838567197355</v>
      </c>
      <c r="Q29" s="215">
        <f t="shared" si="7"/>
        <v>1.8325089127062364</v>
      </c>
      <c r="S29" s="2"/>
      <c r="T29" s="2"/>
      <c r="U29" s="2"/>
      <c r="V29" s="2"/>
      <c r="W29" s="2"/>
      <c r="X29"/>
      <c r="Y29"/>
      <c r="Z29" s="2"/>
      <c r="AA29" s="2"/>
      <c r="AB29" s="5"/>
      <c r="AC29" s="2"/>
      <c r="AD29" s="210">
        <v>42253.451388888891</v>
      </c>
      <c r="AE29" s="15">
        <v>5400</v>
      </c>
      <c r="AF29" s="15">
        <v>0.13</v>
      </c>
      <c r="AG29" s="15">
        <v>10</v>
      </c>
      <c r="AH29" s="15">
        <v>9000</v>
      </c>
      <c r="AI29" s="15">
        <v>13</v>
      </c>
      <c r="AJ29" s="15">
        <v>290</v>
      </c>
      <c r="AK29" s="15">
        <v>57</v>
      </c>
      <c r="AL29" s="212"/>
      <c r="AM29" s="134"/>
    </row>
    <row r="30" spans="1:39" ht="18.75" customHeight="1" x14ac:dyDescent="0.25">
      <c r="A30" s="18" t="s">
        <v>101</v>
      </c>
      <c r="B30" s="210">
        <v>42255.450694444444</v>
      </c>
      <c r="C30" s="15">
        <v>7300</v>
      </c>
      <c r="D30" s="15">
        <v>0.13</v>
      </c>
      <c r="E30" s="15">
        <v>12</v>
      </c>
      <c r="F30" s="15">
        <v>10000</v>
      </c>
      <c r="G30" s="15">
        <v>16</v>
      </c>
      <c r="H30" s="15">
        <v>330</v>
      </c>
      <c r="I30" s="15">
        <v>68</v>
      </c>
      <c r="J30" s="15"/>
      <c r="K30" s="215">
        <f t="shared" si="1"/>
        <v>3.8633228601204559</v>
      </c>
      <c r="L30" s="215">
        <f t="shared" si="2"/>
        <v>-0.88605664769316317</v>
      </c>
      <c r="M30" s="215">
        <f t="shared" si="3"/>
        <v>1.0791812460476249</v>
      </c>
      <c r="N30" s="215">
        <f t="shared" si="4"/>
        <v>4</v>
      </c>
      <c r="O30" s="215">
        <f t="shared" si="5"/>
        <v>1.2041199826559248</v>
      </c>
      <c r="P30" s="215">
        <f t="shared" si="6"/>
        <v>2.5185139398778875</v>
      </c>
      <c r="Q30" s="215">
        <f t="shared" si="7"/>
        <v>1.8325089127062364</v>
      </c>
      <c r="S30" s="2"/>
      <c r="T30" s="293"/>
      <c r="U30" s="2"/>
      <c r="V30" s="2"/>
      <c r="W30" s="2"/>
      <c r="X30"/>
      <c r="Y30"/>
      <c r="Z30" s="5"/>
      <c r="AA30" s="5"/>
      <c r="AB30" s="2"/>
      <c r="AC30" s="2"/>
      <c r="AD30" s="210">
        <v>42254.423611111109</v>
      </c>
      <c r="AE30" s="15">
        <v>11000</v>
      </c>
      <c r="AF30" s="15">
        <v>0.16</v>
      </c>
      <c r="AG30" s="15">
        <v>15</v>
      </c>
      <c r="AH30" s="15">
        <v>16000</v>
      </c>
      <c r="AI30" s="15">
        <v>16</v>
      </c>
      <c r="AJ30" s="15">
        <v>410</v>
      </c>
      <c r="AK30" s="15">
        <v>68</v>
      </c>
      <c r="AL30" s="27"/>
      <c r="AM30" s="27"/>
    </row>
    <row r="31" spans="1:39" ht="18.75" customHeight="1" x14ac:dyDescent="0.25">
      <c r="A31" s="18" t="s">
        <v>101</v>
      </c>
      <c r="B31" s="210">
        <v>42256.465277777781</v>
      </c>
      <c r="C31" s="15">
        <v>10000</v>
      </c>
      <c r="D31" s="15">
        <v>0.18</v>
      </c>
      <c r="E31" s="15">
        <v>14</v>
      </c>
      <c r="F31" s="15">
        <v>13000</v>
      </c>
      <c r="G31" s="15">
        <v>15</v>
      </c>
      <c r="H31" s="15">
        <v>380</v>
      </c>
      <c r="I31" s="15">
        <v>74</v>
      </c>
      <c r="J31" s="15"/>
      <c r="K31" s="215">
        <f t="shared" si="1"/>
        <v>4</v>
      </c>
      <c r="L31" s="215">
        <f t="shared" si="2"/>
        <v>-0.74472749489669399</v>
      </c>
      <c r="M31" s="215">
        <f t="shared" si="3"/>
        <v>1.146128035678238</v>
      </c>
      <c r="N31" s="215">
        <f t="shared" si="4"/>
        <v>4.1139433523068369</v>
      </c>
      <c r="O31" s="215">
        <f t="shared" si="5"/>
        <v>1.1760912590556813</v>
      </c>
      <c r="P31" s="215">
        <f t="shared" si="6"/>
        <v>2.5797835966168101</v>
      </c>
      <c r="Q31" s="215">
        <f t="shared" si="7"/>
        <v>1.8692317197309762</v>
      </c>
      <c r="S31" s="5"/>
      <c r="T31" s="5"/>
      <c r="U31" s="5"/>
      <c r="V31" s="5"/>
      <c r="W31" s="5"/>
      <c r="X31"/>
      <c r="Y31"/>
      <c r="Z31" s="2"/>
      <c r="AA31" s="2"/>
      <c r="AB31" s="2"/>
      <c r="AC31" s="2"/>
      <c r="AD31" s="210">
        <v>42255.450694444444</v>
      </c>
      <c r="AE31" s="15">
        <v>7300</v>
      </c>
      <c r="AF31" s="15">
        <v>0.13</v>
      </c>
      <c r="AG31" s="15">
        <v>12</v>
      </c>
      <c r="AH31" s="15">
        <v>10000</v>
      </c>
      <c r="AI31" s="15">
        <v>16</v>
      </c>
      <c r="AJ31" s="15">
        <v>330</v>
      </c>
      <c r="AK31" s="15">
        <v>68</v>
      </c>
      <c r="AL31" s="27"/>
      <c r="AM31" s="27"/>
    </row>
    <row r="32" spans="1:39" ht="18.75" customHeight="1" x14ac:dyDescent="0.25">
      <c r="A32" s="18" t="s">
        <v>101</v>
      </c>
      <c r="B32" s="210">
        <v>42257.444444444445</v>
      </c>
      <c r="C32" s="15">
        <v>13000</v>
      </c>
      <c r="D32" s="15">
        <v>0.19</v>
      </c>
      <c r="E32" s="15">
        <v>15</v>
      </c>
      <c r="F32" s="15">
        <v>15000</v>
      </c>
      <c r="G32" s="15">
        <v>18</v>
      </c>
      <c r="H32" s="15">
        <v>430</v>
      </c>
      <c r="I32" s="15">
        <v>74</v>
      </c>
      <c r="J32" s="15"/>
      <c r="K32" s="215">
        <f t="shared" si="1"/>
        <v>4.1139433523068369</v>
      </c>
      <c r="L32" s="215">
        <f t="shared" si="2"/>
        <v>-0.72124639904717103</v>
      </c>
      <c r="M32" s="215">
        <f t="shared" si="3"/>
        <v>1.1760912590556813</v>
      </c>
      <c r="N32" s="215">
        <f t="shared" si="4"/>
        <v>4.1760912590556813</v>
      </c>
      <c r="O32" s="215">
        <f t="shared" si="5"/>
        <v>1.255272505103306</v>
      </c>
      <c r="P32" s="215">
        <f t="shared" si="6"/>
        <v>2.6334684555795866</v>
      </c>
      <c r="Q32" s="215">
        <f t="shared" si="7"/>
        <v>1.8692317197309762</v>
      </c>
      <c r="S32" s="2"/>
      <c r="T32" s="2"/>
      <c r="U32" s="2"/>
      <c r="V32" s="2"/>
      <c r="W32" s="2"/>
      <c r="X32"/>
      <c r="Y32"/>
      <c r="Z32" s="2"/>
      <c r="AA32" s="2"/>
      <c r="AB32" s="5"/>
      <c r="AC32" s="5"/>
      <c r="AD32" s="210">
        <v>42256.465277777781</v>
      </c>
      <c r="AE32" s="15">
        <v>10000</v>
      </c>
      <c r="AF32" s="15">
        <v>0.18</v>
      </c>
      <c r="AG32" s="15">
        <v>14</v>
      </c>
      <c r="AH32" s="15">
        <v>13000</v>
      </c>
      <c r="AI32" s="15">
        <v>15</v>
      </c>
      <c r="AJ32" s="15">
        <v>380</v>
      </c>
      <c r="AK32" s="15">
        <v>74</v>
      </c>
      <c r="AL32" s="27"/>
      <c r="AM32" s="27"/>
    </row>
    <row r="33" spans="1:39" ht="18.75" customHeight="1" x14ac:dyDescent="0.2">
      <c r="A33" s="18" t="s">
        <v>101</v>
      </c>
      <c r="B33" s="210">
        <v>42258.422222222223</v>
      </c>
      <c r="C33" s="15">
        <v>12000</v>
      </c>
      <c r="D33" s="15">
        <v>0.28000000000000003</v>
      </c>
      <c r="E33" s="15">
        <v>19</v>
      </c>
      <c r="F33" s="15">
        <v>15000</v>
      </c>
      <c r="G33" s="15">
        <v>22</v>
      </c>
      <c r="H33" s="15">
        <v>530</v>
      </c>
      <c r="I33" s="15">
        <v>87</v>
      </c>
      <c r="J33" s="15"/>
      <c r="K33" s="215">
        <f t="shared" si="1"/>
        <v>4.0791812460476251</v>
      </c>
      <c r="L33" s="215">
        <f t="shared" si="2"/>
        <v>-0.55284196865778079</v>
      </c>
      <c r="M33" s="215">
        <f t="shared" si="3"/>
        <v>1.2787536009528289</v>
      </c>
      <c r="N33" s="215">
        <f t="shared" si="4"/>
        <v>4.1760912590556813</v>
      </c>
      <c r="O33" s="215">
        <f t="shared" si="5"/>
        <v>1.3424226808222062</v>
      </c>
      <c r="P33" s="215">
        <f t="shared" si="6"/>
        <v>2.7242758696007892</v>
      </c>
      <c r="Q33" s="215">
        <f t="shared" si="7"/>
        <v>1.9395192526186185</v>
      </c>
      <c r="S33" s="5"/>
      <c r="T33" s="5"/>
      <c r="U33" s="5"/>
      <c r="V33" s="5"/>
      <c r="W33" s="5"/>
      <c r="Y33" s="32"/>
      <c r="Z33" s="32"/>
      <c r="AA33" s="5"/>
      <c r="AB33" s="2"/>
      <c r="AC33" s="2"/>
      <c r="AD33" s="210">
        <v>42257.444444444445</v>
      </c>
      <c r="AE33" s="15">
        <v>13000</v>
      </c>
      <c r="AF33" s="15">
        <v>0.19</v>
      </c>
      <c r="AG33" s="15">
        <v>15</v>
      </c>
      <c r="AH33" s="15">
        <v>15000</v>
      </c>
      <c r="AI33" s="15">
        <v>18</v>
      </c>
      <c r="AJ33" s="15">
        <v>430</v>
      </c>
      <c r="AK33" s="15">
        <v>74</v>
      </c>
      <c r="AL33" s="27"/>
      <c r="AM33" s="27"/>
    </row>
    <row r="34" spans="1:39" ht="18.75" customHeight="1" x14ac:dyDescent="0.2">
      <c r="A34" s="18" t="s">
        <v>101</v>
      </c>
      <c r="B34" s="210">
        <v>42259.461111111108</v>
      </c>
      <c r="C34" s="15">
        <v>11000</v>
      </c>
      <c r="D34" s="15">
        <v>0.16</v>
      </c>
      <c r="E34" s="15">
        <v>12</v>
      </c>
      <c r="F34" s="15">
        <v>14000</v>
      </c>
      <c r="G34" s="15">
        <v>14</v>
      </c>
      <c r="H34" s="15">
        <v>340</v>
      </c>
      <c r="I34" s="15">
        <v>66</v>
      </c>
      <c r="J34" s="15"/>
      <c r="K34" s="215">
        <f t="shared" si="1"/>
        <v>4.0413926851582254</v>
      </c>
      <c r="L34" s="215">
        <f t="shared" si="2"/>
        <v>-0.79588001734407521</v>
      </c>
      <c r="M34" s="215">
        <f t="shared" si="3"/>
        <v>1.0791812460476249</v>
      </c>
      <c r="N34" s="215">
        <f t="shared" si="4"/>
        <v>4.1461280356782382</v>
      </c>
      <c r="O34" s="215">
        <f t="shared" si="5"/>
        <v>1.146128035678238</v>
      </c>
      <c r="P34" s="215">
        <f t="shared" si="6"/>
        <v>2.5314789170422549</v>
      </c>
      <c r="Q34" s="215">
        <f t="shared" si="7"/>
        <v>1.8195439355418688</v>
      </c>
      <c r="S34" s="2"/>
      <c r="T34" s="2"/>
      <c r="U34" s="2"/>
      <c r="V34" s="2"/>
      <c r="W34" s="2"/>
      <c r="X34" s="144"/>
      <c r="Y34" s="32"/>
      <c r="AA34" s="2"/>
      <c r="AB34" s="2"/>
      <c r="AC34" s="2"/>
      <c r="AD34" s="210">
        <v>42258.422222222223</v>
      </c>
      <c r="AE34" s="15">
        <v>12000</v>
      </c>
      <c r="AF34" s="15">
        <v>0.28000000000000003</v>
      </c>
      <c r="AG34" s="15">
        <v>19</v>
      </c>
      <c r="AH34" s="15">
        <v>15000</v>
      </c>
      <c r="AI34" s="15">
        <v>22</v>
      </c>
      <c r="AJ34" s="15">
        <v>530</v>
      </c>
      <c r="AK34" s="15">
        <v>87</v>
      </c>
    </row>
    <row r="35" spans="1:39" ht="18.75" customHeight="1" x14ac:dyDescent="0.2">
      <c r="A35" s="18" t="s">
        <v>101</v>
      </c>
      <c r="B35" s="210">
        <v>42260.480555555558</v>
      </c>
      <c r="C35" s="15">
        <v>12000</v>
      </c>
      <c r="D35" s="15">
        <v>0.19</v>
      </c>
      <c r="E35" s="15">
        <v>14</v>
      </c>
      <c r="F35" s="15">
        <v>16000</v>
      </c>
      <c r="G35" s="15">
        <v>16</v>
      </c>
      <c r="H35" s="15">
        <v>390</v>
      </c>
      <c r="I35" s="15">
        <v>70</v>
      </c>
      <c r="J35" s="15"/>
      <c r="K35" s="215">
        <f t="shared" si="1"/>
        <v>4.0791812460476251</v>
      </c>
      <c r="L35" s="215">
        <f t="shared" si="2"/>
        <v>-0.72124639904717103</v>
      </c>
      <c r="M35" s="215">
        <f t="shared" si="3"/>
        <v>1.146128035678238</v>
      </c>
      <c r="N35" s="215">
        <f t="shared" si="4"/>
        <v>4.204119982655925</v>
      </c>
      <c r="O35" s="215">
        <f t="shared" si="5"/>
        <v>1.2041199826559248</v>
      </c>
      <c r="P35" s="215">
        <f t="shared" si="6"/>
        <v>2.5910646070264991</v>
      </c>
      <c r="Q35" s="215">
        <f t="shared" si="7"/>
        <v>1.8450980400142569</v>
      </c>
      <c r="S35" s="2"/>
      <c r="T35" s="2"/>
      <c r="U35" s="2"/>
      <c r="V35" s="2"/>
      <c r="W35" s="2"/>
      <c r="X35" s="144"/>
      <c r="Y35" s="32"/>
      <c r="Z35" s="32"/>
      <c r="AA35" s="2"/>
      <c r="AB35" s="2"/>
      <c r="AC35" s="2"/>
      <c r="AD35" s="210">
        <v>42259.461111111108</v>
      </c>
      <c r="AE35" s="15">
        <v>11000</v>
      </c>
      <c r="AF35" s="15">
        <v>0.16</v>
      </c>
      <c r="AG35" s="15">
        <v>12</v>
      </c>
      <c r="AH35" s="15">
        <v>14000</v>
      </c>
      <c r="AI35" s="15">
        <v>14</v>
      </c>
      <c r="AJ35" s="15">
        <v>340</v>
      </c>
      <c r="AK35" s="15">
        <v>66</v>
      </c>
    </row>
    <row r="36" spans="1:39" ht="18.75" customHeight="1" x14ac:dyDescent="0.25">
      <c r="A36" s="18" t="s">
        <v>101</v>
      </c>
      <c r="B36" s="210">
        <v>42261.50277777778</v>
      </c>
      <c r="C36" s="15">
        <v>11000</v>
      </c>
      <c r="D36" s="15">
        <v>0.23</v>
      </c>
      <c r="E36" s="15">
        <v>12</v>
      </c>
      <c r="F36" s="15">
        <v>13000</v>
      </c>
      <c r="G36" s="15">
        <v>17</v>
      </c>
      <c r="H36" s="15">
        <v>360</v>
      </c>
      <c r="I36" s="15">
        <v>65</v>
      </c>
      <c r="J36" s="15"/>
      <c r="K36" s="215">
        <f t="shared" si="1"/>
        <v>4.0413926851582254</v>
      </c>
      <c r="L36" s="215">
        <f t="shared" si="2"/>
        <v>-0.63827216398240705</v>
      </c>
      <c r="M36" s="215">
        <f t="shared" si="3"/>
        <v>1.0791812460476249</v>
      </c>
      <c r="N36" s="215">
        <f t="shared" si="4"/>
        <v>4.1139433523068369</v>
      </c>
      <c r="O36" s="215">
        <f t="shared" si="5"/>
        <v>1.2304489213782739</v>
      </c>
      <c r="P36" s="215">
        <f t="shared" si="6"/>
        <v>2.5563025007672873</v>
      </c>
      <c r="Q36" s="215">
        <f t="shared" si="7"/>
        <v>1.8129133566428555</v>
      </c>
      <c r="S36" s="2"/>
      <c r="T36" s="2"/>
      <c r="U36" s="2"/>
      <c r="V36" s="2"/>
      <c r="W36" s="2"/>
      <c r="AB36" s="2"/>
      <c r="AC36" s="2"/>
      <c r="AD36" s="210">
        <v>42260.480555555558</v>
      </c>
      <c r="AE36" s="15">
        <v>12000</v>
      </c>
      <c r="AF36" s="15">
        <v>0.19</v>
      </c>
      <c r="AG36" s="15">
        <v>14</v>
      </c>
      <c r="AH36" s="15">
        <v>16000</v>
      </c>
      <c r="AI36" s="15">
        <v>16</v>
      </c>
      <c r="AJ36" s="15">
        <v>390</v>
      </c>
      <c r="AK36" s="15">
        <v>70</v>
      </c>
    </row>
    <row r="37" spans="1:39" ht="18.75" customHeight="1" x14ac:dyDescent="0.25">
      <c r="A37" s="18" t="s">
        <v>101</v>
      </c>
      <c r="B37" s="210">
        <v>42262.454861111109</v>
      </c>
      <c r="C37" s="15">
        <v>16000</v>
      </c>
      <c r="D37" s="15">
        <v>0.27</v>
      </c>
      <c r="E37" s="15">
        <v>21</v>
      </c>
      <c r="F37" s="15">
        <v>17000</v>
      </c>
      <c r="G37" s="15">
        <v>21</v>
      </c>
      <c r="H37" s="15">
        <v>530</v>
      </c>
      <c r="I37" s="15">
        <v>94</v>
      </c>
      <c r="J37" s="15"/>
      <c r="K37" s="215">
        <f t="shared" si="1"/>
        <v>4.204119982655925</v>
      </c>
      <c r="L37" s="215">
        <f t="shared" si="2"/>
        <v>-0.56863623584101264</v>
      </c>
      <c r="M37" s="215">
        <f t="shared" si="3"/>
        <v>1.3222192947339193</v>
      </c>
      <c r="N37" s="215">
        <f t="shared" si="4"/>
        <v>4.2304489213782741</v>
      </c>
      <c r="O37" s="215">
        <f t="shared" si="5"/>
        <v>1.3222192947339193</v>
      </c>
      <c r="P37" s="215">
        <f t="shared" si="6"/>
        <v>2.7242758696007892</v>
      </c>
      <c r="Q37" s="215">
        <f t="shared" si="7"/>
        <v>1.9731278535996986</v>
      </c>
      <c r="S37" s="2"/>
      <c r="T37" s="2"/>
      <c r="U37" s="2"/>
      <c r="V37" s="2"/>
      <c r="W37" s="2"/>
      <c r="AB37" s="2"/>
      <c r="AC37" s="2"/>
      <c r="AD37" s="210">
        <v>42261.50277777778</v>
      </c>
      <c r="AE37" s="15">
        <v>11000</v>
      </c>
      <c r="AF37" s="15">
        <v>0.23</v>
      </c>
      <c r="AG37" s="15">
        <v>12</v>
      </c>
      <c r="AH37" s="15">
        <v>13000</v>
      </c>
      <c r="AI37" s="15">
        <v>17</v>
      </c>
      <c r="AJ37" s="15">
        <v>360</v>
      </c>
      <c r="AK37" s="15">
        <v>65</v>
      </c>
    </row>
    <row r="38" spans="1:39" ht="18.75" customHeight="1" x14ac:dyDescent="0.25">
      <c r="A38" s="18" t="s">
        <v>101</v>
      </c>
      <c r="B38" s="210">
        <v>42263.454861111109</v>
      </c>
      <c r="C38" s="15">
        <v>10000</v>
      </c>
      <c r="D38" s="15">
        <v>0.3</v>
      </c>
      <c r="E38" s="15">
        <v>14</v>
      </c>
      <c r="F38" s="15">
        <v>12000</v>
      </c>
      <c r="G38" s="15">
        <v>16</v>
      </c>
      <c r="H38" s="15">
        <v>430</v>
      </c>
      <c r="I38" s="15">
        <v>76</v>
      </c>
      <c r="J38" s="15"/>
      <c r="K38" s="215">
        <f t="shared" si="1"/>
        <v>4</v>
      </c>
      <c r="L38" s="215">
        <f t="shared" si="2"/>
        <v>-0.52287874528033762</v>
      </c>
      <c r="M38" s="215">
        <f t="shared" si="3"/>
        <v>1.146128035678238</v>
      </c>
      <c r="N38" s="215">
        <f t="shared" si="4"/>
        <v>4.0791812460476251</v>
      </c>
      <c r="O38" s="215">
        <f t="shared" si="5"/>
        <v>1.2041199826559248</v>
      </c>
      <c r="P38" s="215">
        <f t="shared" si="6"/>
        <v>2.6334684555795866</v>
      </c>
      <c r="Q38" s="215">
        <f t="shared" si="7"/>
        <v>1.8808135922807914</v>
      </c>
      <c r="S38" s="2"/>
      <c r="T38" s="2"/>
      <c r="U38" s="2"/>
      <c r="V38" s="2"/>
      <c r="W38" s="2"/>
      <c r="AB38" s="2"/>
      <c r="AC38" s="2"/>
      <c r="AD38" s="210">
        <v>42262.454861111109</v>
      </c>
      <c r="AE38" s="15">
        <v>16000</v>
      </c>
      <c r="AF38" s="15">
        <v>0.27</v>
      </c>
      <c r="AG38" s="15">
        <v>21</v>
      </c>
      <c r="AH38" s="15">
        <v>17000</v>
      </c>
      <c r="AI38" s="15">
        <v>21</v>
      </c>
      <c r="AJ38" s="15">
        <v>530</v>
      </c>
      <c r="AK38" s="15">
        <v>94</v>
      </c>
    </row>
    <row r="39" spans="1:39" ht="18.75" customHeight="1" x14ac:dyDescent="0.25">
      <c r="A39" s="18" t="s">
        <v>101</v>
      </c>
      <c r="B39" s="210">
        <v>42264.434027777781</v>
      </c>
      <c r="C39" s="15">
        <v>11000</v>
      </c>
      <c r="D39" s="15">
        <v>0.19</v>
      </c>
      <c r="E39" s="15">
        <v>13</v>
      </c>
      <c r="F39" s="15">
        <v>14000</v>
      </c>
      <c r="G39" s="15">
        <v>16</v>
      </c>
      <c r="H39" s="15">
        <v>390</v>
      </c>
      <c r="I39" s="15">
        <v>73</v>
      </c>
      <c r="J39" s="15"/>
      <c r="K39" s="215">
        <f t="shared" si="1"/>
        <v>4.0413926851582254</v>
      </c>
      <c r="L39" s="215">
        <f t="shared" si="2"/>
        <v>-0.72124639904717103</v>
      </c>
      <c r="M39" s="215">
        <f t="shared" si="3"/>
        <v>1.1139433523068367</v>
      </c>
      <c r="N39" s="215">
        <f t="shared" si="4"/>
        <v>4.1461280356782382</v>
      </c>
      <c r="O39" s="215">
        <f t="shared" si="5"/>
        <v>1.2041199826559248</v>
      </c>
      <c r="P39" s="215">
        <f t="shared" si="6"/>
        <v>2.5910646070264991</v>
      </c>
      <c r="Q39" s="215">
        <f t="shared" si="7"/>
        <v>1.8633228601204559</v>
      </c>
      <c r="S39" s="2"/>
      <c r="T39" s="2"/>
      <c r="U39" s="2"/>
      <c r="V39" s="2"/>
      <c r="W39" s="2"/>
      <c r="AB39" s="2"/>
      <c r="AC39" s="2"/>
      <c r="AD39" s="210">
        <v>42263.454861111109</v>
      </c>
      <c r="AE39" s="15">
        <v>10000</v>
      </c>
      <c r="AF39" s="15">
        <v>0.3</v>
      </c>
      <c r="AG39" s="15">
        <v>14</v>
      </c>
      <c r="AH39" s="15">
        <v>12000</v>
      </c>
      <c r="AI39" s="15">
        <v>16</v>
      </c>
      <c r="AJ39" s="15">
        <v>430</v>
      </c>
      <c r="AK39" s="15">
        <v>76</v>
      </c>
    </row>
    <row r="40" spans="1:39" ht="18.75" customHeight="1" x14ac:dyDescent="0.25">
      <c r="A40" s="18" t="s">
        <v>101</v>
      </c>
      <c r="B40" s="210">
        <v>42265.572916666664</v>
      </c>
      <c r="C40" s="15">
        <v>12000</v>
      </c>
      <c r="D40" s="15">
        <v>0.25</v>
      </c>
      <c r="E40" s="15">
        <v>15</v>
      </c>
      <c r="F40" s="15">
        <v>14000</v>
      </c>
      <c r="G40" s="15">
        <v>20</v>
      </c>
      <c r="H40" s="15">
        <v>440</v>
      </c>
      <c r="I40" s="15">
        <v>96</v>
      </c>
      <c r="J40" s="15"/>
      <c r="K40" s="215">
        <f t="shared" si="1"/>
        <v>4.0791812460476251</v>
      </c>
      <c r="L40" s="215">
        <f t="shared" si="2"/>
        <v>-0.6020599913279624</v>
      </c>
      <c r="M40" s="215">
        <f t="shared" si="3"/>
        <v>1.1760912590556813</v>
      </c>
      <c r="N40" s="215">
        <f t="shared" si="4"/>
        <v>4.1461280356782382</v>
      </c>
      <c r="O40" s="215">
        <f t="shared" si="5"/>
        <v>1.3010299956639813</v>
      </c>
      <c r="P40" s="215">
        <f t="shared" si="6"/>
        <v>2.6434526764861874</v>
      </c>
      <c r="Q40" s="215">
        <f t="shared" si="7"/>
        <v>1.9822712330395684</v>
      </c>
      <c r="S40" s="2"/>
      <c r="T40" s="2"/>
      <c r="U40" s="2"/>
      <c r="V40" s="2"/>
      <c r="W40" s="2"/>
      <c r="AB40" s="2"/>
      <c r="AC40" s="2"/>
      <c r="AD40" s="210">
        <v>42264.434027777781</v>
      </c>
      <c r="AE40" s="15">
        <v>11000</v>
      </c>
      <c r="AF40" s="15">
        <v>0.19</v>
      </c>
      <c r="AG40" s="15">
        <v>13</v>
      </c>
      <c r="AH40" s="15">
        <v>14000</v>
      </c>
      <c r="AI40" s="15">
        <v>16</v>
      </c>
      <c r="AJ40" s="15">
        <v>390</v>
      </c>
      <c r="AK40" s="15">
        <v>73</v>
      </c>
    </row>
    <row r="41" spans="1:39" ht="18.75" customHeight="1" x14ac:dyDescent="0.25">
      <c r="A41" s="18" t="s">
        <v>101</v>
      </c>
      <c r="B41" s="210">
        <v>42266.444444444445</v>
      </c>
      <c r="C41" s="15">
        <v>13000</v>
      </c>
      <c r="D41" s="15">
        <v>0.19</v>
      </c>
      <c r="E41" s="15">
        <v>13</v>
      </c>
      <c r="F41" s="15">
        <v>15000</v>
      </c>
      <c r="G41" s="15">
        <v>18</v>
      </c>
      <c r="H41" s="15">
        <v>330</v>
      </c>
      <c r="I41" s="15">
        <v>80</v>
      </c>
      <c r="J41" s="15"/>
      <c r="K41" s="215">
        <f t="shared" si="1"/>
        <v>4.1139433523068369</v>
      </c>
      <c r="L41" s="215">
        <f t="shared" si="2"/>
        <v>-0.72124639904717103</v>
      </c>
      <c r="M41" s="215">
        <f t="shared" si="3"/>
        <v>1.1139433523068367</v>
      </c>
      <c r="N41" s="215">
        <f t="shared" si="4"/>
        <v>4.1760912590556813</v>
      </c>
      <c r="O41" s="215">
        <f t="shared" si="5"/>
        <v>1.255272505103306</v>
      </c>
      <c r="P41" s="215">
        <f t="shared" si="6"/>
        <v>2.5185139398778875</v>
      </c>
      <c r="Q41" s="215">
        <f t="shared" si="7"/>
        <v>1.9030899869919435</v>
      </c>
      <c r="S41" s="2"/>
      <c r="T41" s="2"/>
      <c r="U41" s="2"/>
      <c r="V41" s="2"/>
      <c r="W41" s="2"/>
      <c r="AB41" s="2"/>
      <c r="AC41" s="2"/>
      <c r="AD41" s="210">
        <v>42265.572916666664</v>
      </c>
      <c r="AE41" s="15">
        <v>12000</v>
      </c>
      <c r="AF41" s="15">
        <v>0.25</v>
      </c>
      <c r="AG41" s="15">
        <v>15</v>
      </c>
      <c r="AH41" s="15">
        <v>14000</v>
      </c>
      <c r="AI41" s="15">
        <v>20</v>
      </c>
      <c r="AJ41" s="15">
        <v>440</v>
      </c>
      <c r="AK41" s="15">
        <v>96</v>
      </c>
    </row>
    <row r="42" spans="1:39" ht="18.75" customHeight="1" x14ac:dyDescent="0.25">
      <c r="A42" s="18" t="s">
        <v>101</v>
      </c>
      <c r="B42" s="210">
        <v>42267.434027777781</v>
      </c>
      <c r="C42" s="15">
        <v>17000</v>
      </c>
      <c r="D42" s="15">
        <v>0.33</v>
      </c>
      <c r="E42" s="15">
        <v>16</v>
      </c>
      <c r="F42" s="15">
        <v>19000</v>
      </c>
      <c r="G42" s="15">
        <v>19</v>
      </c>
      <c r="H42" s="15">
        <v>470</v>
      </c>
      <c r="I42" s="15">
        <v>86</v>
      </c>
      <c r="J42" s="15"/>
      <c r="K42" s="215">
        <f t="shared" si="1"/>
        <v>4.2304489213782741</v>
      </c>
      <c r="L42" s="215">
        <f t="shared" si="2"/>
        <v>-0.48148606012211248</v>
      </c>
      <c r="M42" s="215">
        <f t="shared" si="3"/>
        <v>1.2041199826559248</v>
      </c>
      <c r="N42" s="215">
        <f t="shared" si="4"/>
        <v>4.2787536009528289</v>
      </c>
      <c r="O42" s="215">
        <f t="shared" si="5"/>
        <v>1.2787536009528289</v>
      </c>
      <c r="P42" s="215">
        <f t="shared" si="6"/>
        <v>2.6720978579357175</v>
      </c>
      <c r="Q42" s="215">
        <f t="shared" si="7"/>
        <v>1.9344984512435677</v>
      </c>
      <c r="S42" s="2"/>
      <c r="T42" s="2"/>
      <c r="U42" s="2"/>
      <c r="V42" s="2"/>
      <c r="W42" s="2"/>
      <c r="X42" s="2"/>
      <c r="Y42" s="2"/>
      <c r="Z42" s="2"/>
      <c r="AA42" s="2"/>
      <c r="AD42" s="210">
        <v>42266.444444444445</v>
      </c>
      <c r="AE42" s="15">
        <v>13000</v>
      </c>
      <c r="AF42" s="15">
        <v>0.19</v>
      </c>
      <c r="AG42" s="15">
        <v>13</v>
      </c>
      <c r="AH42" s="15">
        <v>15000</v>
      </c>
      <c r="AI42" s="15">
        <v>18</v>
      </c>
      <c r="AJ42" s="15">
        <v>330</v>
      </c>
      <c r="AK42" s="15">
        <v>80</v>
      </c>
    </row>
    <row r="43" spans="1:39" ht="18.75" customHeight="1" x14ac:dyDescent="0.25">
      <c r="A43" s="18" t="s">
        <v>101</v>
      </c>
      <c r="B43" s="210">
        <v>42268.496527777781</v>
      </c>
      <c r="C43" s="15">
        <v>9900</v>
      </c>
      <c r="D43" s="15">
        <v>0.21</v>
      </c>
      <c r="E43" s="15">
        <v>13</v>
      </c>
      <c r="F43" s="15">
        <v>12000</v>
      </c>
      <c r="G43" s="15">
        <v>15</v>
      </c>
      <c r="H43" s="15">
        <v>350</v>
      </c>
      <c r="I43" s="15">
        <v>68</v>
      </c>
      <c r="J43" s="15"/>
      <c r="K43" s="215">
        <f t="shared" si="1"/>
        <v>3.9956351945975501</v>
      </c>
      <c r="L43" s="215">
        <f t="shared" si="2"/>
        <v>-0.6777807052660807</v>
      </c>
      <c r="M43" s="215">
        <f t="shared" si="3"/>
        <v>1.1139433523068367</v>
      </c>
      <c r="N43" s="215">
        <f t="shared" si="4"/>
        <v>4.0791812460476251</v>
      </c>
      <c r="O43" s="215">
        <f t="shared" si="5"/>
        <v>1.1760912590556813</v>
      </c>
      <c r="P43" s="215">
        <f t="shared" si="6"/>
        <v>2.5440680443502757</v>
      </c>
      <c r="Q43" s="215">
        <f t="shared" si="7"/>
        <v>1.8325089127062364</v>
      </c>
      <c r="S43" s="2"/>
      <c r="T43" s="2"/>
      <c r="U43" s="2"/>
      <c r="V43" s="2"/>
      <c r="W43" s="2"/>
      <c r="X43" s="2"/>
      <c r="Y43" s="2"/>
      <c r="AB43" s="2"/>
      <c r="AC43" s="2"/>
      <c r="AD43" s="210">
        <v>42267.434027777781</v>
      </c>
      <c r="AE43" s="15">
        <v>17000</v>
      </c>
      <c r="AF43" s="15">
        <v>0.33</v>
      </c>
      <c r="AG43" s="15">
        <v>16</v>
      </c>
      <c r="AH43" s="15">
        <v>19000</v>
      </c>
      <c r="AI43" s="15">
        <v>19</v>
      </c>
      <c r="AJ43" s="15">
        <v>470</v>
      </c>
      <c r="AK43" s="15">
        <v>86</v>
      </c>
    </row>
    <row r="44" spans="1:39" ht="18.75" customHeight="1" x14ac:dyDescent="0.25">
      <c r="A44" s="18" t="s">
        <v>101</v>
      </c>
      <c r="B44" s="210">
        <v>42269.375</v>
      </c>
      <c r="C44" s="15">
        <v>7800</v>
      </c>
      <c r="D44" s="15">
        <v>0.17</v>
      </c>
      <c r="E44" s="15">
        <v>10</v>
      </c>
      <c r="F44" s="15">
        <v>11000</v>
      </c>
      <c r="G44" s="15">
        <v>16</v>
      </c>
      <c r="H44" s="15">
        <v>330</v>
      </c>
      <c r="I44" s="15">
        <v>76</v>
      </c>
      <c r="J44" s="15"/>
      <c r="K44" s="215">
        <f t="shared" si="1"/>
        <v>3.8920946026904804</v>
      </c>
      <c r="L44" s="215">
        <f t="shared" si="2"/>
        <v>-0.769551078621726</v>
      </c>
      <c r="M44" s="215">
        <f t="shared" si="3"/>
        <v>1</v>
      </c>
      <c r="N44" s="215">
        <f t="shared" si="4"/>
        <v>4.0413926851582254</v>
      </c>
      <c r="O44" s="215">
        <f t="shared" si="5"/>
        <v>1.2041199826559248</v>
      </c>
      <c r="P44" s="215">
        <f t="shared" si="6"/>
        <v>2.5185139398778875</v>
      </c>
      <c r="Q44" s="215">
        <f t="shared" si="7"/>
        <v>1.8808135922807914</v>
      </c>
      <c r="Y44" s="2"/>
      <c r="Z44" s="2"/>
      <c r="AA44" s="2"/>
      <c r="AB44" s="2"/>
      <c r="AC44" s="2"/>
      <c r="AD44" s="210">
        <v>42268.496527777781</v>
      </c>
      <c r="AE44" s="15">
        <v>9900</v>
      </c>
      <c r="AF44" s="15">
        <v>0.21</v>
      </c>
      <c r="AG44" s="15">
        <v>13</v>
      </c>
      <c r="AH44" s="15">
        <v>12000</v>
      </c>
      <c r="AI44" s="15">
        <v>15</v>
      </c>
      <c r="AJ44" s="15">
        <v>350</v>
      </c>
      <c r="AK44" s="15">
        <v>68</v>
      </c>
      <c r="AL44" s="2"/>
      <c r="AM44" s="2"/>
    </row>
    <row r="45" spans="1:39" ht="18.75" customHeight="1" x14ac:dyDescent="0.25">
      <c r="A45" s="18" t="s">
        <v>101</v>
      </c>
      <c r="B45" s="210">
        <v>42271.420138888891</v>
      </c>
      <c r="C45" s="15">
        <v>10000</v>
      </c>
      <c r="D45" s="15">
        <v>0.17</v>
      </c>
      <c r="E45" s="15">
        <v>14</v>
      </c>
      <c r="F45" s="15">
        <v>13000</v>
      </c>
      <c r="G45" s="15">
        <v>17</v>
      </c>
      <c r="H45" s="15">
        <v>350</v>
      </c>
      <c r="I45" s="15">
        <v>73</v>
      </c>
      <c r="J45" s="15"/>
      <c r="K45" s="215">
        <f t="shared" si="1"/>
        <v>4</v>
      </c>
      <c r="L45" s="215">
        <f t="shared" si="2"/>
        <v>-0.769551078621726</v>
      </c>
      <c r="M45" s="215">
        <f t="shared" si="3"/>
        <v>1.146128035678238</v>
      </c>
      <c r="N45" s="215">
        <f t="shared" si="4"/>
        <v>4.1139433523068369</v>
      </c>
      <c r="O45" s="215">
        <f t="shared" si="5"/>
        <v>1.2304489213782739</v>
      </c>
      <c r="P45" s="215">
        <f t="shared" si="6"/>
        <v>2.5440680443502757</v>
      </c>
      <c r="Q45" s="215">
        <f t="shared" si="7"/>
        <v>1.8633228601204559</v>
      </c>
      <c r="Y45" s="2"/>
      <c r="Z45" s="2"/>
      <c r="AA45" s="2"/>
      <c r="AB45" s="2"/>
      <c r="AC45" s="2"/>
      <c r="AD45" s="210">
        <v>42269.375</v>
      </c>
      <c r="AE45" s="15">
        <v>7800</v>
      </c>
      <c r="AF45" s="15">
        <v>0.17</v>
      </c>
      <c r="AG45" s="15">
        <v>10</v>
      </c>
      <c r="AH45" s="15">
        <v>11000</v>
      </c>
      <c r="AI45" s="15">
        <v>16</v>
      </c>
      <c r="AJ45" s="15">
        <v>330</v>
      </c>
      <c r="AK45" s="15">
        <v>76</v>
      </c>
      <c r="AL45" s="2"/>
      <c r="AM45" s="2"/>
    </row>
    <row r="46" spans="1:39" ht="18.75" customHeight="1" x14ac:dyDescent="0.25">
      <c r="A46" s="18" t="s">
        <v>101</v>
      </c>
      <c r="B46" s="210">
        <v>42275.409722222219</v>
      </c>
      <c r="C46" s="15">
        <v>11000</v>
      </c>
      <c r="D46" s="15">
        <v>0.19</v>
      </c>
      <c r="E46" s="15">
        <v>14</v>
      </c>
      <c r="F46" s="15">
        <v>13000</v>
      </c>
      <c r="G46" s="15">
        <v>15</v>
      </c>
      <c r="H46" s="15">
        <v>420</v>
      </c>
      <c r="I46" s="15">
        <v>66</v>
      </c>
      <c r="J46" s="15"/>
      <c r="K46" s="215">
        <f t="shared" si="1"/>
        <v>4.0413926851582254</v>
      </c>
      <c r="L46" s="215">
        <f t="shared" si="2"/>
        <v>-0.72124639904717103</v>
      </c>
      <c r="M46" s="215">
        <f t="shared" si="3"/>
        <v>1.146128035678238</v>
      </c>
      <c r="N46" s="215">
        <f t="shared" si="4"/>
        <v>4.1139433523068369</v>
      </c>
      <c r="O46" s="215">
        <f t="shared" si="5"/>
        <v>1.1760912590556813</v>
      </c>
      <c r="P46" s="215">
        <f t="shared" si="6"/>
        <v>2.6232492903979003</v>
      </c>
      <c r="Q46" s="215">
        <f t="shared" si="7"/>
        <v>1.8195439355418688</v>
      </c>
      <c r="Y46" s="2"/>
      <c r="Z46" s="2"/>
      <c r="AA46" s="2"/>
      <c r="AB46" s="5"/>
      <c r="AC46" s="5"/>
      <c r="AD46" s="210">
        <v>42271.420138888891</v>
      </c>
      <c r="AE46" s="15">
        <v>10000</v>
      </c>
      <c r="AF46" s="15">
        <v>0.17</v>
      </c>
      <c r="AG46" s="15">
        <v>14</v>
      </c>
      <c r="AH46" s="15">
        <v>13000</v>
      </c>
      <c r="AI46" s="15">
        <v>17</v>
      </c>
      <c r="AJ46" s="15">
        <v>350</v>
      </c>
      <c r="AK46" s="15">
        <v>73</v>
      </c>
      <c r="AL46" s="2"/>
      <c r="AM46" s="2"/>
    </row>
    <row r="47" spans="1:39" ht="18.75" customHeight="1" x14ac:dyDescent="0.25">
      <c r="A47" s="18" t="s">
        <v>101</v>
      </c>
      <c r="B47" s="210">
        <v>42277.402777777781</v>
      </c>
      <c r="C47" s="15">
        <v>14000</v>
      </c>
      <c r="D47" s="15">
        <v>0.23</v>
      </c>
      <c r="E47" s="15">
        <v>18</v>
      </c>
      <c r="F47" s="15">
        <v>16000</v>
      </c>
      <c r="G47" s="15">
        <v>18</v>
      </c>
      <c r="H47" s="15">
        <v>510</v>
      </c>
      <c r="I47" s="15">
        <v>80</v>
      </c>
      <c r="J47" s="15"/>
      <c r="K47" s="215">
        <f t="shared" si="1"/>
        <v>4.1461280356782382</v>
      </c>
      <c r="L47" s="215">
        <f t="shared" si="2"/>
        <v>-0.63827216398240705</v>
      </c>
      <c r="M47" s="215">
        <f t="shared" si="3"/>
        <v>1.255272505103306</v>
      </c>
      <c r="N47" s="215">
        <f t="shared" si="4"/>
        <v>4.204119982655925</v>
      </c>
      <c r="O47" s="215">
        <f t="shared" si="5"/>
        <v>1.255272505103306</v>
      </c>
      <c r="P47" s="215">
        <f t="shared" si="6"/>
        <v>2.7075701760979363</v>
      </c>
      <c r="Q47" s="215">
        <f t="shared" si="7"/>
        <v>1.9030899869919435</v>
      </c>
      <c r="Y47" s="5"/>
      <c r="Z47" s="5"/>
      <c r="AA47" s="5"/>
      <c r="AB47" s="2"/>
      <c r="AC47" s="2"/>
      <c r="AD47" s="210">
        <v>42275.409722222219</v>
      </c>
      <c r="AE47" s="15">
        <v>11000</v>
      </c>
      <c r="AF47" s="15">
        <v>0.19</v>
      </c>
      <c r="AG47" s="15">
        <v>14</v>
      </c>
      <c r="AH47" s="15">
        <v>13000</v>
      </c>
      <c r="AI47" s="15">
        <v>15</v>
      </c>
      <c r="AJ47" s="15">
        <v>420</v>
      </c>
      <c r="AK47" s="15">
        <v>66</v>
      </c>
      <c r="AL47" s="2"/>
      <c r="AM47" s="2"/>
    </row>
    <row r="48" spans="1:39" ht="18.75" customHeight="1" x14ac:dyDescent="0.25">
      <c r="A48" s="18" t="s">
        <v>101</v>
      </c>
      <c r="B48" s="210">
        <v>42285.447916666664</v>
      </c>
      <c r="C48" s="15">
        <v>13000</v>
      </c>
      <c r="D48" s="15">
        <v>0.13</v>
      </c>
      <c r="E48" s="15">
        <v>16</v>
      </c>
      <c r="F48" s="15">
        <v>16000</v>
      </c>
      <c r="G48" s="15">
        <v>15</v>
      </c>
      <c r="H48" s="15">
        <v>440</v>
      </c>
      <c r="I48" s="15">
        <v>70</v>
      </c>
      <c r="J48" s="15"/>
      <c r="K48" s="215">
        <f t="shared" si="1"/>
        <v>4.1139433523068369</v>
      </c>
      <c r="L48" s="215">
        <f t="shared" si="2"/>
        <v>-0.88605664769316317</v>
      </c>
      <c r="M48" s="215">
        <f t="shared" si="3"/>
        <v>1.2041199826559248</v>
      </c>
      <c r="N48" s="215">
        <f t="shared" si="4"/>
        <v>4.204119982655925</v>
      </c>
      <c r="O48" s="215">
        <f t="shared" si="5"/>
        <v>1.1760912590556813</v>
      </c>
      <c r="P48" s="215">
        <f t="shared" si="6"/>
        <v>2.6434526764861874</v>
      </c>
      <c r="Q48" s="215">
        <f t="shared" si="7"/>
        <v>1.8450980400142569</v>
      </c>
      <c r="Y48" s="2"/>
      <c r="Z48" s="2"/>
      <c r="AA48" s="2"/>
      <c r="AB48" s="2"/>
      <c r="AC48" s="2"/>
      <c r="AD48" s="210">
        <v>42277.402777777781</v>
      </c>
      <c r="AE48" s="15">
        <v>14000</v>
      </c>
      <c r="AF48" s="15">
        <v>0.23</v>
      </c>
      <c r="AG48" s="15">
        <v>18</v>
      </c>
      <c r="AH48" s="15">
        <v>16000</v>
      </c>
      <c r="AI48" s="15">
        <v>18</v>
      </c>
      <c r="AJ48" s="15">
        <v>510</v>
      </c>
      <c r="AK48" s="15">
        <v>80</v>
      </c>
      <c r="AL48" s="2"/>
      <c r="AM48" s="2"/>
    </row>
    <row r="49" spans="1:39" ht="18.75" customHeight="1" x14ac:dyDescent="0.25">
      <c r="A49" s="18" t="s">
        <v>101</v>
      </c>
      <c r="B49" s="210">
        <v>42291.46875</v>
      </c>
      <c r="C49" s="15">
        <v>13000</v>
      </c>
      <c r="D49" s="15">
        <v>0.18</v>
      </c>
      <c r="E49" s="15">
        <v>14</v>
      </c>
      <c r="F49" s="15">
        <v>17000</v>
      </c>
      <c r="G49" s="15">
        <v>14</v>
      </c>
      <c r="H49" s="15">
        <v>420</v>
      </c>
      <c r="I49" s="15">
        <v>68</v>
      </c>
      <c r="J49" s="15"/>
      <c r="K49" s="215">
        <f t="shared" si="1"/>
        <v>4.1139433523068369</v>
      </c>
      <c r="L49" s="215">
        <f t="shared" si="2"/>
        <v>-0.74472749489669399</v>
      </c>
      <c r="M49" s="215">
        <f t="shared" si="3"/>
        <v>1.146128035678238</v>
      </c>
      <c r="N49" s="215">
        <f t="shared" si="4"/>
        <v>4.2304489213782741</v>
      </c>
      <c r="O49" s="215">
        <f t="shared" si="5"/>
        <v>1.146128035678238</v>
      </c>
      <c r="P49" s="215">
        <f t="shared" si="6"/>
        <v>2.6232492903979003</v>
      </c>
      <c r="Q49" s="215">
        <f t="shared" si="7"/>
        <v>1.8325089127062364</v>
      </c>
      <c r="Y49" s="2"/>
      <c r="Z49" s="2"/>
      <c r="AA49" s="2"/>
      <c r="AB49" s="2"/>
      <c r="AC49" s="2"/>
      <c r="AD49" s="210">
        <v>42285.447916666664</v>
      </c>
      <c r="AE49" s="15">
        <v>13000</v>
      </c>
      <c r="AF49" s="15">
        <v>0.13</v>
      </c>
      <c r="AG49" s="15">
        <v>16</v>
      </c>
      <c r="AH49" s="15">
        <v>16000</v>
      </c>
      <c r="AI49" s="15">
        <v>15</v>
      </c>
      <c r="AJ49" s="15">
        <v>440</v>
      </c>
      <c r="AK49" s="15">
        <v>70</v>
      </c>
      <c r="AL49" s="2"/>
      <c r="AM49" s="2"/>
    </row>
    <row r="50" spans="1:39" ht="18.75" customHeight="1" x14ac:dyDescent="0.25">
      <c r="A50" s="18" t="s">
        <v>101</v>
      </c>
      <c r="B50" s="210">
        <v>42326.333333333336</v>
      </c>
      <c r="C50" s="15">
        <v>6500</v>
      </c>
      <c r="D50" s="15">
        <v>0.12</v>
      </c>
      <c r="E50" s="15">
        <v>8.6</v>
      </c>
      <c r="F50" s="15">
        <v>10000</v>
      </c>
      <c r="G50" s="15">
        <v>11</v>
      </c>
      <c r="H50" s="15">
        <v>320</v>
      </c>
      <c r="I50" s="15">
        <v>56</v>
      </c>
      <c r="J50" s="15"/>
      <c r="K50" s="215">
        <f t="shared" si="1"/>
        <v>3.8129133566428557</v>
      </c>
      <c r="L50" s="215">
        <f t="shared" si="2"/>
        <v>-0.92081875395237522</v>
      </c>
      <c r="M50" s="215">
        <f t="shared" si="3"/>
        <v>0.93449845124356767</v>
      </c>
      <c r="N50" s="215">
        <f t="shared" si="4"/>
        <v>4</v>
      </c>
      <c r="O50" s="215">
        <f t="shared" si="5"/>
        <v>1.0413926851582251</v>
      </c>
      <c r="P50" s="215">
        <f t="shared" si="6"/>
        <v>2.5051499783199058</v>
      </c>
      <c r="Q50" s="215">
        <f t="shared" si="7"/>
        <v>1.7481880270062005</v>
      </c>
      <c r="Y50" s="2"/>
      <c r="Z50" s="2"/>
      <c r="AA50" s="2"/>
      <c r="AB50" s="2"/>
      <c r="AC50" s="2"/>
      <c r="AD50" s="210">
        <v>42291.46875</v>
      </c>
      <c r="AE50" s="15">
        <v>13000</v>
      </c>
      <c r="AF50" s="15">
        <v>0.18</v>
      </c>
      <c r="AG50" s="15">
        <v>14</v>
      </c>
      <c r="AH50" s="15">
        <v>17000</v>
      </c>
      <c r="AI50" s="15">
        <v>14</v>
      </c>
      <c r="AJ50" s="15">
        <v>420</v>
      </c>
      <c r="AK50" s="15">
        <v>68</v>
      </c>
      <c r="AL50" s="2"/>
      <c r="AM50" s="2"/>
    </row>
    <row r="51" spans="1:39" ht="18.75" customHeight="1" thickBot="1" x14ac:dyDescent="0.3">
      <c r="B51" s="210"/>
      <c r="C51" s="15"/>
      <c r="D51" s="15"/>
      <c r="E51" s="15"/>
      <c r="F51" s="15"/>
      <c r="G51" s="15"/>
      <c r="H51" s="15"/>
      <c r="I51" s="15"/>
      <c r="J51" s="15"/>
      <c r="K51" s="215"/>
      <c r="L51" s="215"/>
      <c r="M51" s="215"/>
      <c r="N51" s="215"/>
      <c r="O51" s="215"/>
      <c r="P51" s="215"/>
      <c r="Q51" s="215"/>
      <c r="Y51" s="2"/>
      <c r="Z51" s="2"/>
      <c r="AA51" s="2"/>
      <c r="AB51" s="2"/>
      <c r="AC51" s="2"/>
      <c r="AD51" s="210">
        <v>42326.333333333336</v>
      </c>
      <c r="AE51" s="15">
        <v>6500</v>
      </c>
      <c r="AF51" s="15">
        <v>0.12</v>
      </c>
      <c r="AG51" s="15">
        <v>8.6</v>
      </c>
      <c r="AH51" s="15">
        <v>10000</v>
      </c>
      <c r="AI51" s="15">
        <v>11</v>
      </c>
      <c r="AJ51" s="15">
        <v>320</v>
      </c>
      <c r="AK51" s="15">
        <v>56</v>
      </c>
      <c r="AL51" s="2"/>
      <c r="AM51" s="2"/>
    </row>
    <row r="52" spans="1:39" ht="18.75" customHeight="1" x14ac:dyDescent="0.25">
      <c r="A52" s="426" t="s">
        <v>155</v>
      </c>
      <c r="B52" s="429" t="s">
        <v>187</v>
      </c>
      <c r="C52" s="429"/>
      <c r="D52" s="429"/>
      <c r="E52" s="429"/>
      <c r="F52" s="429"/>
      <c r="G52" s="429"/>
      <c r="H52" s="429"/>
      <c r="I52" s="429"/>
      <c r="J52" s="429" t="s">
        <v>188</v>
      </c>
      <c r="K52" s="429"/>
      <c r="L52" s="429"/>
      <c r="M52" s="429"/>
      <c r="N52" s="429"/>
      <c r="O52" s="429"/>
      <c r="P52" s="429"/>
      <c r="Q52" s="430"/>
      <c r="Y52" s="2"/>
      <c r="Z52" s="2"/>
      <c r="AA52" s="2"/>
      <c r="AB52" s="2"/>
      <c r="AC52" s="2"/>
      <c r="AD52" s="210">
        <v>42530.392361111109</v>
      </c>
      <c r="AE52" s="15">
        <v>9500</v>
      </c>
      <c r="AF52" s="15">
        <v>0.88</v>
      </c>
      <c r="AG52" s="15">
        <v>35</v>
      </c>
      <c r="AH52" s="15">
        <v>17000</v>
      </c>
      <c r="AI52" s="15">
        <v>94</v>
      </c>
      <c r="AJ52" s="15">
        <v>840</v>
      </c>
      <c r="AK52" s="15">
        <v>350</v>
      </c>
      <c r="AL52" s="2"/>
      <c r="AM52" s="2"/>
    </row>
    <row r="53" spans="1:39" ht="18.75" customHeight="1" x14ac:dyDescent="0.25">
      <c r="A53" s="427"/>
      <c r="B53" s="274" t="s">
        <v>211</v>
      </c>
      <c r="C53" s="2" t="s">
        <v>7</v>
      </c>
      <c r="D53" s="2" t="s">
        <v>1</v>
      </c>
      <c r="E53" s="2" t="s">
        <v>2</v>
      </c>
      <c r="F53" s="2" t="s">
        <v>3</v>
      </c>
      <c r="G53" s="2" t="s">
        <v>4</v>
      </c>
      <c r="H53" s="2" t="s">
        <v>5</v>
      </c>
      <c r="I53" s="2" t="s">
        <v>6</v>
      </c>
      <c r="J53" s="221" t="s">
        <v>211</v>
      </c>
      <c r="K53" s="2" t="s">
        <v>7</v>
      </c>
      <c r="L53" s="2" t="s">
        <v>1</v>
      </c>
      <c r="M53" s="2" t="s">
        <v>2</v>
      </c>
      <c r="N53" s="2" t="s">
        <v>3</v>
      </c>
      <c r="O53" s="2" t="s">
        <v>4</v>
      </c>
      <c r="P53" s="2" t="s">
        <v>5</v>
      </c>
      <c r="Q53" s="243" t="s">
        <v>6</v>
      </c>
      <c r="Y53" s="2"/>
      <c r="Z53" s="2"/>
      <c r="AA53" s="2"/>
      <c r="AB53" s="2"/>
      <c r="AC53" s="2"/>
      <c r="AD53" s="210"/>
      <c r="AE53" s="15"/>
      <c r="AF53" s="15"/>
      <c r="AG53" s="15"/>
      <c r="AH53" s="15"/>
      <c r="AI53" s="15"/>
      <c r="AJ53" s="15"/>
      <c r="AK53" s="15"/>
      <c r="AL53" s="2"/>
      <c r="AM53" s="2"/>
    </row>
    <row r="54" spans="1:39" ht="18.75" customHeight="1" x14ac:dyDescent="0.25">
      <c r="A54" s="427"/>
      <c r="B54" s="274" t="s">
        <v>174</v>
      </c>
      <c r="C54" s="276">
        <f t="shared" ref="C54:I54" si="8">GEOMEAN(C6:C50)</f>
        <v>9791.0681657464029</v>
      </c>
      <c r="D54" s="276">
        <f t="shared" si="8"/>
        <v>0.23833369586525799</v>
      </c>
      <c r="E54" s="276">
        <f t="shared" si="8"/>
        <v>15.236617858796288</v>
      </c>
      <c r="F54" s="276">
        <f t="shared" si="8"/>
        <v>13316.080603934182</v>
      </c>
      <c r="G54" s="276">
        <f t="shared" si="8"/>
        <v>20.737137493287136</v>
      </c>
      <c r="H54" s="276">
        <f t="shared" si="8"/>
        <v>416.09556409201406</v>
      </c>
      <c r="I54" s="276">
        <f t="shared" si="8"/>
        <v>92.521027385748283</v>
      </c>
      <c r="J54" s="221" t="s">
        <v>117</v>
      </c>
      <c r="K54" s="216">
        <f t="shared" ref="K54:Q54" si="9">AVERAGE(K6:K50)</f>
        <v>3.9908300741508187</v>
      </c>
      <c r="L54" s="216">
        <f t="shared" si="9"/>
        <v>-0.62281455230811467</v>
      </c>
      <c r="M54" s="216">
        <f t="shared" si="9"/>
        <v>1.1828885753846281</v>
      </c>
      <c r="N54" s="216">
        <f t="shared" si="9"/>
        <v>4.124376415332474</v>
      </c>
      <c r="O54" s="216">
        <f t="shared" si="9"/>
        <v>1.3167488071799225</v>
      </c>
      <c r="P54" s="216">
        <f t="shared" si="9"/>
        <v>2.6191930858947745</v>
      </c>
      <c r="Q54" s="275">
        <f t="shared" si="9"/>
        <v>1.9662404466827139</v>
      </c>
      <c r="Y54" s="2"/>
      <c r="Z54" s="2"/>
      <c r="AA54" s="2"/>
      <c r="AB54" s="2"/>
      <c r="AC54" s="2"/>
      <c r="AD54" s="210"/>
      <c r="AE54" s="15"/>
      <c r="AF54" s="15"/>
      <c r="AG54" s="15"/>
      <c r="AH54" s="15"/>
      <c r="AI54" s="15"/>
      <c r="AJ54" s="15"/>
      <c r="AK54" s="15"/>
      <c r="AL54" s="2"/>
      <c r="AM54" s="2"/>
    </row>
    <row r="55" spans="1:39" ht="18.75" customHeight="1" x14ac:dyDescent="0.25">
      <c r="A55" s="427"/>
      <c r="B55" s="274" t="s">
        <v>172</v>
      </c>
      <c r="C55" s="216">
        <f t="shared" ref="C55:I55" si="10">STDEV(C6:C50)</f>
        <v>3211.8970762281338</v>
      </c>
      <c r="D55" s="216">
        <f t="shared" si="10"/>
        <v>0.12107765268536545</v>
      </c>
      <c r="E55" s="216">
        <f t="shared" si="10"/>
        <v>3.8616058835670857</v>
      </c>
      <c r="F55" s="216">
        <f t="shared" si="10"/>
        <v>2554.8527799606627</v>
      </c>
      <c r="G55" s="216">
        <f t="shared" si="10"/>
        <v>8.9909044948972525</v>
      </c>
      <c r="H55" s="216">
        <f t="shared" si="10"/>
        <v>78.285285070604829</v>
      </c>
      <c r="I55" s="216">
        <f t="shared" si="10"/>
        <v>40.336605642479036</v>
      </c>
      <c r="J55" s="221" t="s">
        <v>10</v>
      </c>
      <c r="K55" s="216">
        <f t="shared" ref="K55:Q55" si="11">STDEV(K6:K50)</f>
        <v>0.12397768897139969</v>
      </c>
      <c r="L55" s="216">
        <f t="shared" si="11"/>
        <v>0.18950003816834382</v>
      </c>
      <c r="M55" s="216">
        <f t="shared" si="11"/>
        <v>0.10945074553311381</v>
      </c>
      <c r="N55" s="216">
        <f t="shared" si="11"/>
        <v>7.8032714167269729E-2</v>
      </c>
      <c r="O55" s="216">
        <f t="shared" si="11"/>
        <v>0.16112279624698322</v>
      </c>
      <c r="P55" s="216">
        <f t="shared" si="11"/>
        <v>8.6655745026584977E-2</v>
      </c>
      <c r="Q55" s="275">
        <f t="shared" si="11"/>
        <v>0.16196818897227697</v>
      </c>
      <c r="Y55" s="2"/>
      <c r="Z55" s="2"/>
      <c r="AA55" s="2"/>
      <c r="AB55" s="2"/>
      <c r="AC55" s="2"/>
      <c r="AD55" s="210"/>
      <c r="AE55" s="15"/>
      <c r="AF55" s="15"/>
      <c r="AG55" s="15"/>
      <c r="AH55" s="15"/>
      <c r="AI55" s="15"/>
      <c r="AJ55" s="15"/>
      <c r="AK55" s="15"/>
      <c r="AL55" s="2"/>
      <c r="AM55" s="2"/>
    </row>
    <row r="56" spans="1:39" ht="27.75" customHeight="1" x14ac:dyDescent="0.25">
      <c r="A56" s="427"/>
      <c r="B56" s="274" t="s">
        <v>147</v>
      </c>
      <c r="C56" s="216">
        <f>C55/SQRT(C57)</f>
        <v>478.80134661192869</v>
      </c>
      <c r="D56" s="216">
        <f t="shared" ref="D56:Q56" si="12">D55/SQRT(D57)</f>
        <v>1.8049190797372473E-2</v>
      </c>
      <c r="E56" s="216">
        <f t="shared" si="12"/>
        <v>0.57565421719794274</v>
      </c>
      <c r="F56" s="216">
        <f t="shared" si="12"/>
        <v>380.85496589975691</v>
      </c>
      <c r="G56" s="216">
        <f t="shared" si="12"/>
        <v>1.3402849086532445</v>
      </c>
      <c r="H56" s="216">
        <f t="shared" si="12"/>
        <v>11.67008127038812</v>
      </c>
      <c r="I56" s="216">
        <f t="shared" si="12"/>
        <v>6.0809721014834306</v>
      </c>
      <c r="J56" s="221" t="s">
        <v>116</v>
      </c>
      <c r="K56" s="216">
        <f t="shared" si="12"/>
        <v>1.8481502682225044E-2</v>
      </c>
      <c r="L56" s="216">
        <f t="shared" si="12"/>
        <v>2.8248997805548098E-2</v>
      </c>
      <c r="M56" s="216">
        <f t="shared" si="12"/>
        <v>1.6315953813338262E-2</v>
      </c>
      <c r="N56" s="216">
        <f t="shared" si="12"/>
        <v>1.1632430223121734E-2</v>
      </c>
      <c r="O56" s="216">
        <f t="shared" si="12"/>
        <v>2.4018768342206832E-2</v>
      </c>
      <c r="P56" s="216">
        <f t="shared" si="12"/>
        <v>1.2917875768022221E-2</v>
      </c>
      <c r="Q56" s="275">
        <f t="shared" si="12"/>
        <v>2.4417623217928269E-2</v>
      </c>
      <c r="Y56" s="2"/>
      <c r="Z56" s="2"/>
      <c r="AA56" s="2"/>
      <c r="AB56" s="2"/>
      <c r="AC56" s="2"/>
      <c r="AD56" s="15"/>
      <c r="AE56" s="15"/>
      <c r="AF56" s="15"/>
      <c r="AG56" s="15"/>
      <c r="AH56" s="15"/>
      <c r="AI56" s="15"/>
      <c r="AJ56" s="15"/>
      <c r="AK56" s="15"/>
      <c r="AL56" s="2"/>
      <c r="AM56" s="2"/>
    </row>
    <row r="57" spans="1:39" ht="18.75" customHeight="1" thickBot="1" x14ac:dyDescent="0.3">
      <c r="A57" s="428"/>
      <c r="B57" s="235" t="s">
        <v>173</v>
      </c>
      <c r="C57" s="254">
        <v>45</v>
      </c>
      <c r="D57" s="254">
        <v>45</v>
      </c>
      <c r="E57" s="254">
        <v>45</v>
      </c>
      <c r="F57" s="254">
        <v>45</v>
      </c>
      <c r="G57" s="254">
        <v>45</v>
      </c>
      <c r="H57" s="254">
        <v>45</v>
      </c>
      <c r="I57" s="254">
        <v>44</v>
      </c>
      <c r="J57" s="254" t="s">
        <v>173</v>
      </c>
      <c r="K57" s="254">
        <v>45</v>
      </c>
      <c r="L57" s="254">
        <v>45</v>
      </c>
      <c r="M57" s="254">
        <v>45</v>
      </c>
      <c r="N57" s="254">
        <v>45</v>
      </c>
      <c r="O57" s="254">
        <v>45</v>
      </c>
      <c r="P57" s="254">
        <v>45</v>
      </c>
      <c r="Q57" s="255">
        <v>44</v>
      </c>
      <c r="Y57" s="2"/>
      <c r="Z57" s="2"/>
      <c r="AA57" s="2"/>
      <c r="AB57" s="5"/>
      <c r="AC57" s="5"/>
      <c r="AL57" s="6"/>
      <c r="AM57" s="2"/>
    </row>
    <row r="58" spans="1:39" ht="15" customHeight="1" x14ac:dyDescent="0.25">
      <c r="A58" s="290"/>
      <c r="B58" s="226"/>
      <c r="C58" s="290"/>
      <c r="D58" s="290"/>
      <c r="E58" s="290"/>
      <c r="F58" s="290"/>
      <c r="G58" s="290"/>
      <c r="H58" s="290"/>
      <c r="I58" s="290"/>
      <c r="J58" s="290"/>
      <c r="K58" s="302"/>
      <c r="L58" s="302"/>
      <c r="M58" s="302"/>
      <c r="N58" s="302"/>
      <c r="O58" s="302"/>
      <c r="P58" s="302"/>
      <c r="Q58" s="302"/>
      <c r="R58" s="290"/>
      <c r="Y58" s="5"/>
      <c r="Z58" s="5"/>
      <c r="AA58" s="5"/>
      <c r="AB58" s="2"/>
      <c r="AC58" s="2"/>
      <c r="AD58" s="2"/>
      <c r="AE58" s="2"/>
      <c r="AK58" s="2"/>
      <c r="AL58" s="2"/>
      <c r="AM58" s="2"/>
    </row>
    <row r="59" spans="1:39" ht="18.75" customHeight="1" x14ac:dyDescent="0.25">
      <c r="B59" s="210"/>
      <c r="C59" s="15"/>
      <c r="D59" s="15"/>
      <c r="E59" s="15"/>
      <c r="F59" s="15"/>
      <c r="G59" s="15"/>
      <c r="H59" s="15"/>
      <c r="I59" s="15"/>
      <c r="J59" s="15"/>
      <c r="K59" s="215"/>
      <c r="L59" s="215"/>
      <c r="M59" s="215"/>
      <c r="N59" s="215"/>
      <c r="O59" s="215"/>
      <c r="P59" s="215"/>
      <c r="Q59" s="215"/>
      <c r="Y59" s="2"/>
      <c r="Z59" s="2"/>
      <c r="AA59" s="2"/>
      <c r="AB59" s="2"/>
      <c r="AC59" s="2"/>
      <c r="AD59" s="2"/>
      <c r="AE59" s="2"/>
      <c r="AK59" s="2"/>
      <c r="AL59" s="2"/>
      <c r="AM59" s="2"/>
    </row>
    <row r="60" spans="1:39" ht="18.75" customHeight="1" x14ac:dyDescent="0.25">
      <c r="A60" s="432" t="s">
        <v>184</v>
      </c>
      <c r="B60" s="432"/>
      <c r="C60" s="432"/>
      <c r="D60" s="432"/>
      <c r="E60" s="432"/>
      <c r="F60" s="432"/>
      <c r="G60" s="432"/>
      <c r="H60" s="432"/>
      <c r="I60" s="432"/>
      <c r="J60" s="432"/>
      <c r="K60" s="432"/>
      <c r="L60" s="432"/>
      <c r="M60" s="432"/>
      <c r="N60" s="432"/>
      <c r="O60" s="432"/>
      <c r="P60" s="432"/>
      <c r="Q60" s="432"/>
      <c r="R60" s="15"/>
      <c r="Y60" s="2"/>
      <c r="Z60" s="2"/>
      <c r="AA60" s="2"/>
      <c r="AB60" s="2"/>
      <c r="AC60" s="2"/>
      <c r="AD60" s="2"/>
      <c r="AE60" s="2"/>
      <c r="AK60" s="2"/>
      <c r="AL60" s="2"/>
      <c r="AM60" s="2"/>
    </row>
    <row r="61" spans="1:39" ht="18.75" customHeight="1" x14ac:dyDescent="0.25">
      <c r="A61" s="304" t="s">
        <v>216</v>
      </c>
      <c r="C61" s="421" t="s">
        <v>178</v>
      </c>
      <c r="D61" s="421"/>
      <c r="E61" s="421"/>
      <c r="F61" s="421"/>
      <c r="G61" s="421"/>
      <c r="H61" s="421"/>
      <c r="I61" s="421"/>
      <c r="K61" s="421" t="s">
        <v>179</v>
      </c>
      <c r="L61" s="421"/>
      <c r="M61" s="421"/>
      <c r="N61" s="421"/>
      <c r="O61" s="421"/>
      <c r="P61" s="421"/>
      <c r="Q61" s="421"/>
      <c r="R61" s="292"/>
      <c r="Y61" s="2"/>
      <c r="Z61" s="2"/>
      <c r="AA61" s="2"/>
      <c r="AB61" s="2"/>
      <c r="AC61" s="2"/>
      <c r="AD61" s="2"/>
      <c r="AE61" s="2"/>
      <c r="AF61" s="2"/>
      <c r="AG61" s="2"/>
      <c r="AH61" s="2"/>
      <c r="AI61" s="2"/>
      <c r="AJ61" s="2"/>
      <c r="AK61" s="2"/>
      <c r="AL61" s="2"/>
      <c r="AM61" s="2"/>
    </row>
    <row r="62" spans="1:39" ht="26.25" customHeight="1" x14ac:dyDescent="0.25">
      <c r="C62" s="1" t="s">
        <v>7</v>
      </c>
      <c r="D62" s="1" t="s">
        <v>1</v>
      </c>
      <c r="E62" s="1" t="s">
        <v>2</v>
      </c>
      <c r="F62" s="1" t="s">
        <v>3</v>
      </c>
      <c r="G62" s="1" t="s">
        <v>4</v>
      </c>
      <c r="H62" s="1" t="s">
        <v>5</v>
      </c>
      <c r="I62" s="1" t="s">
        <v>6</v>
      </c>
      <c r="K62" s="1" t="s">
        <v>7</v>
      </c>
      <c r="L62" s="1" t="s">
        <v>1</v>
      </c>
      <c r="M62" s="1" t="s">
        <v>2</v>
      </c>
      <c r="N62" s="1" t="s">
        <v>3</v>
      </c>
      <c r="O62" s="1" t="s">
        <v>4</v>
      </c>
      <c r="P62" s="1" t="s">
        <v>5</v>
      </c>
      <c r="Q62" s="1" t="s">
        <v>6</v>
      </c>
      <c r="R62" s="15"/>
      <c r="Y62" s="2"/>
      <c r="Z62" s="2"/>
      <c r="AA62" s="2"/>
      <c r="AB62" s="2"/>
      <c r="AC62" s="2"/>
      <c r="AD62" s="2"/>
      <c r="AE62" s="2"/>
      <c r="AF62" s="2"/>
      <c r="AG62" s="2"/>
      <c r="AH62" s="2"/>
      <c r="AI62" s="2"/>
      <c r="AJ62" s="2"/>
      <c r="AK62" s="6"/>
      <c r="AL62" s="6"/>
      <c r="AM62" s="2"/>
    </row>
    <row r="63" spans="1:39" ht="18.75" customHeight="1" x14ac:dyDescent="0.25">
      <c r="A63" s="300" t="s">
        <v>22</v>
      </c>
      <c r="B63" s="210">
        <v>42530.392361111109</v>
      </c>
      <c r="C63" s="15">
        <v>9500</v>
      </c>
      <c r="D63" s="15">
        <v>0.88</v>
      </c>
      <c r="E63" s="15">
        <v>35</v>
      </c>
      <c r="F63" s="15">
        <v>17000</v>
      </c>
      <c r="G63" s="15">
        <v>94</v>
      </c>
      <c r="H63" s="15">
        <v>840</v>
      </c>
      <c r="I63" s="15">
        <v>350</v>
      </c>
      <c r="J63" s="15"/>
      <c r="K63" s="215">
        <f t="shared" si="1"/>
        <v>3.9777236052888476</v>
      </c>
      <c r="L63" s="215">
        <f t="shared" si="2"/>
        <v>-5.551732784983137E-2</v>
      </c>
      <c r="M63" s="215">
        <f t="shared" si="3"/>
        <v>1.5440680443502757</v>
      </c>
      <c r="N63" s="215">
        <f t="shared" si="4"/>
        <v>4.2304489213782741</v>
      </c>
      <c r="O63" s="215">
        <f t="shared" si="5"/>
        <v>1.9731278535996986</v>
      </c>
      <c r="P63" s="215">
        <f t="shared" si="6"/>
        <v>2.9242792860618816</v>
      </c>
      <c r="Q63" s="215">
        <f t="shared" si="7"/>
        <v>2.5440680443502757</v>
      </c>
      <c r="Y63" s="2"/>
      <c r="Z63" s="2"/>
      <c r="AA63" s="2"/>
      <c r="AB63" s="2"/>
      <c r="AC63" s="2"/>
      <c r="AD63" s="2"/>
      <c r="AE63" s="2"/>
      <c r="AF63" s="2"/>
      <c r="AG63" s="2"/>
      <c r="AH63" s="2"/>
      <c r="AI63" s="2"/>
      <c r="AJ63" s="2"/>
      <c r="AK63" s="2"/>
      <c r="AL63" s="2"/>
      <c r="AM63" s="2"/>
    </row>
    <row r="64" spans="1:39" ht="18.75" customHeight="1" x14ac:dyDescent="0.25">
      <c r="B64" s="301"/>
      <c r="C64" s="301"/>
      <c r="D64" s="301"/>
      <c r="E64" s="301"/>
      <c r="F64" s="301"/>
      <c r="G64" s="301"/>
      <c r="H64" s="301"/>
      <c r="I64" s="301"/>
      <c r="J64" s="301"/>
      <c r="K64" s="301"/>
      <c r="L64" s="301"/>
      <c r="M64" s="301"/>
      <c r="N64" s="301"/>
      <c r="O64" s="301"/>
      <c r="P64" s="301"/>
      <c r="Q64" s="301"/>
      <c r="Y64" s="2"/>
      <c r="Z64" s="2"/>
      <c r="AA64" s="2"/>
      <c r="AB64" s="2"/>
      <c r="AC64" s="2"/>
      <c r="AD64" s="2"/>
      <c r="AE64" s="2"/>
      <c r="AK64" s="2"/>
      <c r="AL64" s="2"/>
      <c r="AM64" s="2"/>
    </row>
    <row r="65" spans="1:39" ht="18.75" customHeight="1" x14ac:dyDescent="0.25">
      <c r="A65" s="1" t="s">
        <v>211</v>
      </c>
      <c r="B65" s="3" t="s">
        <v>215</v>
      </c>
      <c r="D65" s="111"/>
      <c r="E65" s="83"/>
      <c r="F65" s="83"/>
      <c r="G65" s="83"/>
      <c r="H65" s="83"/>
      <c r="I65" s="303"/>
      <c r="K65" s="15"/>
      <c r="L65" s="15"/>
      <c r="M65" s="15"/>
      <c r="N65" s="15"/>
      <c r="O65" s="15"/>
      <c r="P65" s="15"/>
      <c r="Q65" s="15"/>
      <c r="Y65" s="2"/>
      <c r="Z65" s="2"/>
      <c r="AA65" s="2"/>
      <c r="AB65" s="2"/>
      <c r="AC65" s="2"/>
      <c r="AD65" s="2"/>
      <c r="AE65" s="2"/>
      <c r="AK65" s="2"/>
      <c r="AL65" s="2"/>
      <c r="AM65" s="2"/>
    </row>
    <row r="66" spans="1:39" ht="17.25" customHeight="1" x14ac:dyDescent="0.25">
      <c r="A66" s="290"/>
      <c r="B66" s="226"/>
      <c r="C66" s="290"/>
      <c r="D66" s="290"/>
      <c r="E66" s="290"/>
      <c r="F66" s="290"/>
      <c r="G66" s="290"/>
      <c r="H66" s="290"/>
      <c r="I66" s="290"/>
      <c r="J66" s="290"/>
      <c r="K66" s="290"/>
      <c r="L66" s="290"/>
      <c r="M66" s="290"/>
      <c r="N66" s="290"/>
      <c r="O66" s="290"/>
      <c r="P66" s="290"/>
      <c r="Q66" s="290"/>
      <c r="R66" s="290"/>
      <c r="Y66" s="2"/>
      <c r="Z66" s="2"/>
      <c r="AA66" s="2"/>
      <c r="AB66" s="5"/>
      <c r="AC66" s="5"/>
      <c r="AD66" s="5"/>
      <c r="AE66" s="5"/>
      <c r="AF66" s="5"/>
      <c r="AK66" s="2"/>
      <c r="AL66" s="2"/>
      <c r="AM66" s="2"/>
    </row>
    <row r="67" spans="1:39" ht="18.75" customHeight="1" x14ac:dyDescent="0.25">
      <c r="K67" s="15"/>
      <c r="L67" s="15"/>
      <c r="M67" s="15"/>
      <c r="N67" s="15"/>
      <c r="O67" s="15"/>
      <c r="P67" s="15"/>
      <c r="Q67" s="15"/>
      <c r="Y67" s="5"/>
      <c r="Z67" s="5"/>
      <c r="AA67" s="5"/>
      <c r="AB67" s="2"/>
      <c r="AC67" s="2"/>
      <c r="AD67" s="2"/>
      <c r="AE67" s="2"/>
      <c r="AF67" s="2"/>
      <c r="AG67" s="5"/>
      <c r="AH67" s="5"/>
      <c r="AI67" s="2"/>
      <c r="AJ67" s="2"/>
      <c r="AK67" s="2"/>
      <c r="AL67" s="2"/>
      <c r="AM67" s="2"/>
    </row>
    <row r="68" spans="1:39" ht="18.75" customHeight="1" x14ac:dyDescent="0.25">
      <c r="A68" s="224"/>
      <c r="B68" s="432" t="s">
        <v>210</v>
      </c>
      <c r="C68" s="432"/>
      <c r="D68" s="432"/>
      <c r="E68" s="432"/>
      <c r="F68" s="432"/>
      <c r="G68" s="432"/>
      <c r="H68" s="432"/>
      <c r="I68" s="432"/>
      <c r="J68" s="432"/>
      <c r="K68" s="432"/>
      <c r="L68" s="432"/>
      <c r="M68" s="432"/>
      <c r="N68" s="432"/>
      <c r="O68" s="432"/>
      <c r="P68" s="432"/>
      <c r="Q68" s="432"/>
      <c r="Y68" s="2"/>
      <c r="Z68" s="2"/>
      <c r="AA68" s="2"/>
      <c r="AB68" s="2"/>
      <c r="AC68" s="2"/>
      <c r="AD68" s="2"/>
      <c r="AE68" s="2"/>
      <c r="AF68" s="2"/>
      <c r="AG68" s="2"/>
      <c r="AH68" s="2"/>
      <c r="AI68" s="2"/>
      <c r="AJ68" s="2"/>
      <c r="AK68" s="2"/>
      <c r="AL68" s="2"/>
      <c r="AM68" s="2"/>
    </row>
    <row r="69" spans="1:39" ht="18.75" customHeight="1" x14ac:dyDescent="0.25">
      <c r="B69" s="265"/>
      <c r="C69" s="421" t="s">
        <v>175</v>
      </c>
      <c r="D69" s="421"/>
      <c r="E69" s="421"/>
      <c r="F69" s="421"/>
      <c r="G69" s="421"/>
      <c r="H69" s="421"/>
      <c r="I69" s="421"/>
      <c r="K69" s="421" t="s">
        <v>176</v>
      </c>
      <c r="L69" s="421"/>
      <c r="M69" s="421"/>
      <c r="N69" s="421"/>
      <c r="O69" s="421"/>
      <c r="P69" s="421"/>
      <c r="Q69" s="421"/>
      <c r="Y69" s="2"/>
      <c r="Z69" s="2"/>
      <c r="AA69" s="2"/>
      <c r="AB69" s="2"/>
      <c r="AC69" s="2"/>
      <c r="AD69" s="2"/>
      <c r="AE69" s="2"/>
      <c r="AF69" s="2"/>
      <c r="AG69" s="2"/>
      <c r="AH69" s="2"/>
      <c r="AI69" s="2"/>
      <c r="AJ69" s="2"/>
      <c r="AK69" s="2"/>
      <c r="AL69" s="2"/>
      <c r="AM69" s="2"/>
    </row>
    <row r="70" spans="1:39" ht="18.75" customHeight="1" x14ac:dyDescent="0.25">
      <c r="A70" s="1" t="s">
        <v>140</v>
      </c>
      <c r="B70" s="3" t="s">
        <v>138</v>
      </c>
      <c r="C70" s="1" t="s">
        <v>7</v>
      </c>
      <c r="D70" s="1" t="s">
        <v>1</v>
      </c>
      <c r="E70" s="1" t="s">
        <v>2</v>
      </c>
      <c r="F70" s="1" t="s">
        <v>3</v>
      </c>
      <c r="G70" s="1" t="s">
        <v>4</v>
      </c>
      <c r="H70" s="1" t="s">
        <v>5</v>
      </c>
      <c r="I70" s="1" t="s">
        <v>6</v>
      </c>
      <c r="K70" s="1" t="s">
        <v>7</v>
      </c>
      <c r="L70" s="1" t="s">
        <v>1</v>
      </c>
      <c r="M70" s="1" t="s">
        <v>2</v>
      </c>
      <c r="N70" s="1" t="s">
        <v>3</v>
      </c>
      <c r="O70" s="1" t="s">
        <v>4</v>
      </c>
      <c r="P70" s="1" t="s">
        <v>5</v>
      </c>
      <c r="Q70" s="1" t="s">
        <v>6</v>
      </c>
      <c r="Y70" s="2"/>
      <c r="Z70" s="2"/>
      <c r="AA70" s="2"/>
      <c r="AB70" s="2"/>
      <c r="AC70" s="2"/>
      <c r="AD70" s="2"/>
      <c r="AE70" s="2"/>
      <c r="AF70" s="2"/>
      <c r="AG70" s="2"/>
      <c r="AH70" s="2"/>
      <c r="AI70" s="2"/>
      <c r="AJ70" s="2"/>
      <c r="AK70" s="2"/>
      <c r="AL70" s="2"/>
      <c r="AM70" s="2"/>
    </row>
    <row r="71" spans="1:39" ht="18.75" customHeight="1" x14ac:dyDescent="0.25">
      <c r="A71" s="19" t="s">
        <v>26</v>
      </c>
      <c r="B71" s="210">
        <v>34656.684027777781</v>
      </c>
      <c r="C71" s="15" t="s">
        <v>20</v>
      </c>
      <c r="D71" s="15">
        <v>1</v>
      </c>
      <c r="E71" s="15">
        <v>2</v>
      </c>
      <c r="F71" s="15">
        <v>3100</v>
      </c>
      <c r="G71" s="15">
        <v>10</v>
      </c>
      <c r="H71" s="15">
        <v>210</v>
      </c>
      <c r="I71" s="15">
        <v>9</v>
      </c>
      <c r="J71" s="15"/>
      <c r="K71" s="15" t="s">
        <v>20</v>
      </c>
      <c r="L71" s="228">
        <f t="shared" ref="L71:L76" si="13">LOG(D71)</f>
        <v>0</v>
      </c>
      <c r="M71" s="228">
        <f t="shared" ref="M71:M76" si="14">LOG(E71)</f>
        <v>0.3010299956639812</v>
      </c>
      <c r="N71" s="228">
        <f t="shared" ref="N71:N76" si="15">LOG(F71)</f>
        <v>3.4913616938342726</v>
      </c>
      <c r="O71" s="228">
        <f t="shared" ref="O71:O76" si="16">LOG(G71)</f>
        <v>1</v>
      </c>
      <c r="P71" s="228">
        <f t="shared" ref="P71:P76" si="17">LOG(H71)</f>
        <v>2.3222192947339191</v>
      </c>
      <c r="Q71" s="228">
        <f t="shared" ref="Q71:Q76" si="18">LOG(I71)</f>
        <v>0.95424250943932487</v>
      </c>
      <c r="Y71" s="2"/>
      <c r="Z71" s="2"/>
      <c r="AA71" s="2"/>
      <c r="AB71" s="2"/>
      <c r="AC71" s="2"/>
      <c r="AD71" s="2"/>
      <c r="AE71" s="2"/>
      <c r="AF71" s="2"/>
      <c r="AG71" s="2"/>
      <c r="AH71" s="2"/>
      <c r="AI71" s="2"/>
      <c r="AJ71" s="2"/>
      <c r="AK71" s="2"/>
      <c r="AL71" s="2"/>
      <c r="AM71" s="2"/>
    </row>
    <row r="72" spans="1:39" ht="18.75" customHeight="1" x14ac:dyDescent="0.25">
      <c r="A72" s="19" t="s">
        <v>26</v>
      </c>
      <c r="B72" s="210">
        <v>35039.645833333336</v>
      </c>
      <c r="C72" s="15" t="s">
        <v>20</v>
      </c>
      <c r="D72" s="15">
        <v>1</v>
      </c>
      <c r="E72" s="15">
        <v>12</v>
      </c>
      <c r="F72" s="15">
        <v>700</v>
      </c>
      <c r="G72" s="15">
        <v>30</v>
      </c>
      <c r="H72" s="15">
        <v>960</v>
      </c>
      <c r="I72" s="15">
        <v>120</v>
      </c>
      <c r="J72" s="15"/>
      <c r="K72" s="15" t="s">
        <v>20</v>
      </c>
      <c r="L72" s="228">
        <f t="shared" si="13"/>
        <v>0</v>
      </c>
      <c r="M72" s="228">
        <f t="shared" si="14"/>
        <v>1.0791812460476249</v>
      </c>
      <c r="N72" s="228">
        <f t="shared" si="15"/>
        <v>2.8450980400142569</v>
      </c>
      <c r="O72" s="228">
        <f t="shared" si="16"/>
        <v>1.4771212547196624</v>
      </c>
      <c r="P72" s="228">
        <f t="shared" si="17"/>
        <v>2.9822712330395684</v>
      </c>
      <c r="Q72" s="228">
        <f t="shared" si="18"/>
        <v>2.0791812460476247</v>
      </c>
      <c r="U72" s="45" t="s">
        <v>332</v>
      </c>
      <c r="Y72" s="2"/>
      <c r="Z72" s="2"/>
      <c r="AA72" s="2"/>
      <c r="AB72" s="2"/>
      <c r="AC72" s="2"/>
      <c r="AD72" s="2"/>
      <c r="AE72" s="2"/>
      <c r="AF72" s="2"/>
      <c r="AG72" s="2"/>
      <c r="AH72" s="2"/>
      <c r="AI72" s="2"/>
      <c r="AJ72" s="2"/>
      <c r="AK72" s="6"/>
      <c r="AL72" s="6"/>
      <c r="AM72" s="2"/>
    </row>
    <row r="73" spans="1:39" ht="18.75" customHeight="1" x14ac:dyDescent="0.25">
      <c r="A73" s="19" t="s">
        <v>26</v>
      </c>
      <c r="B73" s="210">
        <v>35773.802083333336</v>
      </c>
      <c r="C73" s="15" t="s">
        <v>20</v>
      </c>
      <c r="D73" s="15">
        <v>1</v>
      </c>
      <c r="E73" s="15">
        <v>22</v>
      </c>
      <c r="F73" s="15">
        <v>17702</v>
      </c>
      <c r="G73" s="15">
        <v>61</v>
      </c>
      <c r="H73" s="15">
        <v>717</v>
      </c>
      <c r="I73" s="15">
        <v>287</v>
      </c>
      <c r="J73" s="15"/>
      <c r="K73" s="15" t="s">
        <v>20</v>
      </c>
      <c r="L73" s="228">
        <f t="shared" si="13"/>
        <v>0</v>
      </c>
      <c r="M73" s="228">
        <f t="shared" si="14"/>
        <v>1.3424226808222062</v>
      </c>
      <c r="N73" s="228">
        <f t="shared" si="15"/>
        <v>4.2480223364123537</v>
      </c>
      <c r="O73" s="228">
        <f t="shared" si="16"/>
        <v>1.7853298350107671</v>
      </c>
      <c r="P73" s="228">
        <f t="shared" si="17"/>
        <v>2.8555191556678001</v>
      </c>
      <c r="Q73" s="228">
        <f t="shared" si="18"/>
        <v>2.4578818967339924</v>
      </c>
      <c r="T73" s="413" t="s">
        <v>7</v>
      </c>
      <c r="U73" s="413" t="s">
        <v>1</v>
      </c>
      <c r="V73" s="413" t="s">
        <v>2</v>
      </c>
      <c r="W73" s="413" t="s">
        <v>3</v>
      </c>
      <c r="X73" s="413" t="s">
        <v>4</v>
      </c>
      <c r="Y73" s="413" t="s">
        <v>5</v>
      </c>
      <c r="Z73" s="413" t="s">
        <v>6</v>
      </c>
      <c r="AA73" s="2"/>
      <c r="AB73" s="2"/>
      <c r="AC73" s="2"/>
      <c r="AD73" s="2"/>
      <c r="AE73" s="2"/>
      <c r="AF73" s="2"/>
      <c r="AG73" s="2"/>
      <c r="AH73" s="2"/>
      <c r="AI73" s="2"/>
      <c r="AJ73" s="2"/>
      <c r="AK73" s="2"/>
      <c r="AL73" s="2"/>
      <c r="AM73" s="2"/>
    </row>
    <row r="74" spans="1:39" ht="18.75" customHeight="1" x14ac:dyDescent="0.25">
      <c r="A74" s="19" t="s">
        <v>26</v>
      </c>
      <c r="B74" s="210">
        <v>36230.663194444445</v>
      </c>
      <c r="C74" s="15" t="s">
        <v>20</v>
      </c>
      <c r="D74" s="15">
        <v>5</v>
      </c>
      <c r="E74" s="15">
        <v>13.8</v>
      </c>
      <c r="F74" s="15">
        <v>9295</v>
      </c>
      <c r="G74" s="15">
        <v>12.1</v>
      </c>
      <c r="H74" s="15">
        <v>108</v>
      </c>
      <c r="I74" s="15">
        <v>446</v>
      </c>
      <c r="J74" s="15"/>
      <c r="K74" s="15" t="s">
        <v>20</v>
      </c>
      <c r="L74" s="228">
        <f t="shared" si="13"/>
        <v>0.69897000433601886</v>
      </c>
      <c r="M74" s="228">
        <f t="shared" si="14"/>
        <v>1.1398790864012365</v>
      </c>
      <c r="N74" s="228">
        <f t="shared" si="15"/>
        <v>3.9682493941079175</v>
      </c>
      <c r="O74" s="228">
        <f t="shared" si="16"/>
        <v>1.0827853703164501</v>
      </c>
      <c r="P74" s="228">
        <f t="shared" si="17"/>
        <v>2.0334237554869499</v>
      </c>
      <c r="Q74" s="228">
        <f t="shared" si="18"/>
        <v>2.6493348587121419</v>
      </c>
      <c r="S74" s="1" t="s">
        <v>26</v>
      </c>
      <c r="T74" s="414" t="s">
        <v>20</v>
      </c>
      <c r="U74" s="414">
        <v>1.0675222915991089</v>
      </c>
      <c r="V74" s="415">
        <v>8.6535360001066923</v>
      </c>
      <c r="W74" s="416">
        <v>4476.6586988712252</v>
      </c>
      <c r="X74" s="415">
        <v>23.363507530923638</v>
      </c>
      <c r="Y74" s="417">
        <v>317.6458766090077</v>
      </c>
      <c r="Z74" s="417">
        <v>89.319753206286606</v>
      </c>
      <c r="AA74" s="2"/>
      <c r="AB74" s="2"/>
      <c r="AC74" s="2"/>
      <c r="AD74" s="2"/>
      <c r="AE74" s="2"/>
      <c r="AF74" s="2"/>
      <c r="AG74" s="2"/>
      <c r="AH74" s="2"/>
      <c r="AI74" s="2"/>
      <c r="AJ74" s="2"/>
      <c r="AK74" s="2"/>
      <c r="AL74" s="2"/>
      <c r="AM74" s="2"/>
    </row>
    <row r="75" spans="1:39" ht="18.75" customHeight="1" x14ac:dyDescent="0.25">
      <c r="A75" s="19" t="s">
        <v>26</v>
      </c>
      <c r="B75" s="210">
        <v>36500.875</v>
      </c>
      <c r="C75" s="15" t="s">
        <v>20</v>
      </c>
      <c r="D75" s="15">
        <v>0.74</v>
      </c>
      <c r="E75" s="15">
        <v>3.39</v>
      </c>
      <c r="F75" s="15">
        <v>1734</v>
      </c>
      <c r="G75" s="15">
        <v>28.25</v>
      </c>
      <c r="H75" s="15">
        <v>117.5</v>
      </c>
      <c r="I75" s="15">
        <v>30.61</v>
      </c>
      <c r="J75" s="15"/>
      <c r="K75" s="15" t="s">
        <v>20</v>
      </c>
      <c r="L75" s="228">
        <f t="shared" si="13"/>
        <v>-0.13076828026902382</v>
      </c>
      <c r="M75" s="228">
        <f t="shared" si="14"/>
        <v>0.53019969820308221</v>
      </c>
      <c r="N75" s="228">
        <f t="shared" si="15"/>
        <v>3.2390490931401916</v>
      </c>
      <c r="O75" s="228">
        <f t="shared" si="16"/>
        <v>1.4510184521554574</v>
      </c>
      <c r="P75" s="228">
        <f t="shared" si="17"/>
        <v>2.070037866607755</v>
      </c>
      <c r="Q75" s="228">
        <f t="shared" si="18"/>
        <v>1.4858633295973347</v>
      </c>
      <c r="S75" s="1" t="s">
        <v>330</v>
      </c>
      <c r="T75" s="416">
        <f>GEOMEAN(C6:C20)</f>
        <v>8728.116896277239</v>
      </c>
      <c r="U75" s="414">
        <f t="shared" ref="U75:Z75" si="19">GEOMEAN(D6:D20)</f>
        <v>0.35674086014393425</v>
      </c>
      <c r="V75" s="415">
        <f t="shared" si="19"/>
        <v>19.059725426517204</v>
      </c>
      <c r="W75" s="416">
        <f t="shared" si="19"/>
        <v>13251.68058597002</v>
      </c>
      <c r="X75" s="415">
        <f t="shared" si="19"/>
        <v>32.617121356169243</v>
      </c>
      <c r="Y75" s="416">
        <f t="shared" si="19"/>
        <v>454.98188110205001</v>
      </c>
      <c r="Z75" s="416">
        <f t="shared" si="19"/>
        <v>146.84586363956214</v>
      </c>
      <c r="AA75" s="2"/>
      <c r="AB75" s="2"/>
      <c r="AC75" s="2"/>
      <c r="AD75" s="2"/>
      <c r="AE75" s="2"/>
      <c r="AF75" s="2"/>
      <c r="AG75" s="2"/>
      <c r="AH75" s="2"/>
      <c r="AI75" s="2"/>
      <c r="AJ75" s="2"/>
      <c r="AK75" s="2"/>
      <c r="AL75" s="2"/>
      <c r="AM75" s="2"/>
    </row>
    <row r="76" spans="1:39" ht="18.75" customHeight="1" x14ac:dyDescent="0.25">
      <c r="A76" s="19" t="s">
        <v>26</v>
      </c>
      <c r="B76" s="210">
        <v>36858.871527777781</v>
      </c>
      <c r="C76" s="15" t="s">
        <v>20</v>
      </c>
      <c r="D76" s="15">
        <v>0.4</v>
      </c>
      <c r="E76" s="15">
        <v>17</v>
      </c>
      <c r="F76" s="15">
        <v>13000</v>
      </c>
      <c r="G76" s="15">
        <v>26</v>
      </c>
      <c r="H76" s="15">
        <v>560</v>
      </c>
      <c r="I76" s="15">
        <v>120</v>
      </c>
      <c r="J76" s="15"/>
      <c r="K76" s="15" t="s">
        <v>20</v>
      </c>
      <c r="L76" s="228">
        <f t="shared" si="13"/>
        <v>-0.3979400086720376</v>
      </c>
      <c r="M76" s="228">
        <f t="shared" si="14"/>
        <v>1.2304489213782739</v>
      </c>
      <c r="N76" s="228">
        <f t="shared" si="15"/>
        <v>4.1139433523068369</v>
      </c>
      <c r="O76" s="228">
        <f t="shared" si="16"/>
        <v>1.414973347970818</v>
      </c>
      <c r="P76" s="228">
        <f t="shared" si="17"/>
        <v>2.7481880270062002</v>
      </c>
      <c r="Q76" s="228">
        <f t="shared" si="18"/>
        <v>2.0791812460476247</v>
      </c>
      <c r="S76" s="1" t="s">
        <v>331</v>
      </c>
      <c r="T76" s="416">
        <f>GEOMEAN(C22:C50)</f>
        <v>10544.17458048295</v>
      </c>
      <c r="U76" s="414">
        <f t="shared" ref="U76:Z76" si="20">GEOMEAN(D22:D50)</f>
        <v>0.19430187916888034</v>
      </c>
      <c r="V76" s="415">
        <f t="shared" si="20"/>
        <v>13.723894341011404</v>
      </c>
      <c r="W76" s="416">
        <f t="shared" si="20"/>
        <v>13481.998865255688</v>
      </c>
      <c r="X76" s="415">
        <f t="shared" si="20"/>
        <v>16.426729267361498</v>
      </c>
      <c r="Y76" s="416">
        <f t="shared" si="20"/>
        <v>398.91642437594817</v>
      </c>
      <c r="Z76" s="416">
        <f t="shared" si="20"/>
        <v>73.854198027236791</v>
      </c>
      <c r="AA76" s="2"/>
      <c r="AG76" s="2"/>
      <c r="AH76" s="2"/>
      <c r="AI76" s="2"/>
      <c r="AJ76" s="2"/>
      <c r="AK76" s="2"/>
      <c r="AL76" s="2"/>
      <c r="AM76" s="2"/>
    </row>
    <row r="77" spans="1:39" ht="18.75" customHeight="1" thickBot="1" x14ac:dyDescent="0.3"/>
    <row r="78" spans="1:39" ht="18.75" customHeight="1" x14ac:dyDescent="0.25">
      <c r="A78" s="436" t="s">
        <v>212</v>
      </c>
      <c r="B78" s="429" t="s">
        <v>182</v>
      </c>
      <c r="C78" s="429"/>
      <c r="D78" s="429"/>
      <c r="E78" s="429"/>
      <c r="F78" s="429"/>
      <c r="G78" s="429"/>
      <c r="H78" s="429"/>
      <c r="I78" s="429"/>
      <c r="J78" s="429" t="s">
        <v>182</v>
      </c>
      <c r="K78" s="429"/>
      <c r="L78" s="429"/>
      <c r="M78" s="429"/>
      <c r="N78" s="429"/>
      <c r="O78" s="429"/>
      <c r="P78" s="429"/>
      <c r="Q78" s="430"/>
    </row>
    <row r="79" spans="1:39" ht="18.75" customHeight="1" x14ac:dyDescent="0.25">
      <c r="A79" s="437"/>
      <c r="B79" s="274" t="s">
        <v>211</v>
      </c>
      <c r="C79" s="2" t="s">
        <v>7</v>
      </c>
      <c r="D79" s="2" t="s">
        <v>1</v>
      </c>
      <c r="E79" s="2" t="s">
        <v>2</v>
      </c>
      <c r="F79" s="2" t="s">
        <v>3</v>
      </c>
      <c r="G79" s="2" t="s">
        <v>4</v>
      </c>
      <c r="H79" s="2" t="s">
        <v>5</v>
      </c>
      <c r="I79" s="2" t="s">
        <v>6</v>
      </c>
      <c r="J79" s="2" t="s">
        <v>211</v>
      </c>
      <c r="K79" s="2" t="s">
        <v>7</v>
      </c>
      <c r="L79" s="2" t="s">
        <v>1</v>
      </c>
      <c r="M79" s="2" t="s">
        <v>2</v>
      </c>
      <c r="N79" s="2" t="s">
        <v>3</v>
      </c>
      <c r="O79" s="2" t="s">
        <v>4</v>
      </c>
      <c r="P79" s="2" t="s">
        <v>5</v>
      </c>
      <c r="Q79" s="243" t="s">
        <v>6</v>
      </c>
    </row>
    <row r="80" spans="1:39" ht="18.75" customHeight="1" x14ac:dyDescent="0.25">
      <c r="A80" s="437"/>
      <c r="B80" s="274" t="s">
        <v>174</v>
      </c>
      <c r="C80" s="221" t="s">
        <v>20</v>
      </c>
      <c r="D80" s="216">
        <f t="shared" ref="D80:I80" si="21">GEOMEAN(D71:D76)</f>
        <v>1.0675222915991089</v>
      </c>
      <c r="E80" s="216">
        <f t="shared" si="21"/>
        <v>8.6535360001066923</v>
      </c>
      <c r="F80" s="216">
        <f t="shared" si="21"/>
        <v>4476.6586988712252</v>
      </c>
      <c r="G80" s="216">
        <f t="shared" si="21"/>
        <v>23.363507530923638</v>
      </c>
      <c r="H80" s="216">
        <f t="shared" si="21"/>
        <v>317.6458766090077</v>
      </c>
      <c r="I80" s="216">
        <f t="shared" si="21"/>
        <v>89.319753206286606</v>
      </c>
      <c r="J80" s="221" t="s">
        <v>117</v>
      </c>
      <c r="K80" s="221" t="s">
        <v>20</v>
      </c>
      <c r="L80" s="216">
        <f t="shared" ref="L80:Q80" si="22">AVERAGE(L74:L76)</f>
        <v>5.675390513165246E-2</v>
      </c>
      <c r="M80" s="216">
        <f t="shared" si="22"/>
        <v>0.96684256866086427</v>
      </c>
      <c r="N80" s="216">
        <f t="shared" si="22"/>
        <v>3.7737472798516492</v>
      </c>
      <c r="O80" s="216">
        <f t="shared" si="22"/>
        <v>1.3162590568142418</v>
      </c>
      <c r="P80" s="216">
        <f t="shared" si="22"/>
        <v>2.2838832163669682</v>
      </c>
      <c r="Q80" s="275">
        <f t="shared" si="22"/>
        <v>2.071459811452367</v>
      </c>
    </row>
    <row r="81" spans="1:24" ht="18.75" customHeight="1" x14ac:dyDescent="0.25">
      <c r="A81" s="437"/>
      <c r="B81" s="274" t="s">
        <v>172</v>
      </c>
      <c r="C81" s="221" t="s">
        <v>20</v>
      </c>
      <c r="D81" s="216">
        <f t="shared" ref="D81:I81" si="23">STDEV(D71:D76)</f>
        <v>1.7195542057948234</v>
      </c>
      <c r="E81" s="216">
        <f t="shared" si="23"/>
        <v>7.7695055612739399</v>
      </c>
      <c r="F81" s="216">
        <f t="shared" si="23"/>
        <v>6875.3558671533501</v>
      </c>
      <c r="G81" s="216">
        <f t="shared" si="23"/>
        <v>18.296459129204937</v>
      </c>
      <c r="H81" s="216">
        <f t="shared" si="23"/>
        <v>354.53722183526321</v>
      </c>
      <c r="I81" s="216">
        <f t="shared" si="23"/>
        <v>167.45534932233926</v>
      </c>
      <c r="J81" s="221" t="s">
        <v>10</v>
      </c>
      <c r="K81" s="221" t="s">
        <v>20</v>
      </c>
      <c r="L81" s="216">
        <f t="shared" ref="L81:Q81" si="24">STDEV(L74:L76)</f>
        <v>0.57199328813581185</v>
      </c>
      <c r="M81" s="216">
        <f t="shared" si="24"/>
        <v>0.38084573122611015</v>
      </c>
      <c r="N81" s="216">
        <f t="shared" si="24"/>
        <v>0.46875718183117249</v>
      </c>
      <c r="O81" s="216">
        <f t="shared" si="24"/>
        <v>0.20299577359904</v>
      </c>
      <c r="P81" s="216">
        <f t="shared" si="24"/>
        <v>0.40251629304953851</v>
      </c>
      <c r="Q81" s="275">
        <f t="shared" si="24"/>
        <v>0.58177419604116531</v>
      </c>
    </row>
    <row r="82" spans="1:24" ht="18.75" customHeight="1" x14ac:dyDescent="0.25">
      <c r="A82" s="437"/>
      <c r="B82" s="274" t="s">
        <v>147</v>
      </c>
      <c r="C82" s="221" t="s">
        <v>20</v>
      </c>
      <c r="D82" s="216">
        <f>D81/SQRT(D83)</f>
        <v>0.70200506487568237</v>
      </c>
      <c r="E82" s="216">
        <f t="shared" ref="E82:I82" si="25">E81/SQRT(E83)</f>
        <v>3.1718873631395628</v>
      </c>
      <c r="F82" s="216">
        <f t="shared" si="25"/>
        <v>2806.852279096046</v>
      </c>
      <c r="G82" s="216">
        <f t="shared" si="25"/>
        <v>7.4694981610398559</v>
      </c>
      <c r="H82" s="216">
        <f t="shared" si="25"/>
        <v>144.73921472005358</v>
      </c>
      <c r="I82" s="216">
        <f t="shared" si="25"/>
        <v>68.363360089874007</v>
      </c>
      <c r="J82" s="221" t="s">
        <v>116</v>
      </c>
      <c r="K82" s="221" t="s">
        <v>20</v>
      </c>
      <c r="L82" s="216">
        <f t="shared" ref="L82" si="26">L81/SQRT(L83)</f>
        <v>0.23351528203824903</v>
      </c>
      <c r="M82" s="216">
        <f t="shared" ref="M82" si="27">M81/SQRT(M83)</f>
        <v>0.15547961870351934</v>
      </c>
      <c r="N82" s="216">
        <f t="shared" ref="N82" si="28">N81/SQRT(N83)</f>
        <v>0.19136931812523436</v>
      </c>
      <c r="O82" s="216">
        <f t="shared" ref="O82" si="29">O81/SQRT(O83)</f>
        <v>8.2872677543197465E-2</v>
      </c>
      <c r="P82" s="216">
        <f t="shared" ref="P82" si="30">P81/SQRT(P83)</f>
        <v>0.16432658852132542</v>
      </c>
      <c r="Q82" s="275">
        <f t="shared" ref="Q82" si="31">Q81/SQRT(Q83)</f>
        <v>0.23750832096979407</v>
      </c>
    </row>
    <row r="83" spans="1:24" ht="18.75" customHeight="1" thickBot="1" x14ac:dyDescent="0.3">
      <c r="A83" s="438"/>
      <c r="B83" s="235" t="s">
        <v>173</v>
      </c>
      <c r="C83" s="277" t="s">
        <v>20</v>
      </c>
      <c r="D83" s="254">
        <v>6</v>
      </c>
      <c r="E83" s="254">
        <v>6</v>
      </c>
      <c r="F83" s="254">
        <v>6</v>
      </c>
      <c r="G83" s="254">
        <v>6</v>
      </c>
      <c r="H83" s="254">
        <v>6</v>
      </c>
      <c r="I83" s="254">
        <v>6</v>
      </c>
      <c r="J83" s="254" t="s">
        <v>173</v>
      </c>
      <c r="K83" s="277" t="s">
        <v>20</v>
      </c>
      <c r="L83" s="254">
        <v>6</v>
      </c>
      <c r="M83" s="254">
        <v>6</v>
      </c>
      <c r="N83" s="254">
        <v>6</v>
      </c>
      <c r="O83" s="254">
        <v>6</v>
      </c>
      <c r="P83" s="254">
        <v>6</v>
      </c>
      <c r="Q83" s="255">
        <v>6</v>
      </c>
    </row>
    <row r="85" spans="1:24" ht="18.75" customHeight="1" x14ac:dyDescent="0.25">
      <c r="C85" s="379">
        <f>GEOMEAN(C6:C20)</f>
        <v>8728.116896277239</v>
      </c>
      <c r="D85" s="379">
        <f>GEOMEAN(D6:D20)</f>
        <v>0.35674086014393425</v>
      </c>
      <c r="E85" s="379">
        <f t="shared" ref="E85:I85" si="32">GEOMEAN(E6:E20)</f>
        <v>19.059725426517204</v>
      </c>
      <c r="F85" s="379">
        <f t="shared" si="32"/>
        <v>13251.68058597002</v>
      </c>
      <c r="G85" s="379">
        <f t="shared" si="32"/>
        <v>32.617121356169243</v>
      </c>
      <c r="H85" s="379">
        <f t="shared" si="32"/>
        <v>454.98188110205001</v>
      </c>
      <c r="I85" s="379">
        <f t="shared" si="32"/>
        <v>146.84586363956214</v>
      </c>
    </row>
    <row r="87" spans="1:24" ht="18.75" customHeight="1" x14ac:dyDescent="0.25">
      <c r="A87" s="431" t="s">
        <v>321</v>
      </c>
      <c r="B87" s="431"/>
      <c r="C87" s="431"/>
      <c r="D87" s="431"/>
      <c r="E87" s="431"/>
      <c r="F87" s="431"/>
      <c r="G87" s="431"/>
      <c r="H87" s="431"/>
      <c r="I87" s="431"/>
      <c r="J87" s="431"/>
      <c r="K87" s="431"/>
      <c r="L87" s="431"/>
      <c r="M87" s="431"/>
      <c r="N87" s="431"/>
      <c r="O87" s="431"/>
      <c r="P87" s="431"/>
      <c r="Q87" s="431"/>
      <c r="R87" s="431"/>
      <c r="S87" s="410"/>
      <c r="T87" s="410"/>
      <c r="U87" s="410"/>
      <c r="V87" s="410"/>
      <c r="W87" s="410"/>
      <c r="X87" s="410"/>
    </row>
    <row r="89" spans="1:24" ht="18.75" customHeight="1" x14ac:dyDescent="0.25">
      <c r="B89" s="16"/>
      <c r="C89" s="2"/>
    </row>
    <row r="90" spans="1:24" ht="18.75" customHeight="1" x14ac:dyDescent="0.25">
      <c r="A90" s="349" t="s">
        <v>305</v>
      </c>
      <c r="B90" s="369"/>
      <c r="C90" s="369"/>
      <c r="D90" s="28"/>
      <c r="E90" s="28"/>
      <c r="F90" s="28"/>
      <c r="G90" s="28"/>
      <c r="H90" s="28"/>
      <c r="I90" s="28"/>
      <c r="J90" s="28"/>
      <c r="K90" s="28"/>
      <c r="L90" s="28"/>
      <c r="M90" s="28"/>
      <c r="N90" s="28"/>
      <c r="O90" s="28"/>
      <c r="P90" s="28"/>
    </row>
    <row r="91" spans="1:24" ht="18.75" customHeight="1" x14ac:dyDescent="0.25">
      <c r="A91" s="28" t="s">
        <v>263</v>
      </c>
      <c r="B91" s="370"/>
      <c r="C91" s="370"/>
      <c r="D91" s="28"/>
      <c r="E91" s="28"/>
      <c r="F91" s="28"/>
      <c r="G91" s="28"/>
      <c r="H91" s="28"/>
      <c r="I91" s="28"/>
      <c r="J91" s="28"/>
      <c r="K91" s="28"/>
      <c r="L91" s="28" t="s">
        <v>288</v>
      </c>
      <c r="M91" s="28"/>
      <c r="N91" s="28"/>
      <c r="O91" s="28"/>
      <c r="P91" s="28"/>
    </row>
    <row r="92" spans="1:24" ht="18.75" customHeight="1" x14ac:dyDescent="0.25">
      <c r="A92" s="28"/>
      <c r="B92" s="369"/>
      <c r="C92" s="369"/>
      <c r="D92" s="28"/>
      <c r="E92" s="28"/>
      <c r="F92" s="28"/>
      <c r="G92" s="28"/>
      <c r="H92" s="28"/>
      <c r="I92" s="28"/>
      <c r="J92" s="28"/>
      <c r="K92" s="28"/>
      <c r="L92" s="28"/>
      <c r="M92" s="28"/>
      <c r="N92" s="28"/>
      <c r="O92" s="28"/>
      <c r="P92" s="28"/>
    </row>
    <row r="93" spans="1:24" ht="18.75" customHeight="1" thickBot="1" x14ac:dyDescent="0.3">
      <c r="A93" s="28" t="s">
        <v>264</v>
      </c>
      <c r="B93" s="369"/>
      <c r="C93" s="369"/>
      <c r="D93" s="28" t="s">
        <v>265</v>
      </c>
      <c r="E93" s="28">
        <v>0</v>
      </c>
      <c r="F93" s="28"/>
      <c r="G93" s="28"/>
      <c r="H93" s="28"/>
      <c r="I93" s="28"/>
      <c r="J93" s="28"/>
      <c r="K93" s="28"/>
      <c r="L93" s="28"/>
      <c r="M93" s="28" t="s">
        <v>289</v>
      </c>
      <c r="N93" s="28" t="s">
        <v>290</v>
      </c>
      <c r="O93" s="28"/>
      <c r="P93" s="28"/>
    </row>
    <row r="94" spans="1:24" ht="18.75" customHeight="1" thickTop="1" x14ac:dyDescent="0.25">
      <c r="A94" s="350" t="s">
        <v>266</v>
      </c>
      <c r="B94" s="350" t="s">
        <v>267</v>
      </c>
      <c r="C94" s="350" t="s">
        <v>117</v>
      </c>
      <c r="D94" s="350" t="s">
        <v>268</v>
      </c>
      <c r="E94" s="350" t="s">
        <v>269</v>
      </c>
      <c r="F94" s="28"/>
      <c r="G94" s="28"/>
      <c r="H94" s="28"/>
      <c r="I94" s="28"/>
      <c r="J94" s="28"/>
      <c r="K94" s="28"/>
      <c r="L94" s="28" t="s">
        <v>291</v>
      </c>
      <c r="M94" s="351">
        <f>COUNT(L6:L50)</f>
        <v>45</v>
      </c>
      <c r="N94" s="352">
        <f>COUNT(L71:L76)</f>
        <v>6</v>
      </c>
      <c r="O94" s="28"/>
      <c r="P94" s="28"/>
    </row>
    <row r="95" spans="1:24" ht="18.75" customHeight="1" x14ac:dyDescent="0.25">
      <c r="A95" s="28" t="s">
        <v>270</v>
      </c>
      <c r="B95" s="369">
        <f>COUNT(L6:L50)</f>
        <v>45</v>
      </c>
      <c r="C95" s="369">
        <f>AVERAGE(L6:L50)</f>
        <v>-0.62281455230811467</v>
      </c>
      <c r="D95" s="28">
        <f>VAR(L6:L50)</f>
        <v>3.5910264465803768E-2</v>
      </c>
      <c r="E95" s="28"/>
      <c r="F95" s="28"/>
      <c r="G95" s="28"/>
      <c r="H95" s="28"/>
      <c r="I95" s="28"/>
      <c r="J95" s="28"/>
      <c r="K95" s="28"/>
      <c r="L95" s="28" t="s">
        <v>292</v>
      </c>
      <c r="M95" s="353">
        <f>MEDIAN(L6:L50)</f>
        <v>-0.6777807052660807</v>
      </c>
      <c r="N95" s="339">
        <f>MEDIAN(L71:L76)</f>
        <v>0</v>
      </c>
      <c r="O95" s="28"/>
      <c r="P95" s="28"/>
    </row>
    <row r="96" spans="1:24" ht="18.75" customHeight="1" x14ac:dyDescent="0.25">
      <c r="A96" s="28" t="s">
        <v>271</v>
      </c>
      <c r="B96" s="369">
        <f>COUNT(L71:L76)</f>
        <v>6</v>
      </c>
      <c r="C96" s="369">
        <f>AVERAGE(L71:L76)</f>
        <v>2.837695256582623E-2</v>
      </c>
      <c r="D96" s="28">
        <f>VAR(L71:L76)</f>
        <v>0.13183683039327493</v>
      </c>
      <c r="E96" s="28"/>
      <c r="F96" s="28"/>
      <c r="G96" s="28"/>
      <c r="H96" s="28"/>
      <c r="I96" s="28"/>
      <c r="J96" s="28"/>
      <c r="K96" s="28"/>
      <c r="L96" s="28" t="s">
        <v>293</v>
      </c>
      <c r="M96" s="353">
        <v>1046</v>
      </c>
      <c r="N96" s="339">
        <v>280</v>
      </c>
      <c r="O96" s="28"/>
      <c r="P96" s="28"/>
    </row>
    <row r="97" spans="1:16" ht="18.75" customHeight="1" x14ac:dyDescent="0.25">
      <c r="A97" s="354" t="s">
        <v>272</v>
      </c>
      <c r="B97" s="354"/>
      <c r="C97" s="354"/>
      <c r="D97" s="354">
        <f>((B95-1)*D95+(B96-1)*D96)/(B95+B96-2)</f>
        <v>4.5698689560443678E-2</v>
      </c>
      <c r="E97" s="354">
        <f>ABS(C95-C96-E93)/SQRT(D97)</f>
        <v>3.0461890527094186</v>
      </c>
      <c r="F97" s="28"/>
      <c r="G97" s="28"/>
      <c r="H97" s="28"/>
      <c r="I97" s="28"/>
      <c r="J97" s="28"/>
      <c r="K97" s="28"/>
      <c r="L97" s="28" t="s">
        <v>294</v>
      </c>
      <c r="M97" s="355">
        <f>M94*N94+M94*(M94+1)/2-M96</f>
        <v>259</v>
      </c>
      <c r="N97" s="356">
        <f>M94*N94+N94*(N94+1)/2-N96</f>
        <v>11</v>
      </c>
      <c r="O97" s="28"/>
      <c r="P97" s="28"/>
    </row>
    <row r="98" spans="1:16" ht="18.75" customHeight="1" x14ac:dyDescent="0.25">
      <c r="A98" s="28"/>
      <c r="B98" s="369"/>
      <c r="C98" s="369"/>
      <c r="D98" s="28"/>
      <c r="E98" s="28"/>
      <c r="F98" s="28"/>
      <c r="G98" s="28"/>
      <c r="H98" s="28"/>
      <c r="I98" s="28"/>
      <c r="J98" s="28"/>
      <c r="K98" s="28"/>
      <c r="L98" s="28"/>
      <c r="M98" s="28"/>
      <c r="N98" s="28"/>
      <c r="O98" s="28"/>
      <c r="P98" s="28"/>
    </row>
    <row r="99" spans="1:16" ht="18.75" customHeight="1" thickBot="1" x14ac:dyDescent="0.3">
      <c r="A99" s="28" t="s">
        <v>273</v>
      </c>
      <c r="B99" s="369"/>
      <c r="C99" s="369"/>
      <c r="D99" s="28"/>
      <c r="E99" s="28" t="s">
        <v>274</v>
      </c>
      <c r="F99" s="28">
        <v>0.05</v>
      </c>
      <c r="G99" s="28"/>
      <c r="H99" s="28"/>
      <c r="I99" s="28"/>
      <c r="J99" s="28"/>
      <c r="K99" s="28"/>
      <c r="L99" s="28"/>
      <c r="M99" s="357" t="s">
        <v>295</v>
      </c>
      <c r="N99" s="357" t="s">
        <v>296</v>
      </c>
      <c r="O99" s="28"/>
      <c r="P99" s="28"/>
    </row>
    <row r="100" spans="1:16" ht="18.75" customHeight="1" thickTop="1" x14ac:dyDescent="0.25">
      <c r="A100" s="350" t="s">
        <v>275</v>
      </c>
      <c r="B100" s="350" t="s">
        <v>276</v>
      </c>
      <c r="C100" s="350" t="s">
        <v>277</v>
      </c>
      <c r="D100" s="350" t="s">
        <v>278</v>
      </c>
      <c r="E100" s="350" t="s">
        <v>279</v>
      </c>
      <c r="F100" s="350" t="s">
        <v>280</v>
      </c>
      <c r="G100" s="350" t="s">
        <v>281</v>
      </c>
      <c r="H100" s="350" t="s">
        <v>282</v>
      </c>
      <c r="I100" s="350" t="s">
        <v>283</v>
      </c>
      <c r="J100" s="350" t="s">
        <v>284</v>
      </c>
      <c r="K100" s="28"/>
      <c r="L100" s="28" t="s">
        <v>297</v>
      </c>
      <c r="M100" s="358">
        <v>0.05</v>
      </c>
      <c r="N100" s="28"/>
      <c r="O100" s="28"/>
      <c r="P100" s="28"/>
    </row>
    <row r="101" spans="1:16" ht="18.75" customHeight="1" x14ac:dyDescent="0.25">
      <c r="A101" s="28" t="s">
        <v>285</v>
      </c>
      <c r="B101" s="369">
        <f>SQRT(D97*(1/B95+1/B96))</f>
        <v>9.2908421010963652E-2</v>
      </c>
      <c r="C101" s="369">
        <f>(ABS(C95-C96-E93))/B101</f>
        <v>7.0089610585147835</v>
      </c>
      <c r="D101" s="28">
        <f>B95+B96-2</f>
        <v>49</v>
      </c>
      <c r="E101" s="28">
        <f>TDIST(C101,D101,1)</f>
        <v>3.2125439525207905E-9</v>
      </c>
      <c r="F101" s="28">
        <f>TINV(F99*2,D101)</f>
        <v>1.6765508926168529</v>
      </c>
      <c r="G101" s="28"/>
      <c r="H101" s="28"/>
      <c r="I101" s="28" t="str">
        <f>IF(E101&lt;F99,"yes","no")</f>
        <v>yes</v>
      </c>
      <c r="J101" s="28">
        <f>SQRT(C101^2/(C101^2+D101))</f>
        <v>0.70755894871858549</v>
      </c>
      <c r="K101" s="28"/>
      <c r="L101" s="28" t="s">
        <v>294</v>
      </c>
      <c r="M101" s="359">
        <f>MIN(M97,N97)</f>
        <v>11</v>
      </c>
      <c r="N101" s="28"/>
      <c r="O101" s="28"/>
      <c r="P101" s="28"/>
    </row>
    <row r="102" spans="1:16" ht="18.75" customHeight="1" x14ac:dyDescent="0.25">
      <c r="A102" s="28" t="s">
        <v>286</v>
      </c>
      <c r="B102" s="369">
        <f>B101</f>
        <v>9.2908421010963652E-2</v>
      </c>
      <c r="C102" s="369">
        <f t="shared" ref="C102:D102" si="33">C101</f>
        <v>7.0089610585147835</v>
      </c>
      <c r="D102" s="369">
        <f t="shared" si="33"/>
        <v>49</v>
      </c>
      <c r="E102" s="28">
        <f>TDIST(C102,D102,2)</f>
        <v>6.425087905041581E-9</v>
      </c>
      <c r="F102" s="28">
        <f>TINV(F99,D102)</f>
        <v>2.0095752371292388</v>
      </c>
      <c r="G102" s="28">
        <f>(C95-C96)-F102*B102</f>
        <v>-0.8378979670583514</v>
      </c>
      <c r="H102" s="28">
        <f>(C95-C96)+F102*B102</f>
        <v>-0.4644850426895305</v>
      </c>
      <c r="I102" s="28" t="str">
        <f>IF(E102&lt;F99,"yes","no")</f>
        <v>yes</v>
      </c>
      <c r="J102" s="28">
        <f>J101</f>
        <v>0.70755894871858549</v>
      </c>
      <c r="K102" s="28"/>
      <c r="L102" s="28" t="s">
        <v>298</v>
      </c>
      <c r="M102" s="359">
        <f>M94*N94/2</f>
        <v>135</v>
      </c>
      <c r="N102" s="28"/>
      <c r="O102" s="28"/>
      <c r="P102" s="28"/>
    </row>
    <row r="103" spans="1:16" ht="18.75" customHeight="1" x14ac:dyDescent="0.25">
      <c r="A103" s="354"/>
      <c r="B103" s="354"/>
      <c r="C103" s="354"/>
      <c r="D103" s="354"/>
      <c r="E103" s="354"/>
      <c r="F103" s="354"/>
      <c r="G103" s="354"/>
      <c r="H103" s="354"/>
      <c r="I103" s="354"/>
      <c r="J103" s="354"/>
      <c r="K103" s="28"/>
      <c r="L103" s="28" t="s">
        <v>299</v>
      </c>
      <c r="M103" s="359">
        <v>34.15182365296954</v>
      </c>
      <c r="N103" s="28" t="s">
        <v>300</v>
      </c>
      <c r="O103" s="28"/>
      <c r="P103" s="28"/>
    </row>
    <row r="104" spans="1:16" ht="18.75" customHeight="1" thickBot="1" x14ac:dyDescent="0.3">
      <c r="A104" s="28" t="s">
        <v>287</v>
      </c>
      <c r="B104" s="369"/>
      <c r="C104" s="369"/>
      <c r="D104" s="28"/>
      <c r="E104" s="28" t="s">
        <v>274</v>
      </c>
      <c r="F104" s="28">
        <f>F99</f>
        <v>0.05</v>
      </c>
      <c r="G104" s="28"/>
      <c r="H104" s="28"/>
      <c r="I104" s="28"/>
      <c r="J104" s="28"/>
      <c r="K104" s="28"/>
      <c r="L104" s="28" t="s">
        <v>19</v>
      </c>
      <c r="M104" s="359">
        <f>ABS(STANDARDIZE(M101,M102,M103))</f>
        <v>3.6308456397530637</v>
      </c>
      <c r="N104" s="28"/>
      <c r="O104" s="28"/>
      <c r="P104" s="28"/>
    </row>
    <row r="105" spans="1:16" ht="18.75" customHeight="1" thickTop="1" x14ac:dyDescent="0.25">
      <c r="A105" s="350" t="s">
        <v>275</v>
      </c>
      <c r="B105" s="350" t="s">
        <v>276</v>
      </c>
      <c r="C105" s="350" t="s">
        <v>277</v>
      </c>
      <c r="D105" s="350" t="s">
        <v>278</v>
      </c>
      <c r="E105" s="350" t="s">
        <v>279</v>
      </c>
      <c r="F105" s="350" t="s">
        <v>280</v>
      </c>
      <c r="G105" s="350" t="s">
        <v>281</v>
      </c>
      <c r="H105" s="350" t="s">
        <v>282</v>
      </c>
      <c r="I105" s="350" t="s">
        <v>283</v>
      </c>
      <c r="J105" s="350" t="s">
        <v>284</v>
      </c>
      <c r="K105" s="28"/>
      <c r="L105" s="28" t="s">
        <v>284</v>
      </c>
      <c r="M105" s="359">
        <f>M104/SQRT(M94+N94)</f>
        <v>0.50842008375261527</v>
      </c>
      <c r="N105" s="28"/>
      <c r="O105" s="28"/>
      <c r="P105" s="28"/>
    </row>
    <row r="106" spans="1:16" ht="18.75" customHeight="1" x14ac:dyDescent="0.25">
      <c r="A106" s="28" t="s">
        <v>285</v>
      </c>
      <c r="B106" s="369">
        <f>SQRT(D95/B95+D96/B96)</f>
        <v>0.15090000312314006</v>
      </c>
      <c r="C106" s="369">
        <f>(ABS(C95-C96-E93))/B106</f>
        <v>4.3153843034883455</v>
      </c>
      <c r="D106" s="28">
        <f>(D95/B95+D96/B96)^2/((D95/B95)^2/(B95-1)+(D96/B96)^2/(B96-1))</f>
        <v>5.3689690980987219</v>
      </c>
      <c r="E106" s="28">
        <f>TDIST(C106,ROUND(D106,0),1)</f>
        <v>3.8018760992156423E-3</v>
      </c>
      <c r="F106" s="28">
        <f>TINV(F104*2,ROUND(D106,0))</f>
        <v>2.0150483733330233</v>
      </c>
      <c r="G106" s="28"/>
      <c r="H106" s="28"/>
      <c r="I106" s="28" t="str">
        <f>IF(E106&lt;F104,"yes","no")</f>
        <v>yes</v>
      </c>
      <c r="J106" s="28">
        <f>SQRT(C106^2/(C106^2+D106))</f>
        <v>0.88102996384647103</v>
      </c>
      <c r="K106" s="28"/>
      <c r="L106" s="28" t="s">
        <v>301</v>
      </c>
      <c r="M106" s="358">
        <f>M102+M103*NORMSINV(M100)</f>
        <v>78.825248997405964</v>
      </c>
      <c r="N106" s="352">
        <f>M102+M103*NORMSINV(M100/2)</f>
        <v>68.063655633816566</v>
      </c>
      <c r="O106" s="28"/>
      <c r="P106" s="28"/>
    </row>
    <row r="107" spans="1:16" ht="18.75" customHeight="1" x14ac:dyDescent="0.25">
      <c r="A107" s="28" t="s">
        <v>286</v>
      </c>
      <c r="B107" s="369">
        <f>B106</f>
        <v>0.15090000312314006</v>
      </c>
      <c r="C107" s="369">
        <f t="shared" ref="C107:D107" si="34">C106</f>
        <v>4.3153843034883455</v>
      </c>
      <c r="D107" s="369">
        <f t="shared" si="34"/>
        <v>5.3689690980987219</v>
      </c>
      <c r="E107" s="28">
        <f>TDIST(C107,ROUND(D107,0),2)</f>
        <v>7.6037521984312845E-3</v>
      </c>
      <c r="F107" s="28">
        <f>TINV(F104,ROUND(D107,0))</f>
        <v>2.570581835636315</v>
      </c>
      <c r="G107" s="28">
        <f>(C95-C96)-F107*B107</f>
        <v>-1.0390923118997479</v>
      </c>
      <c r="H107" s="28">
        <f>(C95-C96)+F107*B107</f>
        <v>-0.26329069784813391</v>
      </c>
      <c r="I107" s="28" t="str">
        <f>IF(E107&lt;F104,"yes","no")</f>
        <v>yes</v>
      </c>
      <c r="J107" s="28">
        <f>J106</f>
        <v>0.88102996384647103</v>
      </c>
      <c r="K107" s="28"/>
      <c r="L107" s="28" t="s">
        <v>279</v>
      </c>
      <c r="M107" s="359">
        <f>1-NORMSDIST(M104)</f>
        <v>1.4124705460327736E-4</v>
      </c>
      <c r="N107" s="339">
        <f>2*M107</f>
        <v>2.8249410920655471E-4</v>
      </c>
      <c r="O107" s="28"/>
      <c r="P107" s="28"/>
    </row>
    <row r="108" spans="1:16" ht="18.75" customHeight="1" x14ac:dyDescent="0.25">
      <c r="A108" s="354"/>
      <c r="B108" s="354"/>
      <c r="C108" s="354"/>
      <c r="D108" s="354"/>
      <c r="E108" s="354"/>
      <c r="F108" s="354"/>
      <c r="G108" s="354"/>
      <c r="H108" s="354"/>
      <c r="I108" s="354"/>
      <c r="J108" s="354"/>
      <c r="K108" s="28"/>
      <c r="L108" s="28" t="s">
        <v>302</v>
      </c>
      <c r="M108" s="360" t="str">
        <f>IF(M107&lt;M100,"yes","no")</f>
        <v>yes</v>
      </c>
      <c r="N108" s="361" t="str">
        <f>IF(N107&lt;M100,"yes","no")</f>
        <v>yes</v>
      </c>
      <c r="O108" s="28"/>
      <c r="P108" s="28"/>
    </row>
    <row r="109" spans="1:16" ht="18.75" customHeight="1" x14ac:dyDescent="0.25">
      <c r="A109" s="28"/>
      <c r="B109" s="369"/>
      <c r="C109" s="369"/>
      <c r="D109" s="28"/>
      <c r="E109" s="28"/>
      <c r="F109" s="28"/>
      <c r="G109" s="28"/>
      <c r="H109" s="28"/>
      <c r="I109" s="28"/>
      <c r="J109" s="28"/>
      <c r="K109" s="28"/>
      <c r="L109" s="28"/>
      <c r="M109" s="28"/>
      <c r="N109" s="28"/>
      <c r="O109" s="28"/>
      <c r="P109" s="28"/>
    </row>
    <row r="110" spans="1:16" ht="18.75" customHeight="1" x14ac:dyDescent="0.25">
      <c r="A110" s="28"/>
      <c r="B110" s="28"/>
      <c r="C110" s="28"/>
      <c r="D110" s="28"/>
      <c r="E110" s="28"/>
      <c r="F110" s="28"/>
      <c r="G110" s="28"/>
      <c r="H110" s="28"/>
      <c r="I110" s="28"/>
      <c r="J110" s="28"/>
      <c r="K110" s="28"/>
      <c r="L110" s="28"/>
      <c r="M110" s="28"/>
      <c r="N110" s="28"/>
      <c r="O110" s="28"/>
      <c r="P110" s="28"/>
    </row>
    <row r="111" spans="1:16" ht="18.75" customHeight="1" x14ac:dyDescent="0.25">
      <c r="A111" s="28"/>
      <c r="B111" s="28"/>
      <c r="C111" s="28"/>
      <c r="D111" s="28"/>
      <c r="E111" s="28"/>
      <c r="F111" s="28"/>
      <c r="G111" s="28"/>
      <c r="H111" s="28"/>
      <c r="I111" s="28"/>
      <c r="J111" s="28"/>
      <c r="K111" s="28"/>
      <c r="L111" s="28"/>
      <c r="M111" s="28"/>
      <c r="N111" s="28"/>
      <c r="O111" s="28"/>
      <c r="P111" s="28"/>
    </row>
    <row r="112" spans="1:16" ht="18.75" customHeight="1" x14ac:dyDescent="0.25">
      <c r="A112" s="28"/>
      <c r="B112" s="28"/>
      <c r="C112" s="28"/>
      <c r="D112" s="28"/>
      <c r="E112" s="28"/>
      <c r="F112" s="28"/>
      <c r="G112" s="28"/>
      <c r="H112" s="28"/>
      <c r="I112" s="28"/>
      <c r="J112" s="28"/>
      <c r="K112" s="28"/>
      <c r="L112" s="28"/>
      <c r="M112" s="28"/>
      <c r="N112" s="28"/>
      <c r="O112" s="28"/>
      <c r="P112" s="28"/>
    </row>
    <row r="113" spans="1:16" ht="18.75" customHeight="1" x14ac:dyDescent="0.25">
      <c r="A113" s="28"/>
      <c r="B113" s="28"/>
      <c r="C113" s="28"/>
      <c r="D113" s="28"/>
      <c r="E113" s="28"/>
      <c r="F113" s="28"/>
      <c r="G113" s="28"/>
      <c r="H113" s="28"/>
      <c r="I113" s="28"/>
      <c r="J113" s="28"/>
      <c r="K113" s="28"/>
      <c r="L113" s="28"/>
      <c r="M113" s="28"/>
      <c r="N113" s="28"/>
      <c r="O113" s="28"/>
      <c r="P113" s="28"/>
    </row>
    <row r="114" spans="1:16" ht="18.75" customHeight="1" x14ac:dyDescent="0.25">
      <c r="A114" s="349" t="s">
        <v>306</v>
      </c>
      <c r="B114" s="28"/>
      <c r="C114" s="28"/>
      <c r="D114" s="28"/>
      <c r="E114" s="28"/>
      <c r="F114" s="28"/>
      <c r="G114" s="28"/>
      <c r="H114" s="28"/>
      <c r="I114" s="28"/>
      <c r="J114" s="28"/>
      <c r="K114" s="28"/>
      <c r="L114" s="28"/>
      <c r="M114" s="28"/>
      <c r="N114" s="28"/>
      <c r="O114" s="28"/>
      <c r="P114" s="28"/>
    </row>
    <row r="115" spans="1:16" ht="18.75" customHeight="1" x14ac:dyDescent="0.25">
      <c r="A115" s="28" t="s">
        <v>263</v>
      </c>
      <c r="B115" s="28"/>
      <c r="C115" s="28"/>
      <c r="D115" s="28"/>
      <c r="E115" s="28"/>
      <c r="F115" s="28"/>
      <c r="G115" s="28"/>
      <c r="H115" s="28"/>
      <c r="I115" s="28"/>
      <c r="J115" s="28"/>
      <c r="K115" s="28"/>
      <c r="L115" s="28" t="s">
        <v>288</v>
      </c>
      <c r="M115" s="28"/>
      <c r="N115" s="28"/>
      <c r="O115" s="28"/>
      <c r="P115" s="28"/>
    </row>
    <row r="116" spans="1:16" ht="18.75" customHeight="1" x14ac:dyDescent="0.25">
      <c r="A116" s="28"/>
      <c r="B116" s="28"/>
      <c r="C116" s="28"/>
      <c r="D116" s="28"/>
      <c r="E116" s="28"/>
      <c r="F116" s="28"/>
      <c r="G116" s="28"/>
      <c r="H116" s="28"/>
      <c r="I116" s="28"/>
      <c r="J116" s="28"/>
      <c r="K116" s="28"/>
      <c r="L116" s="28"/>
      <c r="M116" s="28"/>
      <c r="N116" s="28"/>
      <c r="O116" s="28"/>
      <c r="P116" s="28"/>
    </row>
    <row r="117" spans="1:16" ht="18.75" customHeight="1" thickBot="1" x14ac:dyDescent="0.3">
      <c r="A117" s="28" t="s">
        <v>264</v>
      </c>
      <c r="B117" s="28"/>
      <c r="C117" s="28"/>
      <c r="D117" s="28" t="s">
        <v>265</v>
      </c>
      <c r="E117" s="28">
        <v>0</v>
      </c>
      <c r="F117" s="28"/>
      <c r="G117" s="28"/>
      <c r="H117" s="28"/>
      <c r="I117" s="28"/>
      <c r="J117" s="28"/>
      <c r="K117" s="28"/>
      <c r="L117" s="28"/>
      <c r="M117" s="28" t="s">
        <v>289</v>
      </c>
      <c r="N117" s="28" t="s">
        <v>290</v>
      </c>
      <c r="O117" s="28"/>
      <c r="P117" s="28"/>
    </row>
    <row r="118" spans="1:16" ht="18.75" customHeight="1" thickTop="1" x14ac:dyDescent="0.25">
      <c r="A118" s="350" t="s">
        <v>266</v>
      </c>
      <c r="B118" s="350" t="s">
        <v>267</v>
      </c>
      <c r="C118" s="350" t="s">
        <v>117</v>
      </c>
      <c r="D118" s="350" t="s">
        <v>268</v>
      </c>
      <c r="E118" s="350" t="s">
        <v>269</v>
      </c>
      <c r="F118" s="28"/>
      <c r="G118" s="28"/>
      <c r="H118" s="28"/>
      <c r="I118" s="28"/>
      <c r="J118" s="28"/>
      <c r="K118" s="28"/>
      <c r="L118" s="28" t="s">
        <v>291</v>
      </c>
      <c r="M118" s="351">
        <f>COUNT(M6:M50)</f>
        <v>45</v>
      </c>
      <c r="N118" s="352">
        <f>COUNT(M71:M76)</f>
        <v>6</v>
      </c>
      <c r="O118" s="28"/>
      <c r="P118" s="28"/>
    </row>
    <row r="119" spans="1:16" ht="18.75" customHeight="1" x14ac:dyDescent="0.25">
      <c r="A119" s="28" t="s">
        <v>270</v>
      </c>
      <c r="B119" s="28">
        <f>COUNT(M6:M50)</f>
        <v>45</v>
      </c>
      <c r="C119" s="28">
        <f>AVERAGE(M6:M50)</f>
        <v>1.1828885753846281</v>
      </c>
      <c r="D119" s="28">
        <f>VAR(M6:M50)</f>
        <v>1.1979465697754432E-2</v>
      </c>
      <c r="E119" s="28"/>
      <c r="F119" s="28"/>
      <c r="G119" s="28"/>
      <c r="H119" s="28"/>
      <c r="I119" s="28"/>
      <c r="J119" s="28"/>
      <c r="K119" s="28"/>
      <c r="L119" s="28" t="s">
        <v>292</v>
      </c>
      <c r="M119" s="353">
        <f>MEDIAN(M6:M50)</f>
        <v>1.1760912590556813</v>
      </c>
      <c r="N119" s="339">
        <f>MEDIAN(M71:M76)</f>
        <v>1.1095301662244306</v>
      </c>
      <c r="O119" s="28"/>
      <c r="P119" s="28"/>
    </row>
    <row r="120" spans="1:16" ht="18.75" customHeight="1" x14ac:dyDescent="0.25">
      <c r="A120" s="28" t="s">
        <v>271</v>
      </c>
      <c r="B120" s="28">
        <f>COUNT(M71:M76)</f>
        <v>6</v>
      </c>
      <c r="C120" s="28">
        <f>AVERAGE(M71:M76)</f>
        <v>0.93719360475273417</v>
      </c>
      <c r="D120" s="28">
        <f>VAR(M71:M76)</f>
        <v>0.17635987141404197</v>
      </c>
      <c r="E120" s="28"/>
      <c r="F120" s="28"/>
      <c r="G120" s="28"/>
      <c r="H120" s="28"/>
      <c r="I120" s="28"/>
      <c r="J120" s="28"/>
      <c r="K120" s="28"/>
      <c r="L120" s="28" t="s">
        <v>293</v>
      </c>
      <c r="M120" s="353">
        <v>1212.5</v>
      </c>
      <c r="N120" s="339">
        <v>113.5</v>
      </c>
      <c r="O120" s="28"/>
      <c r="P120" s="28"/>
    </row>
    <row r="121" spans="1:16" ht="18.75" customHeight="1" x14ac:dyDescent="0.25">
      <c r="A121" s="354" t="s">
        <v>272</v>
      </c>
      <c r="B121" s="354"/>
      <c r="C121" s="354"/>
      <c r="D121" s="354">
        <f>((B119-1)*D119+(B120-1)*D120)/(B119+B120-2)</f>
        <v>2.8752976485130713E-2</v>
      </c>
      <c r="E121" s="354">
        <f>ABS(C119-C120-E117)/SQRT(D121)</f>
        <v>1.448954880346998</v>
      </c>
      <c r="F121" s="28"/>
      <c r="G121" s="28"/>
      <c r="H121" s="28"/>
      <c r="I121" s="28"/>
      <c r="J121" s="28"/>
      <c r="K121" s="28"/>
      <c r="L121" s="28" t="s">
        <v>294</v>
      </c>
      <c r="M121" s="355">
        <f>M118*N118+M118*(M118+1)/2-M120</f>
        <v>92.5</v>
      </c>
      <c r="N121" s="356">
        <f>M118*N118+N118*(N118+1)/2-N120</f>
        <v>177.5</v>
      </c>
      <c r="O121" s="28"/>
      <c r="P121" s="28"/>
    </row>
    <row r="122" spans="1:16" ht="18.75" customHeight="1" x14ac:dyDescent="0.25">
      <c r="A122" s="28"/>
      <c r="B122" s="28"/>
      <c r="C122" s="28"/>
      <c r="D122" s="28"/>
      <c r="E122" s="28"/>
      <c r="F122" s="28"/>
      <c r="G122" s="28"/>
      <c r="H122" s="28"/>
      <c r="I122" s="28"/>
      <c r="J122" s="28"/>
      <c r="K122" s="28"/>
      <c r="L122" s="28"/>
      <c r="M122" s="28"/>
      <c r="N122" s="28"/>
      <c r="O122" s="28"/>
      <c r="P122" s="28"/>
    </row>
    <row r="123" spans="1:16" ht="18.75" customHeight="1" thickBot="1" x14ac:dyDescent="0.3">
      <c r="A123" s="28" t="s">
        <v>273</v>
      </c>
      <c r="B123" s="28"/>
      <c r="C123" s="28"/>
      <c r="D123" s="28"/>
      <c r="E123" s="28" t="s">
        <v>274</v>
      </c>
      <c r="F123" s="28">
        <v>0.05</v>
      </c>
      <c r="G123" s="28"/>
      <c r="H123" s="28"/>
      <c r="I123" s="28"/>
      <c r="J123" s="28"/>
      <c r="K123" s="28"/>
      <c r="L123" s="28"/>
      <c r="M123" s="357" t="s">
        <v>295</v>
      </c>
      <c r="N123" s="357" t="s">
        <v>296</v>
      </c>
      <c r="O123" s="28"/>
      <c r="P123" s="28"/>
    </row>
    <row r="124" spans="1:16" ht="18.75" customHeight="1" thickTop="1" x14ac:dyDescent="0.25">
      <c r="A124" s="350" t="s">
        <v>275</v>
      </c>
      <c r="B124" s="350" t="s">
        <v>276</v>
      </c>
      <c r="C124" s="350" t="s">
        <v>277</v>
      </c>
      <c r="D124" s="350" t="s">
        <v>278</v>
      </c>
      <c r="E124" s="350" t="s">
        <v>279</v>
      </c>
      <c r="F124" s="350" t="s">
        <v>280</v>
      </c>
      <c r="G124" s="350" t="s">
        <v>281</v>
      </c>
      <c r="H124" s="350" t="s">
        <v>282</v>
      </c>
      <c r="I124" s="350" t="s">
        <v>283</v>
      </c>
      <c r="J124" s="350" t="s">
        <v>284</v>
      </c>
      <c r="K124" s="28"/>
      <c r="L124" s="28" t="s">
        <v>297</v>
      </c>
      <c r="M124" s="358">
        <v>0.05</v>
      </c>
      <c r="N124" s="28"/>
      <c r="O124" s="28"/>
      <c r="P124" s="28"/>
    </row>
    <row r="125" spans="1:16" ht="18.75" customHeight="1" x14ac:dyDescent="0.25">
      <c r="A125" s="28" t="s">
        <v>285</v>
      </c>
      <c r="B125" s="28">
        <f>SQRT(D121*(1/B119+1/B120))</f>
        <v>7.3696117811759193E-2</v>
      </c>
      <c r="C125" s="28">
        <f>(ABS(C119-C120-E117))/B125</f>
        <v>3.3338929909370347</v>
      </c>
      <c r="D125" s="28">
        <f>B119+B120-2</f>
        <v>49</v>
      </c>
      <c r="E125" s="28">
        <f>TDIST(C125,D125,1)</f>
        <v>8.1860153029031932E-4</v>
      </c>
      <c r="F125" s="28">
        <f>TINV(F123*2,D125)</f>
        <v>1.6765508926168529</v>
      </c>
      <c r="G125" s="28"/>
      <c r="H125" s="28"/>
      <c r="I125" s="28" t="str">
        <f>IF(E125&lt;F123,"yes","no")</f>
        <v>yes</v>
      </c>
      <c r="J125" s="28">
        <f>SQRT(C125^2/(C125^2+D125))</f>
        <v>0.42999241950808792</v>
      </c>
      <c r="K125" s="28"/>
      <c r="L125" s="28" t="s">
        <v>294</v>
      </c>
      <c r="M125" s="359">
        <f>MIN(M121,N121)</f>
        <v>92.5</v>
      </c>
      <c r="N125" s="28"/>
      <c r="O125" s="28"/>
      <c r="P125" s="28"/>
    </row>
    <row r="126" spans="1:16" ht="18.75" customHeight="1" x14ac:dyDescent="0.25">
      <c r="A126" s="28" t="s">
        <v>286</v>
      </c>
      <c r="B126" s="28">
        <f>B125</f>
        <v>7.3696117811759193E-2</v>
      </c>
      <c r="C126" s="28">
        <f t="shared" ref="C126:D126" si="35">C125</f>
        <v>3.3338929909370347</v>
      </c>
      <c r="D126" s="28">
        <f t="shared" si="35"/>
        <v>49</v>
      </c>
      <c r="E126" s="28">
        <f>TDIST(C126,D126,2)</f>
        <v>1.6372030605806386E-3</v>
      </c>
      <c r="F126" s="28">
        <f>TINV(F123,D126)</f>
        <v>2.0095752371292388</v>
      </c>
      <c r="G126" s="28">
        <f>(C119-C120)-F126*B126</f>
        <v>9.7597077204823635E-2</v>
      </c>
      <c r="H126" s="28">
        <f>(C119-C120)+F126*B126</f>
        <v>0.39379286405896424</v>
      </c>
      <c r="I126" s="28" t="str">
        <f>IF(E126&lt;F123,"yes","no")</f>
        <v>yes</v>
      </c>
      <c r="J126" s="28">
        <f>J125</f>
        <v>0.42999241950808792</v>
      </c>
      <c r="K126" s="28"/>
      <c r="L126" s="28" t="s">
        <v>298</v>
      </c>
      <c r="M126" s="359">
        <f>M118*N118/2</f>
        <v>135</v>
      </c>
      <c r="N126" s="28"/>
      <c r="O126" s="28"/>
      <c r="P126" s="28"/>
    </row>
    <row r="127" spans="1:16" ht="18.75" customHeight="1" x14ac:dyDescent="0.25">
      <c r="A127" s="354"/>
      <c r="B127" s="354"/>
      <c r="C127" s="354"/>
      <c r="D127" s="354"/>
      <c r="E127" s="354"/>
      <c r="F127" s="354"/>
      <c r="G127" s="354"/>
      <c r="H127" s="354"/>
      <c r="I127" s="354"/>
      <c r="J127" s="354"/>
      <c r="K127" s="28"/>
      <c r="L127" s="28" t="s">
        <v>299</v>
      </c>
      <c r="M127" s="359">
        <v>34.06257218017177</v>
      </c>
      <c r="N127" s="28" t="s">
        <v>300</v>
      </c>
      <c r="O127" s="28"/>
      <c r="P127" s="28"/>
    </row>
    <row r="128" spans="1:16" ht="18.75" customHeight="1" thickBot="1" x14ac:dyDescent="0.3">
      <c r="A128" s="28" t="s">
        <v>287</v>
      </c>
      <c r="B128" s="28"/>
      <c r="C128" s="28"/>
      <c r="D128" s="28"/>
      <c r="E128" s="28" t="s">
        <v>274</v>
      </c>
      <c r="F128" s="28">
        <f>F123</f>
        <v>0.05</v>
      </c>
      <c r="G128" s="28"/>
      <c r="H128" s="28"/>
      <c r="I128" s="28"/>
      <c r="J128" s="28"/>
      <c r="K128" s="28"/>
      <c r="L128" s="28" t="s">
        <v>19</v>
      </c>
      <c r="M128" s="359">
        <f>ABS(STANDARDIZE(M125,M126,M127))</f>
        <v>1.2477037780705169</v>
      </c>
      <c r="N128" s="28"/>
      <c r="O128" s="28"/>
      <c r="P128" s="28"/>
    </row>
    <row r="129" spans="1:16" ht="18.75" customHeight="1" thickTop="1" x14ac:dyDescent="0.25">
      <c r="A129" s="350" t="s">
        <v>275</v>
      </c>
      <c r="B129" s="350" t="s">
        <v>276</v>
      </c>
      <c r="C129" s="350" t="s">
        <v>277</v>
      </c>
      <c r="D129" s="350" t="s">
        <v>278</v>
      </c>
      <c r="E129" s="350" t="s">
        <v>279</v>
      </c>
      <c r="F129" s="350" t="s">
        <v>280</v>
      </c>
      <c r="G129" s="350" t="s">
        <v>281</v>
      </c>
      <c r="H129" s="350" t="s">
        <v>282</v>
      </c>
      <c r="I129" s="350" t="s">
        <v>283</v>
      </c>
      <c r="J129" s="350" t="s">
        <v>284</v>
      </c>
      <c r="K129" s="28"/>
      <c r="L129" s="28" t="s">
        <v>284</v>
      </c>
      <c r="M129" s="359">
        <f>M128/SQRT(M118+N118)</f>
        <v>0.17471347511986487</v>
      </c>
      <c r="N129" s="28"/>
      <c r="O129" s="28"/>
      <c r="P129" s="28"/>
    </row>
    <row r="130" spans="1:16" ht="18.75" customHeight="1" x14ac:dyDescent="0.25">
      <c r="A130" s="28" t="s">
        <v>285</v>
      </c>
      <c r="B130" s="28">
        <f>SQRT(D119/B119+D120/B120)</f>
        <v>0.17221940149466122</v>
      </c>
      <c r="C130" s="28">
        <f>(ABS(C119-C120-E117))/B130</f>
        <v>1.4266393246031019</v>
      </c>
      <c r="D130" s="28">
        <f>(D119/B119+D120/B120)^2/((D119/B119)^2/(B119-1)+(D120/B120)^2/(B120-1))</f>
        <v>5.0909310185727161</v>
      </c>
      <c r="E130" s="28">
        <f>TDIST(C130,ROUND(D130,0),1)</f>
        <v>0.1065125240334651</v>
      </c>
      <c r="F130" s="28">
        <f>TINV(F128*2,ROUND(D130,0))</f>
        <v>2.0150483733330233</v>
      </c>
      <c r="G130" s="28"/>
      <c r="H130" s="28"/>
      <c r="I130" s="28" t="str">
        <f>IF(E130&lt;F128,"yes","no")</f>
        <v>no</v>
      </c>
      <c r="J130" s="28">
        <f>SQRT(C130^2/(C130^2+D130))</f>
        <v>0.53442190351883034</v>
      </c>
      <c r="K130" s="28"/>
      <c r="L130" s="28" t="s">
        <v>301</v>
      </c>
      <c r="M130" s="358">
        <f>M126+M127*NORMSINV(M124)</f>
        <v>78.972054606148134</v>
      </c>
      <c r="N130" s="352">
        <f>M126+M127*NORMSINV(M124/2)</f>
        <v>68.23858530606735</v>
      </c>
      <c r="O130" s="28"/>
      <c r="P130" s="28"/>
    </row>
    <row r="131" spans="1:16" ht="18.75" customHeight="1" x14ac:dyDescent="0.25">
      <c r="A131" s="28" t="s">
        <v>286</v>
      </c>
      <c r="B131" s="28">
        <f>B130</f>
        <v>0.17221940149466122</v>
      </c>
      <c r="C131" s="28">
        <f t="shared" ref="C131:D131" si="36">C130</f>
        <v>1.4266393246031019</v>
      </c>
      <c r="D131" s="28">
        <f t="shared" si="36"/>
        <v>5.0909310185727161</v>
      </c>
      <c r="E131" s="28">
        <f>TDIST(C131,ROUND(D131,0),2)</f>
        <v>0.21302504806693021</v>
      </c>
      <c r="F131" s="28">
        <f>TINV(F128,ROUND(D131,0))</f>
        <v>2.570581835636315</v>
      </c>
      <c r="G131" s="28">
        <f>(C119-C120)-F131*B131</f>
        <v>-0.19700909459443983</v>
      </c>
      <c r="H131" s="28">
        <f>(C119-C120)+F131*B131</f>
        <v>0.6883990358582277</v>
      </c>
      <c r="I131" s="28" t="str">
        <f>IF(E131&lt;F128,"yes","no")</f>
        <v>no</v>
      </c>
      <c r="J131" s="28">
        <f>J130</f>
        <v>0.53442190351883034</v>
      </c>
      <c r="K131" s="28"/>
      <c r="L131" s="28" t="s">
        <v>279</v>
      </c>
      <c r="M131" s="359">
        <f>1-NORMSDIST(M128)</f>
        <v>0.10606977861030209</v>
      </c>
      <c r="N131" s="339">
        <f>2*M131</f>
        <v>0.21213955722060418</v>
      </c>
      <c r="O131" s="28"/>
      <c r="P131" s="28"/>
    </row>
    <row r="132" spans="1:16" ht="18.75" customHeight="1" x14ac:dyDescent="0.25">
      <c r="A132" s="354"/>
      <c r="B132" s="354"/>
      <c r="C132" s="354"/>
      <c r="D132" s="354"/>
      <c r="E132" s="354"/>
      <c r="F132" s="354"/>
      <c r="G132" s="354"/>
      <c r="H132" s="354"/>
      <c r="I132" s="354"/>
      <c r="J132" s="354"/>
      <c r="K132" s="28"/>
      <c r="L132" s="28" t="s">
        <v>302</v>
      </c>
      <c r="M132" s="360" t="str">
        <f>IF(M131&lt;M124,"yes","no")</f>
        <v>no</v>
      </c>
      <c r="N132" s="361" t="str">
        <f>IF(N131&lt;M124,"yes","no")</f>
        <v>no</v>
      </c>
      <c r="O132" s="28"/>
      <c r="P132" s="28"/>
    </row>
    <row r="133" spans="1:16" ht="18.75" customHeight="1" x14ac:dyDescent="0.25">
      <c r="A133" s="28"/>
      <c r="B133" s="28"/>
      <c r="C133" s="28"/>
      <c r="D133" s="28"/>
      <c r="E133" s="28"/>
      <c r="F133" s="28"/>
      <c r="G133" s="28"/>
      <c r="H133" s="28"/>
      <c r="I133" s="28"/>
      <c r="J133" s="28"/>
      <c r="K133" s="28"/>
      <c r="L133" s="28"/>
      <c r="M133" s="28"/>
      <c r="N133" s="28"/>
      <c r="O133" s="28"/>
      <c r="P133" s="28"/>
    </row>
    <row r="134" spans="1:16" ht="18.75" customHeight="1" x14ac:dyDescent="0.25">
      <c r="A134" s="28"/>
      <c r="B134" s="28"/>
      <c r="C134" s="28"/>
      <c r="D134" s="28"/>
      <c r="E134" s="28"/>
      <c r="F134" s="28"/>
      <c r="G134" s="28"/>
      <c r="H134" s="28"/>
      <c r="I134" s="28"/>
      <c r="J134" s="28"/>
      <c r="K134" s="28"/>
      <c r="L134" s="28"/>
      <c r="M134" s="28"/>
      <c r="N134" s="28"/>
      <c r="O134" s="28"/>
      <c r="P134" s="28"/>
    </row>
    <row r="135" spans="1:16" ht="18.75" customHeight="1" x14ac:dyDescent="0.25">
      <c r="A135" s="28"/>
      <c r="B135" s="28"/>
      <c r="C135" s="28"/>
      <c r="D135" s="28"/>
      <c r="E135" s="28"/>
      <c r="F135" s="28"/>
      <c r="G135" s="28"/>
      <c r="H135" s="28"/>
      <c r="I135" s="28"/>
      <c r="J135" s="28"/>
      <c r="K135" s="28"/>
      <c r="L135" s="28"/>
      <c r="M135" s="28"/>
      <c r="N135" s="28"/>
      <c r="O135" s="28"/>
      <c r="P135" s="28"/>
    </row>
    <row r="136" spans="1:16" ht="18.75" customHeight="1" x14ac:dyDescent="0.25">
      <c r="A136" s="28"/>
      <c r="B136" s="28"/>
      <c r="C136" s="28"/>
      <c r="D136" s="28"/>
      <c r="E136" s="28"/>
      <c r="F136" s="28"/>
      <c r="G136" s="28"/>
      <c r="H136" s="28"/>
      <c r="I136" s="28"/>
      <c r="J136" s="28"/>
      <c r="K136" s="28"/>
      <c r="L136" s="28"/>
      <c r="M136" s="28"/>
      <c r="N136" s="28"/>
      <c r="O136" s="28"/>
      <c r="P136" s="28"/>
    </row>
    <row r="137" spans="1:16" ht="18.75" customHeight="1" x14ac:dyDescent="0.25">
      <c r="A137" s="28"/>
      <c r="B137" s="28"/>
      <c r="C137" s="28"/>
      <c r="D137" s="28"/>
      <c r="E137" s="28"/>
      <c r="F137" s="28"/>
      <c r="G137" s="28"/>
      <c r="H137" s="28"/>
      <c r="I137" s="28"/>
      <c r="J137" s="28"/>
      <c r="K137" s="28"/>
      <c r="L137" s="28"/>
      <c r="M137" s="28"/>
      <c r="N137" s="28"/>
      <c r="O137" s="28"/>
      <c r="P137" s="28"/>
    </row>
    <row r="138" spans="1:16" ht="18.75" customHeight="1" x14ac:dyDescent="0.25">
      <c r="A138" s="349" t="s">
        <v>307</v>
      </c>
      <c r="B138" s="28"/>
      <c r="C138" s="28"/>
      <c r="D138" s="28"/>
      <c r="E138" s="28"/>
      <c r="F138" s="28"/>
      <c r="G138" s="28"/>
      <c r="H138" s="28"/>
      <c r="I138" s="28"/>
      <c r="J138" s="28"/>
      <c r="K138" s="28"/>
      <c r="L138" s="28"/>
      <c r="M138" s="28"/>
      <c r="N138" s="28"/>
      <c r="O138" s="28"/>
      <c r="P138" s="28"/>
    </row>
    <row r="139" spans="1:16" ht="18.75" customHeight="1" x14ac:dyDescent="0.25">
      <c r="A139" s="28" t="s">
        <v>263</v>
      </c>
      <c r="B139" s="28"/>
      <c r="C139" s="28"/>
      <c r="D139" s="28"/>
      <c r="E139" s="28"/>
      <c r="F139" s="28"/>
      <c r="G139" s="28"/>
      <c r="H139" s="28"/>
      <c r="I139" s="28"/>
      <c r="J139" s="28"/>
      <c r="K139" s="28"/>
      <c r="L139" s="28" t="s">
        <v>288</v>
      </c>
      <c r="M139" s="28"/>
      <c r="N139" s="28"/>
      <c r="O139" s="28"/>
      <c r="P139" s="28"/>
    </row>
    <row r="140" spans="1:16" ht="18.75" customHeight="1" x14ac:dyDescent="0.25">
      <c r="A140" s="28"/>
      <c r="B140" s="28"/>
      <c r="C140" s="28"/>
      <c r="D140" s="28"/>
      <c r="E140" s="28"/>
      <c r="F140" s="28"/>
      <c r="G140" s="28"/>
      <c r="H140" s="28"/>
      <c r="I140" s="28"/>
      <c r="J140" s="28"/>
      <c r="K140" s="28"/>
      <c r="L140" s="28"/>
      <c r="M140" s="28"/>
      <c r="N140" s="28"/>
      <c r="O140" s="28"/>
      <c r="P140" s="28"/>
    </row>
    <row r="141" spans="1:16" ht="18.75" customHeight="1" thickBot="1" x14ac:dyDescent="0.3">
      <c r="A141" s="28" t="s">
        <v>264</v>
      </c>
      <c r="B141" s="28"/>
      <c r="C141" s="28"/>
      <c r="D141" s="28" t="s">
        <v>265</v>
      </c>
      <c r="E141" s="28">
        <v>0</v>
      </c>
      <c r="F141" s="28"/>
      <c r="G141" s="28"/>
      <c r="H141" s="28"/>
      <c r="I141" s="28"/>
      <c r="J141" s="28"/>
      <c r="K141" s="28"/>
      <c r="L141" s="28"/>
      <c r="M141" s="28" t="s">
        <v>289</v>
      </c>
      <c r="N141" s="28" t="s">
        <v>290</v>
      </c>
      <c r="O141" s="28"/>
      <c r="P141" s="28"/>
    </row>
    <row r="142" spans="1:16" ht="18.75" customHeight="1" thickTop="1" x14ac:dyDescent="0.25">
      <c r="A142" s="350" t="s">
        <v>266</v>
      </c>
      <c r="B142" s="350" t="s">
        <v>267</v>
      </c>
      <c r="C142" s="350" t="s">
        <v>117</v>
      </c>
      <c r="D142" s="350" t="s">
        <v>268</v>
      </c>
      <c r="E142" s="350" t="s">
        <v>269</v>
      </c>
      <c r="F142" s="28"/>
      <c r="G142" s="28"/>
      <c r="H142" s="28"/>
      <c r="I142" s="28"/>
      <c r="J142" s="28"/>
      <c r="K142" s="28"/>
      <c r="L142" s="28" t="s">
        <v>291</v>
      </c>
      <c r="M142" s="351">
        <f>COUNT(N6:N50)</f>
        <v>45</v>
      </c>
      <c r="N142" s="352">
        <f>COUNT(N71:N76)</f>
        <v>6</v>
      </c>
      <c r="O142" s="28"/>
      <c r="P142" s="28"/>
    </row>
    <row r="143" spans="1:16" ht="18.75" customHeight="1" x14ac:dyDescent="0.25">
      <c r="A143" s="28" t="s">
        <v>270</v>
      </c>
      <c r="B143" s="28">
        <f>COUNT(N6:N50)</f>
        <v>45</v>
      </c>
      <c r="C143" s="28">
        <f>AVERAGE(N6:N50)</f>
        <v>4.124376415332474</v>
      </c>
      <c r="D143" s="28">
        <f>VAR(N6:N50)</f>
        <v>6.0891044803108169E-3</v>
      </c>
      <c r="E143" s="28"/>
      <c r="F143" s="28"/>
      <c r="G143" s="28"/>
      <c r="H143" s="28"/>
      <c r="I143" s="28"/>
      <c r="J143" s="28"/>
      <c r="K143" s="28"/>
      <c r="L143" s="28" t="s">
        <v>292</v>
      </c>
      <c r="M143" s="353">
        <f>MEDIAN(N6:N50)</f>
        <v>4.1139433523068369</v>
      </c>
      <c r="N143" s="339">
        <f>MEDIAN(N71:N76)</f>
        <v>3.7298055439710951</v>
      </c>
      <c r="O143" s="28"/>
      <c r="P143" s="28"/>
    </row>
    <row r="144" spans="1:16" ht="18.75" customHeight="1" x14ac:dyDescent="0.25">
      <c r="A144" s="28" t="s">
        <v>271</v>
      </c>
      <c r="B144" s="28">
        <f>COUNT(N71:N76)</f>
        <v>6</v>
      </c>
      <c r="C144" s="28">
        <f>AVERAGE(N71:N76)</f>
        <v>3.6509539849693051</v>
      </c>
      <c r="D144" s="28">
        <f>VAR(N71:N76)</f>
        <v>0.30321305810896887</v>
      </c>
      <c r="E144" s="28"/>
      <c r="F144" s="28"/>
      <c r="G144" s="28"/>
      <c r="H144" s="28"/>
      <c r="I144" s="28"/>
      <c r="J144" s="28"/>
      <c r="K144" s="28"/>
      <c r="L144" s="28" t="s">
        <v>293</v>
      </c>
      <c r="M144" s="353">
        <v>1241</v>
      </c>
      <c r="N144" s="339">
        <v>85</v>
      </c>
      <c r="O144" s="28"/>
      <c r="P144" s="28"/>
    </row>
    <row r="145" spans="1:16" ht="18.75" customHeight="1" x14ac:dyDescent="0.25">
      <c r="A145" s="354" t="s">
        <v>272</v>
      </c>
      <c r="B145" s="354"/>
      <c r="C145" s="354"/>
      <c r="D145" s="354">
        <f>((B143-1)*D143+(B144-1)*D144)/(B143+B144-2)</f>
        <v>3.6407875258745316E-2</v>
      </c>
      <c r="E145" s="354">
        <f>ABS(C143-C144-E141)/SQRT(D145)</f>
        <v>2.4811393887841349</v>
      </c>
      <c r="F145" s="28"/>
      <c r="G145" s="28"/>
      <c r="H145" s="28"/>
      <c r="I145" s="28"/>
      <c r="J145" s="28"/>
      <c r="K145" s="28"/>
      <c r="L145" s="28" t="s">
        <v>294</v>
      </c>
      <c r="M145" s="355">
        <f>M142*N142+M142*(M142+1)/2-M144</f>
        <v>64</v>
      </c>
      <c r="N145" s="356">
        <f>M142*N142+N142*(N142+1)/2-N144</f>
        <v>206</v>
      </c>
      <c r="O145" s="28"/>
      <c r="P145" s="28"/>
    </row>
    <row r="146" spans="1:16" ht="18.75" customHeight="1" x14ac:dyDescent="0.25">
      <c r="A146" s="28"/>
      <c r="B146" s="28"/>
      <c r="C146" s="28"/>
      <c r="D146" s="28"/>
      <c r="E146" s="28"/>
      <c r="F146" s="28"/>
      <c r="G146" s="28"/>
      <c r="H146" s="28"/>
      <c r="I146" s="28"/>
      <c r="J146" s="28"/>
      <c r="K146" s="28"/>
      <c r="L146" s="28"/>
      <c r="M146" s="28"/>
      <c r="N146" s="28"/>
      <c r="O146" s="28"/>
      <c r="P146" s="28"/>
    </row>
    <row r="147" spans="1:16" ht="18.75" customHeight="1" thickBot="1" x14ac:dyDescent="0.3">
      <c r="A147" s="28" t="s">
        <v>273</v>
      </c>
      <c r="B147" s="28"/>
      <c r="C147" s="28"/>
      <c r="D147" s="28"/>
      <c r="E147" s="28" t="s">
        <v>274</v>
      </c>
      <c r="F147" s="28">
        <v>0.05</v>
      </c>
      <c r="G147" s="28"/>
      <c r="H147" s="28"/>
      <c r="I147" s="28"/>
      <c r="J147" s="28"/>
      <c r="K147" s="28"/>
      <c r="L147" s="28"/>
      <c r="M147" s="357" t="s">
        <v>295</v>
      </c>
      <c r="N147" s="357" t="s">
        <v>296</v>
      </c>
      <c r="O147" s="28"/>
      <c r="P147" s="28"/>
    </row>
    <row r="148" spans="1:16" ht="18.75" customHeight="1" thickTop="1" x14ac:dyDescent="0.25">
      <c r="A148" s="350" t="s">
        <v>275</v>
      </c>
      <c r="B148" s="350" t="s">
        <v>276</v>
      </c>
      <c r="C148" s="350" t="s">
        <v>277</v>
      </c>
      <c r="D148" s="350" t="s">
        <v>278</v>
      </c>
      <c r="E148" s="350" t="s">
        <v>279</v>
      </c>
      <c r="F148" s="350" t="s">
        <v>280</v>
      </c>
      <c r="G148" s="350" t="s">
        <v>281</v>
      </c>
      <c r="H148" s="350" t="s">
        <v>282</v>
      </c>
      <c r="I148" s="350" t="s">
        <v>283</v>
      </c>
      <c r="J148" s="350" t="s">
        <v>284</v>
      </c>
      <c r="K148" s="28"/>
      <c r="L148" s="28" t="s">
        <v>297</v>
      </c>
      <c r="M148" s="358">
        <v>0.05</v>
      </c>
      <c r="N148" s="28"/>
      <c r="O148" s="28"/>
      <c r="P148" s="28"/>
    </row>
    <row r="149" spans="1:16" ht="18.75" customHeight="1" x14ac:dyDescent="0.25">
      <c r="A149" s="28" t="s">
        <v>285</v>
      </c>
      <c r="B149" s="28">
        <f>SQRT(D145*(1/B143+1/B144))</f>
        <v>8.292793922695578E-2</v>
      </c>
      <c r="C149" s="28">
        <f>(ABS(C143-C144-E141))/B149</f>
        <v>5.708841130942786</v>
      </c>
      <c r="D149" s="28">
        <f>B143+B144-2</f>
        <v>49</v>
      </c>
      <c r="E149" s="28">
        <f>TDIST(C149,D149,1)</f>
        <v>3.2768075312516014E-7</v>
      </c>
      <c r="F149" s="28">
        <f>TINV(F147*2,D149)</f>
        <v>1.6765508926168529</v>
      </c>
      <c r="G149" s="28"/>
      <c r="H149" s="28"/>
      <c r="I149" s="28" t="str">
        <f>IF(E149&lt;F147,"yes","no")</f>
        <v>yes</v>
      </c>
      <c r="J149" s="28">
        <f>SQRT(C149^2/(C149^2+D149))</f>
        <v>0.63201470517018943</v>
      </c>
      <c r="K149" s="28"/>
      <c r="L149" s="28" t="s">
        <v>294</v>
      </c>
      <c r="M149" s="359">
        <f>MIN(M145,N145)</f>
        <v>64</v>
      </c>
      <c r="N149" s="28"/>
      <c r="O149" s="28"/>
      <c r="P149" s="28"/>
    </row>
    <row r="150" spans="1:16" ht="18.75" customHeight="1" x14ac:dyDescent="0.25">
      <c r="A150" s="28" t="s">
        <v>286</v>
      </c>
      <c r="B150" s="28">
        <f>B149</f>
        <v>8.292793922695578E-2</v>
      </c>
      <c r="C150" s="28">
        <f t="shared" ref="C150:D150" si="37">C149</f>
        <v>5.708841130942786</v>
      </c>
      <c r="D150" s="28">
        <f t="shared" si="37"/>
        <v>49</v>
      </c>
      <c r="E150" s="28">
        <f>TDIST(C150,D150,2)</f>
        <v>6.5536150625032028E-7</v>
      </c>
      <c r="F150" s="28">
        <f>TINV(F147,D150)</f>
        <v>2.0095752371292388</v>
      </c>
      <c r="G150" s="28">
        <f>(C143-C144)-F150*B150</f>
        <v>0.30677249722652011</v>
      </c>
      <c r="H150" s="28">
        <f>(C143-C144)+F150*B150</f>
        <v>0.64007236349981766</v>
      </c>
      <c r="I150" s="28" t="str">
        <f>IF(E150&lt;F147,"yes","no")</f>
        <v>yes</v>
      </c>
      <c r="J150" s="28">
        <f>J149</f>
        <v>0.63201470517018943</v>
      </c>
      <c r="K150" s="28"/>
      <c r="L150" s="28" t="s">
        <v>298</v>
      </c>
      <c r="M150" s="359">
        <f>M142*N142/2</f>
        <v>135</v>
      </c>
      <c r="N150" s="28"/>
      <c r="O150" s="28"/>
      <c r="P150" s="28"/>
    </row>
    <row r="151" spans="1:16" ht="18.75" customHeight="1" x14ac:dyDescent="0.25">
      <c r="A151" s="354"/>
      <c r="B151" s="354"/>
      <c r="C151" s="354"/>
      <c r="D151" s="354"/>
      <c r="E151" s="354"/>
      <c r="F151" s="354"/>
      <c r="G151" s="354"/>
      <c r="H151" s="354"/>
      <c r="I151" s="354"/>
      <c r="J151" s="354"/>
      <c r="K151" s="28"/>
      <c r="L151" s="28" t="s">
        <v>299</v>
      </c>
      <c r="M151" s="359">
        <v>33.92084210941357</v>
      </c>
      <c r="N151" s="28" t="s">
        <v>300</v>
      </c>
      <c r="O151" s="28"/>
      <c r="P151" s="28"/>
    </row>
    <row r="152" spans="1:16" ht="18.75" customHeight="1" thickBot="1" x14ac:dyDescent="0.3">
      <c r="A152" s="28" t="s">
        <v>287</v>
      </c>
      <c r="B152" s="28"/>
      <c r="C152" s="28"/>
      <c r="D152" s="28"/>
      <c r="E152" s="28" t="s">
        <v>274</v>
      </c>
      <c r="F152" s="28">
        <f>F147</f>
        <v>0.05</v>
      </c>
      <c r="G152" s="28"/>
      <c r="H152" s="28"/>
      <c r="I152" s="28"/>
      <c r="J152" s="28"/>
      <c r="K152" s="28"/>
      <c r="L152" s="28" t="s">
        <v>19</v>
      </c>
      <c r="M152" s="359">
        <f>ABS(STANDARDIZE(M149,M150,M151))</f>
        <v>2.0931084131397899</v>
      </c>
      <c r="N152" s="28"/>
      <c r="O152" s="28"/>
      <c r="P152" s="28"/>
    </row>
    <row r="153" spans="1:16" ht="18.75" customHeight="1" thickTop="1" x14ac:dyDescent="0.25">
      <c r="A153" s="350" t="s">
        <v>275</v>
      </c>
      <c r="B153" s="350" t="s">
        <v>276</v>
      </c>
      <c r="C153" s="350" t="s">
        <v>277</v>
      </c>
      <c r="D153" s="350" t="s">
        <v>278</v>
      </c>
      <c r="E153" s="350" t="s">
        <v>279</v>
      </c>
      <c r="F153" s="350" t="s">
        <v>280</v>
      </c>
      <c r="G153" s="350" t="s">
        <v>281</v>
      </c>
      <c r="H153" s="350" t="s">
        <v>282</v>
      </c>
      <c r="I153" s="350" t="s">
        <v>283</v>
      </c>
      <c r="J153" s="350" t="s">
        <v>284</v>
      </c>
      <c r="K153" s="28"/>
      <c r="L153" s="28" t="s">
        <v>284</v>
      </c>
      <c r="M153" s="359">
        <f>M152/SQRT(M142+N142)</f>
        <v>0.2930938024631119</v>
      </c>
      <c r="N153" s="28"/>
      <c r="O153" s="28"/>
      <c r="P153" s="28"/>
    </row>
    <row r="154" spans="1:16" ht="18.75" customHeight="1" x14ac:dyDescent="0.25">
      <c r="A154" s="28" t="s">
        <v>285</v>
      </c>
      <c r="B154" s="28">
        <f>SQRT(D143/B143+D144/B144)</f>
        <v>0.22510180611830713</v>
      </c>
      <c r="C154" s="28">
        <f>(ABS(C143-C144-E141))/B154</f>
        <v>2.103148075650497</v>
      </c>
      <c r="D154" s="28">
        <f>(D143/B143+D144/B144)^2/((D143/B143)^2/(B143-1)+(D144/B144)^2/(B144-1))</f>
        <v>5.0268076634364531</v>
      </c>
      <c r="E154" s="28">
        <f>TDIST(C154,ROUND(D154,0),1)</f>
        <v>4.4697727093743971E-2</v>
      </c>
      <c r="F154" s="28">
        <f>TINV(F152*2,ROUND(D154,0))</f>
        <v>2.0150483733330233</v>
      </c>
      <c r="G154" s="28"/>
      <c r="H154" s="28"/>
      <c r="I154" s="28" t="str">
        <f>IF(E154&lt;F152,"yes","no")</f>
        <v>yes</v>
      </c>
      <c r="J154" s="28">
        <f>SQRT(C154^2/(C154^2+D154))</f>
        <v>0.68415269061411743</v>
      </c>
      <c r="K154" s="28"/>
      <c r="L154" s="28" t="s">
        <v>301</v>
      </c>
      <c r="M154" s="358">
        <f>M150+M151*NORMSINV(M148)</f>
        <v>79.205179827082844</v>
      </c>
      <c r="N154" s="352">
        <f>M150+M151*NORMSINV(M148/2)</f>
        <v>68.51637114027973</v>
      </c>
      <c r="O154" s="28"/>
      <c r="P154" s="28"/>
    </row>
    <row r="155" spans="1:16" ht="18.75" customHeight="1" x14ac:dyDescent="0.25">
      <c r="A155" s="28" t="s">
        <v>286</v>
      </c>
      <c r="B155" s="28">
        <f>B154</f>
        <v>0.22510180611830713</v>
      </c>
      <c r="C155" s="28">
        <f t="shared" ref="C155:D155" si="38">C154</f>
        <v>2.103148075650497</v>
      </c>
      <c r="D155" s="28">
        <f t="shared" si="38"/>
        <v>5.0268076634364531</v>
      </c>
      <c r="E155" s="28">
        <f>TDIST(C155,ROUND(D155,0),2)</f>
        <v>8.9395454187487941E-2</v>
      </c>
      <c r="F155" s="28">
        <f>TINV(F152,ROUND(D155,0))</f>
        <v>2.570581835636315</v>
      </c>
      <c r="G155" s="28">
        <f>(C143-C144)-F155*B155</f>
        <v>-0.10522018361347896</v>
      </c>
      <c r="H155" s="28">
        <f>(C143-C144)+F155*B155</f>
        <v>1.0520650443398167</v>
      </c>
      <c r="I155" s="28" t="str">
        <f>IF(E155&lt;F152,"yes","no")</f>
        <v>no</v>
      </c>
      <c r="J155" s="28">
        <f>J154</f>
        <v>0.68415269061411743</v>
      </c>
      <c r="K155" s="28"/>
      <c r="L155" s="28" t="s">
        <v>279</v>
      </c>
      <c r="M155" s="359">
        <f>1-NORMSDIST(M152)</f>
        <v>1.8169738932350521E-2</v>
      </c>
      <c r="N155" s="339">
        <f>2*M155</f>
        <v>3.6339477864701042E-2</v>
      </c>
      <c r="O155" s="28"/>
      <c r="P155" s="28"/>
    </row>
    <row r="156" spans="1:16" ht="18.75" customHeight="1" x14ac:dyDescent="0.25">
      <c r="A156" s="354"/>
      <c r="B156" s="354"/>
      <c r="C156" s="354"/>
      <c r="D156" s="354"/>
      <c r="E156" s="354"/>
      <c r="F156" s="354"/>
      <c r="G156" s="354"/>
      <c r="H156" s="354"/>
      <c r="I156" s="354"/>
      <c r="J156" s="354"/>
      <c r="K156" s="28"/>
      <c r="L156" s="28" t="s">
        <v>302</v>
      </c>
      <c r="M156" s="360" t="str">
        <f>IF(M155&lt;M148,"yes","no")</f>
        <v>yes</v>
      </c>
      <c r="N156" s="361" t="str">
        <f>IF(N155&lt;M148,"yes","no")</f>
        <v>yes</v>
      </c>
      <c r="O156" s="28"/>
      <c r="P156" s="28"/>
    </row>
    <row r="157" spans="1:16" ht="18.75" customHeight="1" x14ac:dyDescent="0.25">
      <c r="A157" s="28"/>
      <c r="B157" s="28"/>
      <c r="C157" s="28"/>
      <c r="D157" s="28"/>
      <c r="E157" s="28"/>
      <c r="F157" s="28"/>
      <c r="G157" s="28"/>
      <c r="H157" s="28"/>
      <c r="I157" s="28"/>
      <c r="J157" s="28"/>
      <c r="K157" s="28"/>
      <c r="L157" s="28"/>
      <c r="M157" s="28"/>
      <c r="N157" s="28"/>
      <c r="O157" s="28"/>
      <c r="P157" s="28"/>
    </row>
    <row r="158" spans="1:16" ht="18.75" customHeight="1" x14ac:dyDescent="0.25">
      <c r="A158" s="28"/>
      <c r="B158" s="28"/>
      <c r="C158" s="28"/>
      <c r="D158" s="28"/>
      <c r="E158" s="28"/>
      <c r="F158" s="28"/>
      <c r="G158" s="28"/>
      <c r="H158" s="28"/>
      <c r="I158" s="28"/>
      <c r="J158" s="28"/>
      <c r="K158" s="28"/>
      <c r="L158" s="28"/>
      <c r="M158" s="28"/>
      <c r="N158" s="28"/>
      <c r="O158" s="28"/>
      <c r="P158" s="28"/>
    </row>
    <row r="159" spans="1:16" ht="18.75" customHeight="1" x14ac:dyDescent="0.25">
      <c r="A159" s="28"/>
      <c r="B159" s="28"/>
      <c r="C159" s="28"/>
      <c r="D159" s="28"/>
      <c r="E159" s="28"/>
      <c r="F159" s="28"/>
      <c r="G159" s="28"/>
      <c r="H159" s="28"/>
      <c r="I159" s="28"/>
      <c r="J159" s="28"/>
      <c r="K159" s="28"/>
      <c r="L159" s="28"/>
      <c r="M159" s="28"/>
      <c r="N159" s="28"/>
      <c r="O159" s="28"/>
      <c r="P159" s="28"/>
    </row>
    <row r="160" spans="1:16" ht="18.75" customHeight="1" x14ac:dyDescent="0.25">
      <c r="A160" s="28"/>
      <c r="B160" s="28"/>
      <c r="C160" s="28"/>
      <c r="D160" s="28"/>
      <c r="E160" s="28"/>
      <c r="F160" s="28"/>
      <c r="G160" s="28"/>
      <c r="H160" s="28"/>
      <c r="I160" s="28"/>
      <c r="J160" s="28"/>
      <c r="K160" s="28"/>
      <c r="L160" s="28"/>
      <c r="M160" s="28"/>
      <c r="N160" s="28"/>
      <c r="O160" s="28"/>
      <c r="P160" s="28"/>
    </row>
    <row r="161" spans="1:16" ht="18.75" customHeight="1" x14ac:dyDescent="0.25">
      <c r="A161" s="28"/>
      <c r="B161" s="28"/>
      <c r="C161" s="28"/>
      <c r="D161" s="28"/>
      <c r="E161" s="28"/>
      <c r="F161" s="28"/>
      <c r="G161" s="28"/>
      <c r="H161" s="28"/>
      <c r="I161" s="28"/>
      <c r="J161" s="28"/>
      <c r="K161" s="28"/>
      <c r="L161" s="28"/>
      <c r="M161" s="28"/>
      <c r="N161" s="28"/>
      <c r="O161" s="28"/>
      <c r="P161" s="28"/>
    </row>
    <row r="162" spans="1:16" ht="18.75" customHeight="1" x14ac:dyDescent="0.25">
      <c r="A162" s="28"/>
      <c r="B162" s="28"/>
      <c r="C162" s="28"/>
      <c r="D162" s="28"/>
      <c r="E162" s="28"/>
      <c r="F162" s="28"/>
      <c r="G162" s="28"/>
      <c r="H162" s="28"/>
      <c r="I162" s="28"/>
      <c r="J162" s="28"/>
      <c r="K162" s="28"/>
      <c r="L162" s="28"/>
      <c r="M162" s="28"/>
      <c r="N162" s="28"/>
      <c r="O162" s="28"/>
      <c r="P162" s="28"/>
    </row>
    <row r="163" spans="1:16" ht="18.75" customHeight="1" x14ac:dyDescent="0.25">
      <c r="A163" s="349" t="s">
        <v>308</v>
      </c>
      <c r="B163" s="28"/>
      <c r="C163" s="28"/>
      <c r="D163" s="28"/>
      <c r="E163" s="28"/>
      <c r="F163" s="28"/>
      <c r="G163" s="28"/>
      <c r="H163" s="28"/>
      <c r="I163" s="28"/>
      <c r="J163" s="28"/>
      <c r="K163" s="28"/>
      <c r="L163" s="28"/>
      <c r="M163" s="28"/>
      <c r="N163" s="28"/>
      <c r="O163" s="28"/>
      <c r="P163" s="28"/>
    </row>
    <row r="164" spans="1:16" ht="18.75" customHeight="1" x14ac:dyDescent="0.25">
      <c r="A164" s="28" t="s">
        <v>263</v>
      </c>
      <c r="B164" s="28"/>
      <c r="C164" s="28"/>
      <c r="D164" s="28"/>
      <c r="E164" s="28"/>
      <c r="F164" s="28"/>
      <c r="G164" s="28"/>
      <c r="H164" s="28"/>
      <c r="I164" s="28"/>
      <c r="J164" s="28"/>
      <c r="K164" s="28"/>
      <c r="L164" s="28" t="s">
        <v>288</v>
      </c>
      <c r="M164" s="28"/>
      <c r="N164" s="28"/>
      <c r="O164" s="28"/>
      <c r="P164" s="28"/>
    </row>
    <row r="165" spans="1:16" ht="18.75" customHeight="1" x14ac:dyDescent="0.25">
      <c r="A165" s="28"/>
      <c r="B165" s="28"/>
      <c r="C165" s="28"/>
      <c r="D165" s="28"/>
      <c r="E165" s="28"/>
      <c r="F165" s="28"/>
      <c r="G165" s="28"/>
      <c r="H165" s="28"/>
      <c r="I165" s="28"/>
      <c r="J165" s="28"/>
      <c r="K165" s="28"/>
      <c r="L165" s="28"/>
      <c r="M165" s="28"/>
      <c r="N165" s="28"/>
      <c r="O165" s="28"/>
      <c r="P165" s="28"/>
    </row>
    <row r="166" spans="1:16" ht="18.75" customHeight="1" thickBot="1" x14ac:dyDescent="0.3">
      <c r="A166" s="28" t="s">
        <v>264</v>
      </c>
      <c r="B166" s="28"/>
      <c r="C166" s="28"/>
      <c r="D166" s="28" t="s">
        <v>265</v>
      </c>
      <c r="E166" s="28">
        <v>0</v>
      </c>
      <c r="F166" s="28"/>
      <c r="G166" s="28"/>
      <c r="H166" s="28"/>
      <c r="I166" s="28"/>
      <c r="J166" s="28"/>
      <c r="K166" s="28"/>
      <c r="L166" s="28"/>
      <c r="M166" s="28" t="s">
        <v>289</v>
      </c>
      <c r="N166" s="28" t="s">
        <v>290</v>
      </c>
      <c r="O166" s="28"/>
      <c r="P166" s="28"/>
    </row>
    <row r="167" spans="1:16" ht="18.75" customHeight="1" thickTop="1" x14ac:dyDescent="0.25">
      <c r="A167" s="350" t="s">
        <v>266</v>
      </c>
      <c r="B167" s="350" t="s">
        <v>267</v>
      </c>
      <c r="C167" s="350" t="s">
        <v>117</v>
      </c>
      <c r="D167" s="350" t="s">
        <v>268</v>
      </c>
      <c r="E167" s="350" t="s">
        <v>269</v>
      </c>
      <c r="F167" s="28"/>
      <c r="G167" s="28"/>
      <c r="H167" s="28"/>
      <c r="I167" s="28"/>
      <c r="J167" s="28"/>
      <c r="K167" s="28"/>
      <c r="L167" s="28" t="s">
        <v>291</v>
      </c>
      <c r="M167" s="351">
        <f>COUNT(O6:O50)</f>
        <v>45</v>
      </c>
      <c r="N167" s="352">
        <f>COUNT(O71:O76)</f>
        <v>6</v>
      </c>
      <c r="O167" s="28"/>
      <c r="P167" s="28"/>
    </row>
    <row r="168" spans="1:16" ht="18.75" customHeight="1" x14ac:dyDescent="0.25">
      <c r="A168" s="28" t="s">
        <v>270</v>
      </c>
      <c r="B168" s="28">
        <f>COUNT(O6:O50)</f>
        <v>45</v>
      </c>
      <c r="C168" s="28">
        <f>AVERAGE(O6:O50)</f>
        <v>1.3167488071799225</v>
      </c>
      <c r="D168" s="28">
        <f>VAR(O6:O50)</f>
        <v>2.5960555470446876E-2</v>
      </c>
      <c r="E168" s="28"/>
      <c r="F168" s="28"/>
      <c r="G168" s="28"/>
      <c r="H168" s="28"/>
      <c r="I168" s="28"/>
      <c r="J168" s="28"/>
      <c r="K168" s="28"/>
      <c r="L168" s="28" t="s">
        <v>292</v>
      </c>
      <c r="M168" s="353">
        <f>MEDIAN(O6:O50)</f>
        <v>1.255272505103306</v>
      </c>
      <c r="N168" s="339">
        <f>MEDIAN(O71:O76)</f>
        <v>1.4329959000631378</v>
      </c>
      <c r="O168" s="28"/>
      <c r="P168" s="28"/>
    </row>
    <row r="169" spans="1:16" ht="18.75" customHeight="1" x14ac:dyDescent="0.25">
      <c r="A169" s="28" t="s">
        <v>271</v>
      </c>
      <c r="B169" s="28">
        <f>COUNT(O71:O76)</f>
        <v>6</v>
      </c>
      <c r="C169" s="28">
        <f>AVERAGE(O71:O76)</f>
        <v>1.3685380433621923</v>
      </c>
      <c r="D169" s="28">
        <f>VAR(O71:O76)</f>
        <v>8.238796925623007E-2</v>
      </c>
      <c r="E169" s="28"/>
      <c r="F169" s="28"/>
      <c r="G169" s="28"/>
      <c r="H169" s="28"/>
      <c r="I169" s="28"/>
      <c r="J169" s="28"/>
      <c r="K169" s="28"/>
      <c r="L169" s="28" t="s">
        <v>293</v>
      </c>
      <c r="M169" s="353">
        <v>1164.5</v>
      </c>
      <c r="N169" s="339">
        <v>161.5</v>
      </c>
      <c r="O169" s="28"/>
      <c r="P169" s="28"/>
    </row>
    <row r="170" spans="1:16" ht="18.75" customHeight="1" x14ac:dyDescent="0.25">
      <c r="A170" s="354" t="s">
        <v>272</v>
      </c>
      <c r="B170" s="354"/>
      <c r="C170" s="354"/>
      <c r="D170" s="354">
        <f>((B168-1)*D168+(B169-1)*D169)/(B168+B169-2)</f>
        <v>3.171845483634312E-2</v>
      </c>
      <c r="E170" s="354">
        <f>ABS(C168-C169-E166)/SQRT(D170)</f>
        <v>0.29079269644767874</v>
      </c>
      <c r="F170" s="28"/>
      <c r="G170" s="28"/>
      <c r="H170" s="28"/>
      <c r="I170" s="28"/>
      <c r="J170" s="28"/>
      <c r="K170" s="28"/>
      <c r="L170" s="28" t="s">
        <v>294</v>
      </c>
      <c r="M170" s="355">
        <f>M167*N167+M167*(M167+1)/2-M169</f>
        <v>140.5</v>
      </c>
      <c r="N170" s="356">
        <f>M167*N167+N167*(N167+1)/2-N169</f>
        <v>129.5</v>
      </c>
      <c r="O170" s="28"/>
      <c r="P170" s="28"/>
    </row>
    <row r="171" spans="1:16" ht="18.75" customHeight="1" x14ac:dyDescent="0.25">
      <c r="A171" s="28"/>
      <c r="B171" s="28"/>
      <c r="C171" s="28"/>
      <c r="D171" s="28"/>
      <c r="E171" s="28"/>
      <c r="F171" s="28"/>
      <c r="G171" s="28"/>
      <c r="H171" s="28"/>
      <c r="I171" s="28"/>
      <c r="J171" s="28"/>
      <c r="K171" s="28"/>
      <c r="L171" s="28"/>
      <c r="M171" s="28"/>
      <c r="N171" s="28"/>
      <c r="O171" s="28"/>
      <c r="P171" s="28"/>
    </row>
    <row r="172" spans="1:16" ht="18.75" customHeight="1" thickBot="1" x14ac:dyDescent="0.3">
      <c r="A172" s="28" t="s">
        <v>273</v>
      </c>
      <c r="B172" s="28"/>
      <c r="C172" s="28"/>
      <c r="D172" s="28"/>
      <c r="E172" s="28" t="s">
        <v>274</v>
      </c>
      <c r="F172" s="28">
        <v>0.05</v>
      </c>
      <c r="G172" s="28"/>
      <c r="H172" s="28"/>
      <c r="I172" s="28"/>
      <c r="J172" s="28"/>
      <c r="K172" s="28"/>
      <c r="L172" s="28"/>
      <c r="M172" s="357" t="s">
        <v>295</v>
      </c>
      <c r="N172" s="357" t="s">
        <v>296</v>
      </c>
      <c r="O172" s="28"/>
      <c r="P172" s="28"/>
    </row>
    <row r="173" spans="1:16" ht="18.75" customHeight="1" thickTop="1" x14ac:dyDescent="0.25">
      <c r="A173" s="350" t="s">
        <v>275</v>
      </c>
      <c r="B173" s="350" t="s">
        <v>276</v>
      </c>
      <c r="C173" s="350" t="s">
        <v>277</v>
      </c>
      <c r="D173" s="350" t="s">
        <v>278</v>
      </c>
      <c r="E173" s="350" t="s">
        <v>279</v>
      </c>
      <c r="F173" s="350" t="s">
        <v>280</v>
      </c>
      <c r="G173" s="350" t="s">
        <v>281</v>
      </c>
      <c r="H173" s="350" t="s">
        <v>282</v>
      </c>
      <c r="I173" s="350" t="s">
        <v>283</v>
      </c>
      <c r="J173" s="350" t="s">
        <v>284</v>
      </c>
      <c r="K173" s="28"/>
      <c r="L173" s="28" t="s">
        <v>297</v>
      </c>
      <c r="M173" s="358">
        <v>0.05</v>
      </c>
      <c r="N173" s="28"/>
      <c r="O173" s="28"/>
      <c r="P173" s="28"/>
    </row>
    <row r="174" spans="1:16" ht="18.75" customHeight="1" x14ac:dyDescent="0.25">
      <c r="A174" s="28" t="s">
        <v>285</v>
      </c>
      <c r="B174" s="28">
        <f>SQRT(D170*(1/B168+1/B169))</f>
        <v>7.7403253751436418E-2</v>
      </c>
      <c r="C174" s="28">
        <f>(ABS(C168-C169-E166))/B174</f>
        <v>0.6690834515636721</v>
      </c>
      <c r="D174" s="28">
        <f>B168+B169-2</f>
        <v>49</v>
      </c>
      <c r="E174" s="28">
        <f>TDIST(C174,D174,1)</f>
        <v>0.25329129277464862</v>
      </c>
      <c r="F174" s="28">
        <f>TINV(F172*2,D174)</f>
        <v>1.6765508926168529</v>
      </c>
      <c r="G174" s="28"/>
      <c r="H174" s="28"/>
      <c r="I174" s="28" t="str">
        <f>IF(E174&lt;F172,"yes","no")</f>
        <v>no</v>
      </c>
      <c r="J174" s="28">
        <f>SQRT(C174^2/(C174^2+D174))</f>
        <v>9.5149686298726555E-2</v>
      </c>
      <c r="K174" s="28"/>
      <c r="L174" s="28" t="s">
        <v>294</v>
      </c>
      <c r="M174" s="359">
        <f>MIN(M170,N170)</f>
        <v>129.5</v>
      </c>
      <c r="N174" s="28"/>
      <c r="O174" s="28"/>
      <c r="P174" s="28"/>
    </row>
    <row r="175" spans="1:16" ht="18.75" customHeight="1" x14ac:dyDescent="0.25">
      <c r="A175" s="28" t="s">
        <v>286</v>
      </c>
      <c r="B175" s="28">
        <f>B174</f>
        <v>7.7403253751436418E-2</v>
      </c>
      <c r="C175" s="28">
        <f t="shared" ref="C175:D175" si="39">C174</f>
        <v>0.6690834515636721</v>
      </c>
      <c r="D175" s="28">
        <f t="shared" si="39"/>
        <v>49</v>
      </c>
      <c r="E175" s="28">
        <f>TDIST(C175,D175,2)</f>
        <v>0.50658258554929725</v>
      </c>
      <c r="F175" s="28">
        <f>TINV(F172,D175)</f>
        <v>2.0095752371292388</v>
      </c>
      <c r="G175" s="28">
        <f>(C168-C169)-F175*B175</f>
        <v>-0.2073368981943873</v>
      </c>
      <c r="H175" s="28">
        <f>(C168-C169)+F175*B175</f>
        <v>0.10375842582984765</v>
      </c>
      <c r="I175" s="28" t="str">
        <f>IF(E175&lt;F172,"yes","no")</f>
        <v>no</v>
      </c>
      <c r="J175" s="28">
        <f>J174</f>
        <v>9.5149686298726555E-2</v>
      </c>
      <c r="K175" s="28"/>
      <c r="L175" s="28" t="s">
        <v>298</v>
      </c>
      <c r="M175" s="359">
        <f>M167*N167/2</f>
        <v>135</v>
      </c>
      <c r="N175" s="28"/>
      <c r="O175" s="28"/>
      <c r="P175" s="28"/>
    </row>
    <row r="176" spans="1:16" ht="18.75" customHeight="1" x14ac:dyDescent="0.25">
      <c r="A176" s="354"/>
      <c r="B176" s="354"/>
      <c r="C176" s="354"/>
      <c r="D176" s="354"/>
      <c r="E176" s="354"/>
      <c r="F176" s="354"/>
      <c r="G176" s="354"/>
      <c r="H176" s="354"/>
      <c r="I176" s="354"/>
      <c r="J176" s="354"/>
      <c r="K176" s="28"/>
      <c r="L176" s="28" t="s">
        <v>299</v>
      </c>
      <c r="M176" s="359">
        <v>34.101405870622713</v>
      </c>
      <c r="N176" s="28" t="s">
        <v>300</v>
      </c>
      <c r="O176" s="28"/>
      <c r="P176" s="28"/>
    </row>
    <row r="177" spans="1:16" ht="18.75" customHeight="1" thickBot="1" x14ac:dyDescent="0.3">
      <c r="A177" s="28" t="s">
        <v>287</v>
      </c>
      <c r="B177" s="28"/>
      <c r="C177" s="28"/>
      <c r="D177" s="28"/>
      <c r="E177" s="28" t="s">
        <v>274</v>
      </c>
      <c r="F177" s="28">
        <f>F172</f>
        <v>0.05</v>
      </c>
      <c r="G177" s="28"/>
      <c r="H177" s="28"/>
      <c r="I177" s="28"/>
      <c r="J177" s="28"/>
      <c r="K177" s="28"/>
      <c r="L177" s="28" t="s">
        <v>19</v>
      </c>
      <c r="M177" s="359">
        <f>ABS(STANDARDIZE(M174,M175,M176))</f>
        <v>0.16128367319712403</v>
      </c>
      <c r="N177" s="28"/>
      <c r="O177" s="28"/>
      <c r="P177" s="28"/>
    </row>
    <row r="178" spans="1:16" ht="18.75" customHeight="1" thickTop="1" x14ac:dyDescent="0.25">
      <c r="A178" s="350" t="s">
        <v>275</v>
      </c>
      <c r="B178" s="350" t="s">
        <v>276</v>
      </c>
      <c r="C178" s="350" t="s">
        <v>277</v>
      </c>
      <c r="D178" s="350" t="s">
        <v>278</v>
      </c>
      <c r="E178" s="350" t="s">
        <v>279</v>
      </c>
      <c r="F178" s="350" t="s">
        <v>280</v>
      </c>
      <c r="G178" s="350" t="s">
        <v>281</v>
      </c>
      <c r="H178" s="350" t="s">
        <v>282</v>
      </c>
      <c r="I178" s="350" t="s">
        <v>283</v>
      </c>
      <c r="J178" s="350" t="s">
        <v>284</v>
      </c>
      <c r="K178" s="28"/>
      <c r="L178" s="28" t="s">
        <v>284</v>
      </c>
      <c r="M178" s="359">
        <f>M177/SQRT(M167+N167)</f>
        <v>2.2584231545681489E-2</v>
      </c>
      <c r="N178" s="28"/>
      <c r="O178" s="28"/>
      <c r="P178" s="28"/>
    </row>
    <row r="179" spans="1:16" ht="18.75" customHeight="1" x14ac:dyDescent="0.25">
      <c r="A179" s="28" t="s">
        <v>285</v>
      </c>
      <c r="B179" s="28">
        <f>SQRT(D168/B168+D169/B169)</f>
        <v>0.11961701150776288</v>
      </c>
      <c r="C179" s="28">
        <f>(ABS(C168-C169-E166))/B179</f>
        <v>0.43295878679353911</v>
      </c>
      <c r="D179" s="28">
        <f>(D168/B168+D169/B169)^2/((D168/B168)^2/(B168-1)+(D169/B169)^2/(B169-1))</f>
        <v>5.4278719863268927</v>
      </c>
      <c r="E179" s="28">
        <f>TDIST(C179,ROUND(D179,0),1)</f>
        <v>0.34154233447866178</v>
      </c>
      <c r="F179" s="28">
        <f>TINV(F177*2,ROUND(D179,0))</f>
        <v>2.0150483733330233</v>
      </c>
      <c r="G179" s="28"/>
      <c r="H179" s="28"/>
      <c r="I179" s="28" t="str">
        <f>IF(E179&lt;F177,"yes","no")</f>
        <v>no</v>
      </c>
      <c r="J179" s="28">
        <f>SQRT(C179^2/(C179^2+D179))</f>
        <v>0.18270864545838328</v>
      </c>
      <c r="K179" s="28"/>
      <c r="L179" s="28" t="s">
        <v>301</v>
      </c>
      <c r="M179" s="358">
        <f>M175+M176*NORMSINV(M173)</f>
        <v>78.908178869561993</v>
      </c>
      <c r="N179" s="352">
        <f>M175+M176*NORMSINV(M173/2)</f>
        <v>68.162472671396728</v>
      </c>
      <c r="O179" s="28"/>
      <c r="P179" s="28"/>
    </row>
    <row r="180" spans="1:16" ht="18.75" customHeight="1" x14ac:dyDescent="0.25">
      <c r="A180" s="28" t="s">
        <v>286</v>
      </c>
      <c r="B180" s="28">
        <f>B179</f>
        <v>0.11961701150776288</v>
      </c>
      <c r="C180" s="28">
        <f t="shared" ref="C180:D180" si="40">C179</f>
        <v>0.43295878679353911</v>
      </c>
      <c r="D180" s="28">
        <f t="shared" si="40"/>
        <v>5.4278719863268927</v>
      </c>
      <c r="E180" s="28">
        <f>TDIST(C180,ROUND(D180,0),2)</f>
        <v>0.68308466895732356</v>
      </c>
      <c r="F180" s="28">
        <f>TINV(F177,ROUND(D180,0))</f>
        <v>2.570581835636315</v>
      </c>
      <c r="G180" s="28">
        <f>(C168-C169)-F180*B180</f>
        <v>-0.35927455319722518</v>
      </c>
      <c r="H180" s="28">
        <f>(C168-C169)+F180*B180</f>
        <v>0.25569608083268552</v>
      </c>
      <c r="I180" s="28" t="str">
        <f>IF(E180&lt;F177,"yes","no")</f>
        <v>no</v>
      </c>
      <c r="J180" s="28">
        <f>J179</f>
        <v>0.18270864545838328</v>
      </c>
      <c r="K180" s="28"/>
      <c r="L180" s="28" t="s">
        <v>279</v>
      </c>
      <c r="M180" s="359">
        <f>1-NORMSDIST(M177)</f>
        <v>0.4359349909067407</v>
      </c>
      <c r="N180" s="339">
        <f>2*M180</f>
        <v>0.87186998181348141</v>
      </c>
      <c r="O180" s="28"/>
      <c r="P180" s="28"/>
    </row>
    <row r="181" spans="1:16" ht="18.75" customHeight="1" x14ac:dyDescent="0.25">
      <c r="A181" s="354"/>
      <c r="B181" s="354"/>
      <c r="C181" s="354"/>
      <c r="D181" s="354"/>
      <c r="E181" s="354"/>
      <c r="F181" s="354"/>
      <c r="G181" s="354"/>
      <c r="H181" s="354"/>
      <c r="I181" s="354"/>
      <c r="J181" s="354"/>
      <c r="K181" s="28"/>
      <c r="L181" s="28" t="s">
        <v>302</v>
      </c>
      <c r="M181" s="360" t="str">
        <f>IF(M180&lt;M173,"yes","no")</f>
        <v>no</v>
      </c>
      <c r="N181" s="361" t="str">
        <f>IF(N180&lt;M173,"yes","no")</f>
        <v>no</v>
      </c>
      <c r="O181" s="28"/>
      <c r="P181" s="28"/>
    </row>
    <row r="182" spans="1:16" ht="18.75" customHeight="1" x14ac:dyDescent="0.25">
      <c r="A182" s="28"/>
      <c r="B182" s="28"/>
      <c r="C182" s="28"/>
      <c r="D182" s="28"/>
      <c r="E182" s="28"/>
      <c r="F182" s="28"/>
      <c r="G182" s="28"/>
      <c r="H182" s="28"/>
      <c r="I182" s="28"/>
      <c r="J182" s="28"/>
      <c r="K182" s="28"/>
      <c r="L182" s="28"/>
      <c r="M182" s="28"/>
      <c r="N182" s="28"/>
      <c r="O182" s="28"/>
      <c r="P182" s="28"/>
    </row>
    <row r="183" spans="1:16" ht="18.75" customHeight="1" x14ac:dyDescent="0.25">
      <c r="A183" s="28"/>
      <c r="B183" s="28"/>
      <c r="C183" s="28"/>
      <c r="D183" s="28"/>
      <c r="E183" s="28"/>
      <c r="F183" s="28"/>
      <c r="G183" s="28"/>
      <c r="H183" s="28"/>
      <c r="I183" s="28"/>
      <c r="J183" s="28"/>
      <c r="K183" s="28"/>
      <c r="L183" s="28"/>
      <c r="M183" s="28"/>
      <c r="N183" s="28"/>
      <c r="O183" s="28"/>
      <c r="P183" s="28"/>
    </row>
    <row r="184" spans="1:16" ht="18.75" customHeight="1" x14ac:dyDescent="0.25">
      <c r="A184" s="28"/>
      <c r="B184" s="28"/>
      <c r="C184" s="28"/>
      <c r="D184" s="28"/>
      <c r="E184" s="28"/>
      <c r="F184" s="28"/>
      <c r="G184" s="28"/>
      <c r="H184" s="28"/>
      <c r="I184" s="28"/>
      <c r="J184" s="28"/>
      <c r="K184" s="28"/>
      <c r="L184" s="28"/>
      <c r="M184" s="28"/>
      <c r="N184" s="28"/>
      <c r="O184" s="28"/>
      <c r="P184" s="28"/>
    </row>
    <row r="185" spans="1:16" ht="18.75" customHeight="1" x14ac:dyDescent="0.25">
      <c r="A185" s="28"/>
      <c r="B185" s="28"/>
      <c r="C185" s="28"/>
      <c r="D185" s="28"/>
      <c r="E185" s="28"/>
      <c r="F185" s="28"/>
      <c r="G185" s="28"/>
      <c r="H185" s="28"/>
      <c r="I185" s="28"/>
      <c r="J185" s="28"/>
      <c r="K185" s="28"/>
      <c r="L185" s="28"/>
      <c r="M185" s="28"/>
      <c r="N185" s="28"/>
      <c r="O185" s="28"/>
      <c r="P185" s="28"/>
    </row>
    <row r="186" spans="1:16" ht="18.75" customHeight="1" x14ac:dyDescent="0.25">
      <c r="A186" s="28"/>
      <c r="B186" s="28"/>
      <c r="C186" s="28"/>
      <c r="D186" s="28"/>
      <c r="E186" s="28"/>
      <c r="F186" s="28"/>
      <c r="G186" s="28"/>
      <c r="H186" s="28"/>
      <c r="I186" s="28"/>
      <c r="J186" s="28"/>
      <c r="K186" s="28"/>
      <c r="L186" s="28"/>
      <c r="M186" s="28"/>
      <c r="N186" s="28"/>
      <c r="O186" s="28"/>
      <c r="P186" s="28"/>
    </row>
    <row r="187" spans="1:16" ht="18.75" customHeight="1" x14ac:dyDescent="0.25">
      <c r="A187" s="349" t="s">
        <v>309</v>
      </c>
      <c r="B187" s="28"/>
      <c r="C187" s="28"/>
      <c r="D187" s="28"/>
      <c r="E187" s="28"/>
      <c r="F187" s="28"/>
      <c r="G187" s="28"/>
      <c r="H187" s="28"/>
      <c r="I187" s="28"/>
      <c r="J187" s="28"/>
      <c r="K187" s="28"/>
      <c r="L187" s="28"/>
      <c r="M187" s="28"/>
      <c r="N187" s="28"/>
      <c r="O187" s="28"/>
      <c r="P187" s="28"/>
    </row>
    <row r="188" spans="1:16" ht="18.75" customHeight="1" x14ac:dyDescent="0.25">
      <c r="A188" s="28" t="s">
        <v>263</v>
      </c>
      <c r="B188" s="28"/>
      <c r="C188" s="28"/>
      <c r="D188" s="28"/>
      <c r="E188" s="28"/>
      <c r="F188" s="28"/>
      <c r="G188" s="28"/>
      <c r="H188" s="28"/>
      <c r="I188" s="28"/>
      <c r="J188" s="28"/>
      <c r="K188" s="28"/>
      <c r="L188" s="28" t="s">
        <v>288</v>
      </c>
      <c r="M188" s="28"/>
      <c r="N188" s="28"/>
      <c r="O188" s="28"/>
      <c r="P188" s="28"/>
    </row>
    <row r="189" spans="1:16" ht="18.75" customHeight="1" x14ac:dyDescent="0.25">
      <c r="A189" s="28"/>
      <c r="B189" s="28"/>
      <c r="C189" s="28"/>
      <c r="D189" s="28"/>
      <c r="E189" s="28"/>
      <c r="F189" s="28"/>
      <c r="G189" s="28"/>
      <c r="H189" s="28"/>
      <c r="I189" s="28"/>
      <c r="J189" s="28"/>
      <c r="K189" s="28"/>
      <c r="L189" s="28"/>
      <c r="M189" s="28"/>
      <c r="N189" s="28"/>
      <c r="O189" s="28"/>
      <c r="P189" s="28"/>
    </row>
    <row r="190" spans="1:16" ht="18.75" customHeight="1" thickBot="1" x14ac:dyDescent="0.3">
      <c r="A190" s="28" t="s">
        <v>264</v>
      </c>
      <c r="B190" s="28"/>
      <c r="C190" s="28"/>
      <c r="D190" s="28" t="s">
        <v>265</v>
      </c>
      <c r="E190" s="28">
        <v>0</v>
      </c>
      <c r="F190" s="28"/>
      <c r="G190" s="28"/>
      <c r="H190" s="28"/>
      <c r="I190" s="28"/>
      <c r="J190" s="28"/>
      <c r="K190" s="28"/>
      <c r="L190" s="28"/>
      <c r="M190" s="28" t="s">
        <v>289</v>
      </c>
      <c r="N190" s="28" t="s">
        <v>290</v>
      </c>
      <c r="O190" s="28"/>
      <c r="P190" s="28"/>
    </row>
    <row r="191" spans="1:16" ht="18.75" customHeight="1" thickTop="1" x14ac:dyDescent="0.25">
      <c r="A191" s="350" t="s">
        <v>266</v>
      </c>
      <c r="B191" s="350" t="s">
        <v>267</v>
      </c>
      <c r="C191" s="350" t="s">
        <v>117</v>
      </c>
      <c r="D191" s="350" t="s">
        <v>268</v>
      </c>
      <c r="E191" s="350" t="s">
        <v>269</v>
      </c>
      <c r="F191" s="28"/>
      <c r="G191" s="28"/>
      <c r="H191" s="28"/>
      <c r="I191" s="28"/>
      <c r="J191" s="28"/>
      <c r="K191" s="28"/>
      <c r="L191" s="28" t="s">
        <v>291</v>
      </c>
      <c r="M191" s="351">
        <f>COUNT(P6:P50)</f>
        <v>45</v>
      </c>
      <c r="N191" s="352">
        <f>COUNT(P71:P76)</f>
        <v>6</v>
      </c>
      <c r="O191" s="28"/>
      <c r="P191" s="28"/>
    </row>
    <row r="192" spans="1:16" ht="18.75" customHeight="1" x14ac:dyDescent="0.25">
      <c r="A192" s="28" t="s">
        <v>270</v>
      </c>
      <c r="B192" s="28">
        <f>COUNT(P6:P50)</f>
        <v>45</v>
      </c>
      <c r="C192" s="28">
        <f>AVERAGE(P6:P50)</f>
        <v>2.6191930858947745</v>
      </c>
      <c r="D192" s="28">
        <f>VAR(P6:P50)</f>
        <v>7.5092181461125064E-3</v>
      </c>
      <c r="E192" s="28"/>
      <c r="F192" s="28"/>
      <c r="G192" s="28"/>
      <c r="H192" s="28"/>
      <c r="I192" s="28"/>
      <c r="J192" s="28"/>
      <c r="K192" s="28"/>
      <c r="L192" s="28" t="s">
        <v>292</v>
      </c>
      <c r="M192" s="353">
        <f>MEDIAN(P6:P50)</f>
        <v>2.6334684555795866</v>
      </c>
      <c r="N192" s="339">
        <f>MEDIAN(P71:P76)</f>
        <v>2.5352036608700597</v>
      </c>
      <c r="O192" s="28"/>
      <c r="P192" s="28"/>
    </row>
    <row r="193" spans="1:16" ht="18.75" customHeight="1" x14ac:dyDescent="0.25">
      <c r="A193" s="28" t="s">
        <v>271</v>
      </c>
      <c r="B193" s="28">
        <f>COUNT(P71:P76)</f>
        <v>6</v>
      </c>
      <c r="C193" s="28">
        <f>AVERAGE(P71:P76)</f>
        <v>2.5019432220903659</v>
      </c>
      <c r="D193" s="28">
        <f>VAR(P71:P76)</f>
        <v>0.17094417192018768</v>
      </c>
      <c r="E193" s="28"/>
      <c r="F193" s="28"/>
      <c r="G193" s="28"/>
      <c r="H193" s="28"/>
      <c r="I193" s="28"/>
      <c r="J193" s="28"/>
      <c r="K193" s="28"/>
      <c r="L193" s="28" t="s">
        <v>293</v>
      </c>
      <c r="M193" s="353">
        <v>1170.5</v>
      </c>
      <c r="N193" s="339">
        <v>155.5</v>
      </c>
      <c r="O193" s="28"/>
      <c r="P193" s="28"/>
    </row>
    <row r="194" spans="1:16" ht="18.75" customHeight="1" x14ac:dyDescent="0.25">
      <c r="A194" s="354" t="s">
        <v>272</v>
      </c>
      <c r="B194" s="354"/>
      <c r="C194" s="354"/>
      <c r="D194" s="354">
        <f>((B192-1)*D192+(B193-1)*D193)/(B192+B193-2)</f>
        <v>2.4186254245507931E-2</v>
      </c>
      <c r="E194" s="354">
        <f>ABS(C192-C193-E190)/SQRT(D194)</f>
        <v>0.75392481828029589</v>
      </c>
      <c r="F194" s="28"/>
      <c r="G194" s="28"/>
      <c r="H194" s="28"/>
      <c r="I194" s="28"/>
      <c r="J194" s="28"/>
      <c r="K194" s="28"/>
      <c r="L194" s="28" t="s">
        <v>294</v>
      </c>
      <c r="M194" s="355">
        <f>M191*N191+M191*(M191+1)/2-M193</f>
        <v>134.5</v>
      </c>
      <c r="N194" s="356">
        <f>M191*N191+N191*(N191+1)/2-N193</f>
        <v>135.5</v>
      </c>
      <c r="O194" s="28"/>
      <c r="P194" s="28"/>
    </row>
    <row r="195" spans="1:16" ht="18.75" customHeight="1" x14ac:dyDescent="0.25">
      <c r="A195" s="28"/>
      <c r="B195" s="28"/>
      <c r="C195" s="28"/>
      <c r="D195" s="28"/>
      <c r="E195" s="28"/>
      <c r="F195" s="28"/>
      <c r="G195" s="28"/>
      <c r="H195" s="28"/>
      <c r="I195" s="28"/>
      <c r="J195" s="28"/>
      <c r="K195" s="28"/>
      <c r="L195" s="28"/>
      <c r="M195" s="28"/>
      <c r="N195" s="28"/>
      <c r="O195" s="28"/>
      <c r="P195" s="28"/>
    </row>
    <row r="196" spans="1:16" ht="18.75" customHeight="1" thickBot="1" x14ac:dyDescent="0.3">
      <c r="A196" s="28" t="s">
        <v>273</v>
      </c>
      <c r="B196" s="28"/>
      <c r="C196" s="28"/>
      <c r="D196" s="28"/>
      <c r="E196" s="28" t="s">
        <v>274</v>
      </c>
      <c r="F196" s="28">
        <v>0.05</v>
      </c>
      <c r="G196" s="28"/>
      <c r="H196" s="28"/>
      <c r="I196" s="28"/>
      <c r="J196" s="28"/>
      <c r="K196" s="28"/>
      <c r="L196" s="28"/>
      <c r="M196" s="357" t="s">
        <v>295</v>
      </c>
      <c r="N196" s="357" t="s">
        <v>296</v>
      </c>
      <c r="O196" s="28"/>
      <c r="P196" s="28"/>
    </row>
    <row r="197" spans="1:16" ht="18.75" customHeight="1" thickTop="1" x14ac:dyDescent="0.25">
      <c r="A197" s="350" t="s">
        <v>275</v>
      </c>
      <c r="B197" s="350" t="s">
        <v>276</v>
      </c>
      <c r="C197" s="350" t="s">
        <v>277</v>
      </c>
      <c r="D197" s="350" t="s">
        <v>278</v>
      </c>
      <c r="E197" s="350" t="s">
        <v>279</v>
      </c>
      <c r="F197" s="350" t="s">
        <v>280</v>
      </c>
      <c r="G197" s="350" t="s">
        <v>281</v>
      </c>
      <c r="H197" s="350" t="s">
        <v>282</v>
      </c>
      <c r="I197" s="350" t="s">
        <v>283</v>
      </c>
      <c r="J197" s="350" t="s">
        <v>284</v>
      </c>
      <c r="K197" s="28"/>
      <c r="L197" s="28" t="s">
        <v>297</v>
      </c>
      <c r="M197" s="358">
        <v>0.05</v>
      </c>
      <c r="N197" s="28"/>
      <c r="O197" s="28"/>
      <c r="P197" s="28"/>
    </row>
    <row r="198" spans="1:16" ht="18.75" customHeight="1" x14ac:dyDescent="0.25">
      <c r="A198" s="28" t="s">
        <v>285</v>
      </c>
      <c r="B198" s="28">
        <f>SQRT(D194*(1/B192+1/B193))</f>
        <v>6.7590788505669658E-2</v>
      </c>
      <c r="C198" s="28">
        <f>(ABS(C192-C193-E190))/B198</f>
        <v>1.7347018195323085</v>
      </c>
      <c r="D198" s="28">
        <f>B192+B193-2</f>
        <v>49</v>
      </c>
      <c r="E198" s="28">
        <f>TDIST(C198,D198,1)</f>
        <v>4.454034024502606E-2</v>
      </c>
      <c r="F198" s="28">
        <f>TINV(F196*2,D198)</f>
        <v>1.6765508926168529</v>
      </c>
      <c r="G198" s="28"/>
      <c r="H198" s="28"/>
      <c r="I198" s="28" t="str">
        <f>IF(E198&lt;F196,"yes","no")</f>
        <v>yes</v>
      </c>
      <c r="J198" s="28">
        <f>SQRT(C198^2/(C198^2+D198))</f>
        <v>0.24053860464314222</v>
      </c>
      <c r="K198" s="28"/>
      <c r="L198" s="28" t="s">
        <v>294</v>
      </c>
      <c r="M198" s="359">
        <f>MIN(M194,N194)</f>
        <v>134.5</v>
      </c>
      <c r="N198" s="28"/>
      <c r="O198" s="28"/>
      <c r="P198" s="28"/>
    </row>
    <row r="199" spans="1:16" ht="18.75" customHeight="1" x14ac:dyDescent="0.25">
      <c r="A199" s="28" t="s">
        <v>286</v>
      </c>
      <c r="B199" s="28">
        <f>B198</f>
        <v>6.7590788505669658E-2</v>
      </c>
      <c r="C199" s="28">
        <f t="shared" ref="C199:D199" si="41">C198</f>
        <v>1.7347018195323085</v>
      </c>
      <c r="D199" s="28">
        <f t="shared" si="41"/>
        <v>49</v>
      </c>
      <c r="E199" s="28">
        <f>TDIST(C199,D199,2)</f>
        <v>8.9080680490052119E-2</v>
      </c>
      <c r="F199" s="28">
        <f>TINV(F196,D199)</f>
        <v>2.0095752371292388</v>
      </c>
      <c r="G199" s="28">
        <f>(C192-C193)-F199*B199</f>
        <v>-1.8578911034624723E-2</v>
      </c>
      <c r="H199" s="28">
        <f>(C192-C193)+F199*B199</f>
        <v>0.25307863864344193</v>
      </c>
      <c r="I199" s="28" t="str">
        <f>IF(E199&lt;F196,"yes","no")</f>
        <v>no</v>
      </c>
      <c r="J199" s="28">
        <f>J198</f>
        <v>0.24053860464314222</v>
      </c>
      <c r="K199" s="28"/>
      <c r="L199" s="28" t="s">
        <v>298</v>
      </c>
      <c r="M199" s="359">
        <f>M191*N191/2</f>
        <v>135</v>
      </c>
      <c r="N199" s="28"/>
      <c r="O199" s="28"/>
      <c r="P199" s="28"/>
    </row>
    <row r="200" spans="1:16" ht="18.75" customHeight="1" x14ac:dyDescent="0.25">
      <c r="A200" s="354"/>
      <c r="B200" s="354"/>
      <c r="C200" s="354"/>
      <c r="D200" s="354"/>
      <c r="E200" s="354"/>
      <c r="F200" s="354"/>
      <c r="G200" s="354"/>
      <c r="H200" s="354"/>
      <c r="I200" s="354"/>
      <c r="J200" s="354"/>
      <c r="K200" s="28"/>
      <c r="L200" s="28" t="s">
        <v>299</v>
      </c>
      <c r="M200" s="359">
        <v>34.171195300066607</v>
      </c>
      <c r="N200" s="28" t="s">
        <v>300</v>
      </c>
      <c r="O200" s="28"/>
      <c r="P200" s="28"/>
    </row>
    <row r="201" spans="1:16" ht="18.75" customHeight="1" thickBot="1" x14ac:dyDescent="0.3">
      <c r="A201" s="28" t="s">
        <v>287</v>
      </c>
      <c r="B201" s="28"/>
      <c r="C201" s="28"/>
      <c r="D201" s="28"/>
      <c r="E201" s="28" t="s">
        <v>274</v>
      </c>
      <c r="F201" s="28">
        <f>F196</f>
        <v>0.05</v>
      </c>
      <c r="G201" s="28"/>
      <c r="H201" s="28"/>
      <c r="I201" s="28"/>
      <c r="J201" s="28"/>
      <c r="K201" s="28"/>
      <c r="L201" s="28" t="s">
        <v>19</v>
      </c>
      <c r="M201" s="359">
        <f>ABS(STANDARDIZE(M198,M199,M200))</f>
        <v>1.4632206910216728E-2</v>
      </c>
      <c r="N201" s="28"/>
      <c r="O201" s="28"/>
      <c r="P201" s="28"/>
    </row>
    <row r="202" spans="1:16" ht="18.75" customHeight="1" thickTop="1" x14ac:dyDescent="0.25">
      <c r="A202" s="350" t="s">
        <v>275</v>
      </c>
      <c r="B202" s="350" t="s">
        <v>276</v>
      </c>
      <c r="C202" s="350" t="s">
        <v>277</v>
      </c>
      <c r="D202" s="350" t="s">
        <v>278</v>
      </c>
      <c r="E202" s="350" t="s">
        <v>279</v>
      </c>
      <c r="F202" s="350" t="s">
        <v>280</v>
      </c>
      <c r="G202" s="350" t="s">
        <v>281</v>
      </c>
      <c r="H202" s="350" t="s">
        <v>282</v>
      </c>
      <c r="I202" s="350" t="s">
        <v>283</v>
      </c>
      <c r="J202" s="350" t="s">
        <v>284</v>
      </c>
      <c r="K202" s="28"/>
      <c r="L202" s="28" t="s">
        <v>284</v>
      </c>
      <c r="M202" s="359">
        <f>M201/SQRT(M191+N191)</f>
        <v>2.0489187921753503E-3</v>
      </c>
      <c r="N202" s="28"/>
      <c r="O202" s="28"/>
      <c r="P202" s="28"/>
    </row>
    <row r="203" spans="1:16" ht="18.75" customHeight="1" x14ac:dyDescent="0.25">
      <c r="A203" s="28" t="s">
        <v>285</v>
      </c>
      <c r="B203" s="28">
        <f>SQRT(D192/B192+D193/B193)</f>
        <v>0.16928545960710664</v>
      </c>
      <c r="C203" s="28">
        <f>(ABS(C192-C193-E190))/B203</f>
        <v>0.69261627121746272</v>
      </c>
      <c r="D203" s="28">
        <f>(D192/B192+D193/B193)^2/((D192/B192)^2/(B192-1)+(D193/B193)^2/(B193-1))</f>
        <v>5.0587223355716437</v>
      </c>
      <c r="E203" s="28">
        <f>TDIST(C203,ROUND(D203,0),1)</f>
        <v>0.25969784675506336</v>
      </c>
      <c r="F203" s="28">
        <f>TINV(F201*2,ROUND(D203,0))</f>
        <v>2.0150483733330233</v>
      </c>
      <c r="G203" s="28"/>
      <c r="H203" s="28"/>
      <c r="I203" s="28" t="str">
        <f>IF(E203&lt;F201,"yes","no")</f>
        <v>no</v>
      </c>
      <c r="J203" s="28">
        <f>SQRT(C203^2/(C203^2+D203))</f>
        <v>0.2943059054979143</v>
      </c>
      <c r="K203" s="28"/>
      <c r="L203" s="28" t="s">
        <v>301</v>
      </c>
      <c r="M203" s="358">
        <f>M199+M200*NORMSINV(M197)</f>
        <v>78.793385473418326</v>
      </c>
      <c r="N203" s="352">
        <f>M199+M200*NORMSINV(M197/2)</f>
        <v>68.025687903185087</v>
      </c>
      <c r="O203" s="28"/>
      <c r="P203" s="28"/>
    </row>
    <row r="204" spans="1:16" ht="18.75" customHeight="1" x14ac:dyDescent="0.25">
      <c r="A204" s="28" t="s">
        <v>286</v>
      </c>
      <c r="B204" s="28">
        <f>B203</f>
        <v>0.16928545960710664</v>
      </c>
      <c r="C204" s="28">
        <f t="shared" ref="C204:D204" si="42">C203</f>
        <v>0.69261627121746272</v>
      </c>
      <c r="D204" s="28">
        <f t="shared" si="42"/>
        <v>5.0587223355716437</v>
      </c>
      <c r="E204" s="28">
        <f>TDIST(C204,ROUND(D204,0),2)</f>
        <v>0.51939569351012671</v>
      </c>
      <c r="F204" s="28">
        <f>TINV(F201,ROUND(D204,0))</f>
        <v>2.570581835636315</v>
      </c>
      <c r="G204" s="28">
        <f>(C192-C193)-F204*B204</f>
        <v>-0.31791226369896486</v>
      </c>
      <c r="H204" s="28">
        <f>(C192-C193)+F204*B204</f>
        <v>0.55241199130778207</v>
      </c>
      <c r="I204" s="28" t="str">
        <f>IF(E204&lt;F201,"yes","no")</f>
        <v>no</v>
      </c>
      <c r="J204" s="28">
        <f>J203</f>
        <v>0.2943059054979143</v>
      </c>
      <c r="K204" s="28"/>
      <c r="L204" s="28" t="s">
        <v>279</v>
      </c>
      <c r="M204" s="359">
        <f>1-NORMSDIST(M201)</f>
        <v>0.49416280230078591</v>
      </c>
      <c r="N204" s="339">
        <f>2*M204</f>
        <v>0.98832560460157182</v>
      </c>
      <c r="O204" s="28"/>
      <c r="P204" s="28"/>
    </row>
    <row r="205" spans="1:16" ht="18.75" customHeight="1" x14ac:dyDescent="0.25">
      <c r="A205" s="354"/>
      <c r="B205" s="354"/>
      <c r="C205" s="354"/>
      <c r="D205" s="354"/>
      <c r="E205" s="354"/>
      <c r="F205" s="354"/>
      <c r="G205" s="354"/>
      <c r="H205" s="354"/>
      <c r="I205" s="354"/>
      <c r="J205" s="354"/>
      <c r="K205" s="28"/>
      <c r="L205" s="28" t="s">
        <v>302</v>
      </c>
      <c r="M205" s="360" t="str">
        <f>IF(M204&lt;M197,"yes","no")</f>
        <v>no</v>
      </c>
      <c r="N205" s="361" t="str">
        <f>IF(N204&lt;M197,"yes","no")</f>
        <v>no</v>
      </c>
      <c r="O205" s="28"/>
      <c r="P205" s="28"/>
    </row>
    <row r="206" spans="1:16" ht="18.75" customHeight="1" x14ac:dyDescent="0.25">
      <c r="A206" s="28"/>
      <c r="B206" s="28"/>
      <c r="C206" s="28"/>
      <c r="D206" s="28"/>
      <c r="E206" s="28"/>
      <c r="F206" s="28"/>
      <c r="G206" s="28"/>
      <c r="H206" s="28"/>
      <c r="I206" s="28"/>
      <c r="J206" s="28"/>
      <c r="K206" s="28"/>
      <c r="L206" s="28"/>
      <c r="M206" s="28"/>
      <c r="N206" s="28"/>
      <c r="O206" s="28"/>
      <c r="P206" s="28"/>
    </row>
    <row r="207" spans="1:16" ht="18.75" customHeight="1" x14ac:dyDescent="0.25">
      <c r="A207" s="28"/>
      <c r="B207" s="28"/>
      <c r="C207" s="28"/>
      <c r="D207" s="28"/>
      <c r="E207" s="28"/>
      <c r="F207" s="28"/>
      <c r="G207" s="28"/>
      <c r="H207" s="28"/>
      <c r="I207" s="28"/>
      <c r="J207" s="28"/>
      <c r="K207" s="28"/>
      <c r="L207" s="28"/>
      <c r="M207" s="28"/>
      <c r="N207" s="28"/>
      <c r="O207" s="28"/>
      <c r="P207" s="28"/>
    </row>
    <row r="208" spans="1:16" ht="18.75" customHeight="1" x14ac:dyDescent="0.25">
      <c r="A208" s="28"/>
      <c r="B208" s="28"/>
      <c r="C208" s="28"/>
      <c r="D208" s="28"/>
      <c r="E208" s="28"/>
      <c r="F208" s="28"/>
      <c r="G208" s="28"/>
      <c r="H208" s="28"/>
      <c r="I208" s="28"/>
      <c r="J208" s="28"/>
      <c r="K208" s="28"/>
      <c r="L208" s="28"/>
      <c r="M208" s="28"/>
      <c r="N208" s="28"/>
      <c r="O208" s="28"/>
      <c r="P208" s="28"/>
    </row>
    <row r="209" spans="1:16" ht="18.75" customHeight="1" x14ac:dyDescent="0.25">
      <c r="A209" s="28"/>
      <c r="B209" s="28"/>
      <c r="C209" s="28"/>
      <c r="D209" s="28"/>
      <c r="E209" s="28"/>
      <c r="F209" s="28"/>
      <c r="G209" s="28"/>
      <c r="H209" s="28"/>
      <c r="I209" s="28"/>
      <c r="J209" s="28"/>
      <c r="K209" s="28"/>
      <c r="L209" s="28"/>
      <c r="M209" s="28"/>
      <c r="N209" s="28"/>
      <c r="O209" s="28"/>
      <c r="P209" s="28"/>
    </row>
    <row r="210" spans="1:16" ht="18.75" customHeight="1" x14ac:dyDescent="0.25">
      <c r="A210" s="28"/>
      <c r="B210" s="28"/>
      <c r="C210" s="28"/>
      <c r="D210" s="28"/>
      <c r="E210" s="28"/>
      <c r="F210" s="28"/>
      <c r="G210" s="28"/>
      <c r="H210" s="28"/>
      <c r="I210" s="28"/>
      <c r="J210" s="28"/>
      <c r="K210" s="28"/>
      <c r="L210" s="28"/>
      <c r="M210" s="28"/>
      <c r="N210" s="28"/>
      <c r="O210" s="28"/>
      <c r="P210" s="28"/>
    </row>
    <row r="211" spans="1:16" ht="18.75" customHeight="1" x14ac:dyDescent="0.25">
      <c r="A211" s="349" t="s">
        <v>310</v>
      </c>
      <c r="B211" s="28"/>
      <c r="C211" s="28"/>
      <c r="D211" s="28"/>
      <c r="E211" s="28"/>
      <c r="F211" s="28"/>
      <c r="G211" s="28"/>
      <c r="H211" s="28"/>
      <c r="I211" s="28"/>
      <c r="J211" s="28"/>
      <c r="K211" s="28"/>
      <c r="L211" s="28"/>
      <c r="M211" s="28"/>
      <c r="N211" s="28"/>
      <c r="O211" s="28"/>
      <c r="P211" s="28"/>
    </row>
    <row r="212" spans="1:16" ht="18.75" customHeight="1" x14ac:dyDescent="0.25">
      <c r="A212" s="28" t="s">
        <v>263</v>
      </c>
      <c r="B212" s="28"/>
      <c r="C212" s="28"/>
      <c r="D212" s="28"/>
      <c r="E212" s="28"/>
      <c r="F212" s="28"/>
      <c r="G212" s="28"/>
      <c r="H212" s="28"/>
      <c r="I212" s="28"/>
      <c r="J212" s="28"/>
      <c r="K212" s="28"/>
      <c r="L212" s="28" t="s">
        <v>288</v>
      </c>
      <c r="M212" s="28"/>
      <c r="N212" s="28"/>
      <c r="O212" s="28"/>
      <c r="P212" s="28"/>
    </row>
    <row r="213" spans="1:16" ht="18.75" customHeight="1" x14ac:dyDescent="0.25">
      <c r="A213" s="28"/>
      <c r="B213" s="28"/>
      <c r="C213" s="28"/>
      <c r="D213" s="28"/>
      <c r="E213" s="28"/>
      <c r="F213" s="28"/>
      <c r="G213" s="28"/>
      <c r="H213" s="28"/>
      <c r="I213" s="28"/>
      <c r="J213" s="28"/>
      <c r="K213" s="28"/>
      <c r="L213" s="28"/>
      <c r="M213" s="28"/>
      <c r="N213" s="28"/>
      <c r="O213" s="28"/>
      <c r="P213" s="28"/>
    </row>
    <row r="214" spans="1:16" ht="18.75" customHeight="1" thickBot="1" x14ac:dyDescent="0.3">
      <c r="A214" s="28" t="s">
        <v>264</v>
      </c>
      <c r="B214" s="28"/>
      <c r="C214" s="28"/>
      <c r="D214" s="28" t="s">
        <v>265</v>
      </c>
      <c r="E214" s="28">
        <v>0</v>
      </c>
      <c r="F214" s="28"/>
      <c r="G214" s="28"/>
      <c r="H214" s="28"/>
      <c r="I214" s="28"/>
      <c r="J214" s="28"/>
      <c r="K214" s="28"/>
      <c r="L214" s="28"/>
      <c r="M214" s="28" t="s">
        <v>289</v>
      </c>
      <c r="N214" s="28" t="s">
        <v>290</v>
      </c>
      <c r="O214" s="28"/>
      <c r="P214" s="28"/>
    </row>
    <row r="215" spans="1:16" ht="18.75" customHeight="1" thickTop="1" x14ac:dyDescent="0.25">
      <c r="A215" s="350" t="s">
        <v>266</v>
      </c>
      <c r="B215" s="350" t="s">
        <v>267</v>
      </c>
      <c r="C215" s="350" t="s">
        <v>117</v>
      </c>
      <c r="D215" s="350" t="s">
        <v>268</v>
      </c>
      <c r="E215" s="350" t="s">
        <v>269</v>
      </c>
      <c r="F215" s="28"/>
      <c r="G215" s="28"/>
      <c r="H215" s="28"/>
      <c r="I215" s="28"/>
      <c r="J215" s="28"/>
      <c r="K215" s="28"/>
      <c r="L215" s="28" t="s">
        <v>291</v>
      </c>
      <c r="M215" s="351">
        <f>COUNT(Q6:Q50)</f>
        <v>44</v>
      </c>
      <c r="N215" s="352">
        <f>COUNT(Q71:Q76)</f>
        <v>6</v>
      </c>
      <c r="O215" s="28"/>
      <c r="P215" s="28"/>
    </row>
    <row r="216" spans="1:16" ht="18.75" customHeight="1" x14ac:dyDescent="0.25">
      <c r="A216" s="28" t="s">
        <v>270</v>
      </c>
      <c r="B216" s="28">
        <f>COUNT(Q6:Q50)</f>
        <v>44</v>
      </c>
      <c r="C216" s="28">
        <f>AVERAGE(Q6:Q50)</f>
        <v>1.9662404466827139</v>
      </c>
      <c r="D216" s="28">
        <f>VAR(Q6:Q50)</f>
        <v>2.6233694238959222E-2</v>
      </c>
      <c r="E216" s="28"/>
      <c r="F216" s="28"/>
      <c r="G216" s="28"/>
      <c r="H216" s="28"/>
      <c r="I216" s="28"/>
      <c r="J216" s="28"/>
      <c r="K216" s="28"/>
      <c r="L216" s="28" t="s">
        <v>292</v>
      </c>
      <c r="M216" s="353">
        <f>MEDIAN(Q6:Q50)</f>
        <v>1.8975922948412118</v>
      </c>
      <c r="N216" s="339">
        <f>MEDIAN(Q71:Q76)</f>
        <v>2.0791812460476247</v>
      </c>
      <c r="O216" s="28"/>
      <c r="P216" s="28"/>
    </row>
    <row r="217" spans="1:16" ht="18.75" customHeight="1" x14ac:dyDescent="0.25">
      <c r="A217" s="28" t="s">
        <v>271</v>
      </c>
      <c r="B217" s="28">
        <f>COUNT(Q71:Q76)</f>
        <v>6</v>
      </c>
      <c r="C217" s="28">
        <f>AVERAGE(Q71:Q76)</f>
        <v>1.950947514429674</v>
      </c>
      <c r="D217" s="28">
        <f>VAR(Q71:Q76)</f>
        <v>0.39746785928389627</v>
      </c>
      <c r="E217" s="28"/>
      <c r="F217" s="28"/>
      <c r="G217" s="28"/>
      <c r="H217" s="28"/>
      <c r="I217" s="28"/>
      <c r="J217" s="28"/>
      <c r="K217" s="28"/>
      <c r="L217" s="28" t="s">
        <v>293</v>
      </c>
      <c r="M217" s="353">
        <v>1104</v>
      </c>
      <c r="N217" s="339">
        <v>171</v>
      </c>
      <c r="O217" s="28"/>
      <c r="P217" s="28"/>
    </row>
    <row r="218" spans="1:16" ht="18.75" customHeight="1" x14ac:dyDescent="0.25">
      <c r="A218" s="354" t="s">
        <v>272</v>
      </c>
      <c r="B218" s="354"/>
      <c r="C218" s="354"/>
      <c r="D218" s="354">
        <f>((B216-1)*D216+(B217-1)*D217)/(B216+B217-2)</f>
        <v>6.4903919764473503E-2</v>
      </c>
      <c r="E218" s="354">
        <f>ABS(C216-C217-E214)/SQRT(D218)</f>
        <v>6.0028197339019138E-2</v>
      </c>
      <c r="F218" s="28"/>
      <c r="G218" s="28"/>
      <c r="H218" s="28"/>
      <c r="I218" s="28"/>
      <c r="J218" s="28"/>
      <c r="K218" s="28"/>
      <c r="L218" s="28" t="s">
        <v>294</v>
      </c>
      <c r="M218" s="355">
        <f>M215*N215+M215*(M215+1)/2-M217</f>
        <v>150</v>
      </c>
      <c r="N218" s="356">
        <f>M215*N215+N215*(N215+1)/2-N217</f>
        <v>114</v>
      </c>
      <c r="O218" s="28"/>
      <c r="P218" s="28"/>
    </row>
    <row r="219" spans="1:16" ht="18.75" customHeight="1" x14ac:dyDescent="0.25">
      <c r="A219" s="28"/>
      <c r="B219" s="28"/>
      <c r="C219" s="28"/>
      <c r="D219" s="28"/>
      <c r="E219" s="28"/>
      <c r="F219" s="28"/>
      <c r="G219" s="28"/>
      <c r="H219" s="28"/>
      <c r="I219" s="28"/>
      <c r="J219" s="28"/>
      <c r="K219" s="28"/>
      <c r="L219" s="28"/>
      <c r="M219" s="28"/>
      <c r="N219" s="28"/>
      <c r="O219" s="28"/>
      <c r="P219" s="28"/>
    </row>
    <row r="220" spans="1:16" ht="18.75" customHeight="1" thickBot="1" x14ac:dyDescent="0.3">
      <c r="A220" s="28" t="s">
        <v>273</v>
      </c>
      <c r="B220" s="28"/>
      <c r="C220" s="28"/>
      <c r="D220" s="28"/>
      <c r="E220" s="28" t="s">
        <v>274</v>
      </c>
      <c r="F220" s="28">
        <v>0.05</v>
      </c>
      <c r="G220" s="28"/>
      <c r="H220" s="28"/>
      <c r="I220" s="28"/>
      <c r="J220" s="28"/>
      <c r="K220" s="28"/>
      <c r="L220" s="28"/>
      <c r="M220" s="357" t="s">
        <v>295</v>
      </c>
      <c r="N220" s="357" t="s">
        <v>296</v>
      </c>
      <c r="O220" s="28"/>
      <c r="P220" s="28"/>
    </row>
    <row r="221" spans="1:16" ht="18.75" customHeight="1" thickTop="1" x14ac:dyDescent="0.25">
      <c r="A221" s="350" t="s">
        <v>275</v>
      </c>
      <c r="B221" s="350" t="s">
        <v>276</v>
      </c>
      <c r="C221" s="350" t="s">
        <v>277</v>
      </c>
      <c r="D221" s="350" t="s">
        <v>278</v>
      </c>
      <c r="E221" s="350" t="s">
        <v>279</v>
      </c>
      <c r="F221" s="350" t="s">
        <v>280</v>
      </c>
      <c r="G221" s="350" t="s">
        <v>281</v>
      </c>
      <c r="H221" s="350" t="s">
        <v>282</v>
      </c>
      <c r="I221" s="350" t="s">
        <v>283</v>
      </c>
      <c r="J221" s="350" t="s">
        <v>284</v>
      </c>
      <c r="K221" s="28"/>
      <c r="L221" s="28" t="s">
        <v>297</v>
      </c>
      <c r="M221" s="358">
        <v>0.05</v>
      </c>
      <c r="N221" s="28"/>
      <c r="O221" s="28"/>
      <c r="P221" s="28"/>
    </row>
    <row r="222" spans="1:16" ht="18.75" customHeight="1" x14ac:dyDescent="0.25">
      <c r="A222" s="28" t="s">
        <v>285</v>
      </c>
      <c r="B222" s="28">
        <f>SQRT(D218*(1/B216+1/B217))</f>
        <v>0.11087113712009</v>
      </c>
      <c r="C222" s="28">
        <f>(ABS(C216-C217-E214))/B222</f>
        <v>0.13793429606909713</v>
      </c>
      <c r="D222" s="28">
        <f>B216+B217-2</f>
        <v>48</v>
      </c>
      <c r="E222" s="28">
        <f>TDIST(C222,D222,1)</f>
        <v>0.4454346809780465</v>
      </c>
      <c r="F222" s="28">
        <f>TINV(F220*2,D222)</f>
        <v>1.6772241961243386</v>
      </c>
      <c r="G222" s="28"/>
      <c r="H222" s="28"/>
      <c r="I222" s="28" t="str">
        <f>IF(E222&lt;F220,"yes","no")</f>
        <v>no</v>
      </c>
      <c r="J222" s="28">
        <f>SQRT(C222^2/(C222^2+D222))</f>
        <v>1.9905156206133742E-2</v>
      </c>
      <c r="K222" s="28"/>
      <c r="L222" s="28" t="s">
        <v>294</v>
      </c>
      <c r="M222" s="359">
        <f>MIN(M218,N218)</f>
        <v>114</v>
      </c>
      <c r="N222" s="28"/>
      <c r="O222" s="28"/>
      <c r="P222" s="28"/>
    </row>
    <row r="223" spans="1:16" ht="18.75" customHeight="1" x14ac:dyDescent="0.25">
      <c r="A223" s="28" t="s">
        <v>286</v>
      </c>
      <c r="B223" s="28">
        <f>B222</f>
        <v>0.11087113712009</v>
      </c>
      <c r="C223" s="28">
        <f t="shared" ref="C223:D223" si="43">C222</f>
        <v>0.13793429606909713</v>
      </c>
      <c r="D223" s="28">
        <f t="shared" si="43"/>
        <v>48</v>
      </c>
      <c r="E223" s="28">
        <f>TDIST(C223,D223,2)</f>
        <v>0.89086936195609301</v>
      </c>
      <c r="F223" s="28">
        <f>TINV(F220,D223)</f>
        <v>2.0106347576242314</v>
      </c>
      <c r="G223" s="28">
        <f>(C216-C217)-F223*B223</f>
        <v>-0.20762842965793513</v>
      </c>
      <c r="H223" s="28">
        <f>(C216-C217)+F223*B223</f>
        <v>0.23821429416401504</v>
      </c>
      <c r="I223" s="28" t="str">
        <f>IF(E223&lt;F220,"yes","no")</f>
        <v>no</v>
      </c>
      <c r="J223" s="28">
        <f>J222</f>
        <v>1.9905156206133742E-2</v>
      </c>
      <c r="K223" s="28"/>
      <c r="L223" s="28" t="s">
        <v>298</v>
      </c>
      <c r="M223" s="359">
        <f>M215*N215/2</f>
        <v>132</v>
      </c>
      <c r="N223" s="28"/>
      <c r="O223" s="28"/>
      <c r="P223" s="28"/>
    </row>
    <row r="224" spans="1:16" ht="18.75" customHeight="1" x14ac:dyDescent="0.25">
      <c r="A224" s="354"/>
      <c r="B224" s="354"/>
      <c r="C224" s="354"/>
      <c r="D224" s="354"/>
      <c r="E224" s="354"/>
      <c r="F224" s="354"/>
      <c r="G224" s="354"/>
      <c r="H224" s="354"/>
      <c r="I224" s="354"/>
      <c r="J224" s="354"/>
      <c r="K224" s="28"/>
      <c r="L224" s="28" t="s">
        <v>299</v>
      </c>
      <c r="M224" s="359">
        <v>33.44636888866615</v>
      </c>
      <c r="N224" s="28" t="s">
        <v>300</v>
      </c>
      <c r="O224" s="28"/>
      <c r="P224" s="28"/>
    </row>
    <row r="225" spans="1:16" ht="18.75" customHeight="1" thickBot="1" x14ac:dyDescent="0.3">
      <c r="A225" s="28" t="s">
        <v>287</v>
      </c>
      <c r="B225" s="28"/>
      <c r="C225" s="28"/>
      <c r="D225" s="28"/>
      <c r="E225" s="28" t="s">
        <v>274</v>
      </c>
      <c r="F225" s="28">
        <f>F220</f>
        <v>0.05</v>
      </c>
      <c r="G225" s="28"/>
      <c r="H225" s="28"/>
      <c r="I225" s="28"/>
      <c r="J225" s="28"/>
      <c r="K225" s="28"/>
      <c r="L225" s="28" t="s">
        <v>19</v>
      </c>
      <c r="M225" s="359">
        <f>ABS(STANDARDIZE(M222,M223,M224))</f>
        <v>0.53817501265734091</v>
      </c>
      <c r="N225" s="28"/>
      <c r="O225" s="28"/>
      <c r="P225" s="28"/>
    </row>
    <row r="226" spans="1:16" ht="18.75" customHeight="1" thickTop="1" x14ac:dyDescent="0.25">
      <c r="A226" s="350" t="s">
        <v>275</v>
      </c>
      <c r="B226" s="350" t="s">
        <v>276</v>
      </c>
      <c r="C226" s="350" t="s">
        <v>277</v>
      </c>
      <c r="D226" s="350" t="s">
        <v>278</v>
      </c>
      <c r="E226" s="350" t="s">
        <v>279</v>
      </c>
      <c r="F226" s="350" t="s">
        <v>280</v>
      </c>
      <c r="G226" s="350" t="s">
        <v>281</v>
      </c>
      <c r="H226" s="350" t="s">
        <v>282</v>
      </c>
      <c r="I226" s="350" t="s">
        <v>283</v>
      </c>
      <c r="J226" s="350" t="s">
        <v>284</v>
      </c>
      <c r="K226" s="28"/>
      <c r="L226" s="28" t="s">
        <v>284</v>
      </c>
      <c r="M226" s="359">
        <f>M225/SQRT(M215+N215)</f>
        <v>7.6109440183032354E-2</v>
      </c>
      <c r="N226" s="28"/>
      <c r="O226" s="28"/>
      <c r="P226" s="28"/>
    </row>
    <row r="227" spans="1:16" ht="18.75" customHeight="1" x14ac:dyDescent="0.25">
      <c r="A227" s="28" t="s">
        <v>285</v>
      </c>
      <c r="B227" s="28">
        <f>SQRT(D216/B216+D217/B217)</f>
        <v>0.25853600046723751</v>
      </c>
      <c r="C227" s="28">
        <f>(ABS(C216-C217-E214))/B227</f>
        <v>5.9152041593441167E-2</v>
      </c>
      <c r="D227" s="28">
        <f>(D216/B216+D217/B217)^2/((D216/B216)^2/(B216-1)+(D217/B217)^2/(B217-1))</f>
        <v>5.0903598760282236</v>
      </c>
      <c r="E227" s="28">
        <f>TDIST(C227,ROUND(D227,0),1)</f>
        <v>0.47756118961504801</v>
      </c>
      <c r="F227" s="28">
        <f>TINV(F225*2,ROUND(D227,0))</f>
        <v>2.0150483733330233</v>
      </c>
      <c r="G227" s="28"/>
      <c r="H227" s="28"/>
      <c r="I227" s="28" t="str">
        <f>IF(E227&lt;F225,"yes","no")</f>
        <v>no</v>
      </c>
      <c r="J227" s="28">
        <f>SQRT(C227^2/(C227^2+D227))</f>
        <v>2.6208748645091744E-2</v>
      </c>
      <c r="K227" s="28"/>
      <c r="L227" s="28" t="s">
        <v>301</v>
      </c>
      <c r="M227" s="358">
        <f>M223+M224*NORMSINV(M221)</f>
        <v>76.985618825120582</v>
      </c>
      <c r="N227" s="352">
        <f>M223+M224*NORMSINV(M221/2)</f>
        <v>66.446321564573395</v>
      </c>
      <c r="O227" s="28"/>
      <c r="P227" s="28"/>
    </row>
    <row r="228" spans="1:16" ht="18.75" customHeight="1" x14ac:dyDescent="0.25">
      <c r="A228" s="28" t="s">
        <v>286</v>
      </c>
      <c r="B228" s="28">
        <f>B227</f>
        <v>0.25853600046723751</v>
      </c>
      <c r="C228" s="28">
        <f t="shared" ref="C228:D228" si="44">C227</f>
        <v>5.9152041593441167E-2</v>
      </c>
      <c r="D228" s="28">
        <f t="shared" si="44"/>
        <v>5.0903598760282236</v>
      </c>
      <c r="E228" s="28">
        <f>TDIST(C228,ROUND(D228,0),2)</f>
        <v>0.95512237923009602</v>
      </c>
      <c r="F228" s="28">
        <f>TINV(F225,ROUND(D228,0))</f>
        <v>2.570581835636315</v>
      </c>
      <c r="G228" s="28">
        <f>(C216-C217)-F228*B228</f>
        <v>-0.6492950144061026</v>
      </c>
      <c r="H228" s="28">
        <f>(C216-C217)+F228*B228</f>
        <v>0.67988087891218252</v>
      </c>
      <c r="I228" s="28" t="str">
        <f>IF(E228&lt;F225,"yes","no")</f>
        <v>no</v>
      </c>
      <c r="J228" s="28">
        <f>J227</f>
        <v>2.6208748645091744E-2</v>
      </c>
      <c r="K228" s="28"/>
      <c r="L228" s="28" t="s">
        <v>279</v>
      </c>
      <c r="M228" s="359">
        <f>1-NORMSDIST(M225)</f>
        <v>0.29522811453590947</v>
      </c>
      <c r="N228" s="339">
        <f>2*M228</f>
        <v>0.59045622907181894</v>
      </c>
      <c r="O228" s="28"/>
      <c r="P228" s="28"/>
    </row>
    <row r="229" spans="1:16" ht="18.75" customHeight="1" x14ac:dyDescent="0.25">
      <c r="A229" s="354"/>
      <c r="B229" s="354"/>
      <c r="C229" s="354"/>
      <c r="D229" s="354"/>
      <c r="E229" s="354"/>
      <c r="F229" s="354"/>
      <c r="G229" s="354"/>
      <c r="H229" s="354"/>
      <c r="I229" s="354"/>
      <c r="J229" s="354"/>
      <c r="K229" s="28"/>
      <c r="L229" s="28" t="s">
        <v>302</v>
      </c>
      <c r="M229" s="360" t="str">
        <f>IF(M228&lt;M221,"yes","no")</f>
        <v>no</v>
      </c>
      <c r="N229" s="361" t="str">
        <f>IF(N228&lt;M221,"yes","no")</f>
        <v>no</v>
      </c>
      <c r="O229" s="28"/>
      <c r="P229" s="28"/>
    </row>
    <row r="230" spans="1:16" ht="18.75" customHeight="1" x14ac:dyDescent="0.25">
      <c r="A230" s="28"/>
      <c r="B230" s="28"/>
      <c r="C230" s="28"/>
      <c r="D230" s="28"/>
      <c r="E230" s="28"/>
      <c r="F230" s="28"/>
      <c r="G230" s="28"/>
      <c r="H230" s="28"/>
      <c r="I230" s="28"/>
      <c r="J230" s="28"/>
      <c r="K230" s="28"/>
      <c r="L230" s="28"/>
      <c r="M230" s="28"/>
      <c r="N230" s="28"/>
      <c r="O230" s="28"/>
      <c r="P230" s="28"/>
    </row>
    <row r="231" spans="1:16" ht="18.75" customHeight="1" x14ac:dyDescent="0.25">
      <c r="A231" s="28"/>
      <c r="B231" s="28"/>
      <c r="C231" s="28"/>
      <c r="D231" s="28"/>
      <c r="E231" s="28"/>
      <c r="F231" s="28"/>
      <c r="G231" s="28"/>
      <c r="H231" s="28"/>
      <c r="I231" s="28"/>
      <c r="J231" s="28"/>
      <c r="K231" s="28"/>
      <c r="L231" s="28"/>
      <c r="M231" s="28"/>
      <c r="N231" s="28"/>
      <c r="O231" s="28"/>
      <c r="P231" s="28"/>
    </row>
    <row r="232" spans="1:16" ht="18.75" customHeight="1" x14ac:dyDescent="0.25">
      <c r="A232" s="28"/>
      <c r="B232" s="28"/>
      <c r="C232" s="28"/>
      <c r="D232" s="28"/>
      <c r="E232" s="28"/>
      <c r="F232" s="28"/>
      <c r="G232" s="28"/>
      <c r="H232" s="28"/>
      <c r="I232" s="28"/>
      <c r="J232" s="28"/>
      <c r="K232" s="28"/>
      <c r="L232" s="28"/>
      <c r="M232" s="28"/>
      <c r="N232" s="28"/>
      <c r="O232" s="28"/>
      <c r="P232" s="28"/>
    </row>
    <row r="233" spans="1:16" ht="18.75" customHeight="1" x14ac:dyDescent="0.25">
      <c r="A233" s="28"/>
      <c r="B233" s="28"/>
      <c r="C233" s="28"/>
      <c r="D233" s="28"/>
      <c r="E233" s="28"/>
      <c r="F233" s="28"/>
      <c r="G233" s="28"/>
      <c r="H233" s="28"/>
      <c r="I233" s="28"/>
      <c r="J233" s="28"/>
      <c r="K233" s="28"/>
      <c r="L233" s="28"/>
      <c r="M233" s="28"/>
      <c r="N233" s="28"/>
      <c r="O233" s="28"/>
      <c r="P233" s="28"/>
    </row>
    <row r="234" spans="1:16" ht="18.75" customHeight="1" x14ac:dyDescent="0.25">
      <c r="A234" s="28"/>
      <c r="B234" s="28"/>
      <c r="C234" s="28"/>
      <c r="D234" s="28"/>
      <c r="E234" s="28"/>
      <c r="F234" s="28"/>
      <c r="G234" s="28"/>
      <c r="H234" s="28"/>
      <c r="I234" s="28"/>
      <c r="J234" s="28"/>
      <c r="K234" s="28"/>
      <c r="L234" s="28"/>
      <c r="M234" s="28"/>
      <c r="N234" s="28"/>
      <c r="O234" s="28"/>
      <c r="P234" s="28"/>
    </row>
  </sheetData>
  <sheetProtection algorithmName="SHA-512" hashValue="yNmts+Ae74M7ZgcLt4FWYUKbO3c6dMXrdrz1F70jIRcUtp4B9Phe+YgMbu7TWBhknV5oY6lz5N9U4ZtJm7H8xg==" saltValue="Je/38JkkXxKMBK6CMYfe+g==" spinCount="100000" sheet="1" scenarios="1"/>
  <mergeCells count="18">
    <mergeCell ref="B3:R3"/>
    <mergeCell ref="C4:I4"/>
    <mergeCell ref="K4:Q4"/>
    <mergeCell ref="A60:Q60"/>
    <mergeCell ref="B68:Q68"/>
    <mergeCell ref="A52:A57"/>
    <mergeCell ref="B52:I52"/>
    <mergeCell ref="J52:Q52"/>
    <mergeCell ref="C61:I61"/>
    <mergeCell ref="K61:Q61"/>
    <mergeCell ref="A87:R87"/>
    <mergeCell ref="AL23:AM23"/>
    <mergeCell ref="AL26:AM26"/>
    <mergeCell ref="A78:A83"/>
    <mergeCell ref="C69:I69"/>
    <mergeCell ref="K69:Q69"/>
    <mergeCell ref="J78:Q78"/>
    <mergeCell ref="B78:I78"/>
  </mergeCells>
  <pageMargins left="0.7" right="0.7" top="0.75" bottom="0.75" header="0.3" footer="0.3"/>
  <pageSetup orientation="portrait" verticalDpi="597" r:id="rId1"/>
  <ignoredErrors>
    <ignoredError sqref="T75:Z76" formulaRange="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AU513"/>
  <sheetViews>
    <sheetView showGridLines="0" topLeftCell="O1" zoomScaleNormal="100" workbookViewId="0">
      <selection activeCell="AA33" sqref="AA33"/>
    </sheetView>
  </sheetViews>
  <sheetFormatPr defaultColWidth="15.7109375" defaultRowHeight="15.75" x14ac:dyDescent="0.25"/>
  <cols>
    <col min="1" max="1" width="12.5703125" style="3" customWidth="1"/>
    <col min="2" max="2" width="23.28515625" style="3" customWidth="1"/>
    <col min="3" max="3" width="10.42578125" style="1" customWidth="1"/>
    <col min="4" max="4" width="14.28515625" style="1" customWidth="1"/>
    <col min="5" max="10" width="10.42578125" style="1" customWidth="1"/>
    <col min="11" max="11" width="10.42578125" customWidth="1"/>
    <col min="12" max="12" width="10.5703125" customWidth="1"/>
    <col min="13" max="13" width="10.85546875" bestFit="1" customWidth="1"/>
    <col min="14" max="14" width="11.42578125" bestFit="1" customWidth="1"/>
    <col min="15" max="19" width="10.85546875" bestFit="1" customWidth="1"/>
    <col min="21" max="21" width="17.140625" style="20" customWidth="1"/>
    <col min="22" max="22" width="24.5703125" style="20" customWidth="1"/>
    <col min="23" max="23" width="7.7109375" style="20" customWidth="1"/>
    <col min="24" max="24" width="17.5703125" style="20" customWidth="1"/>
    <col min="25" max="25" width="7" style="20" customWidth="1"/>
    <col min="26" max="26" width="11.5703125" style="20" bestFit="1" customWidth="1"/>
    <col min="27" max="27" width="14.42578125" style="20" bestFit="1" customWidth="1"/>
    <col min="28" max="28" width="15.5703125" customWidth="1"/>
    <col min="29" max="29" width="17" customWidth="1"/>
    <col min="30" max="30" width="9.42578125" style="1" customWidth="1"/>
    <col min="31" max="32" width="9.42578125" customWidth="1"/>
    <col min="33" max="38" width="11.28515625" customWidth="1"/>
  </cols>
  <sheetData>
    <row r="1" spans="1:47" ht="18.75" x14ac:dyDescent="0.25">
      <c r="A1" s="269" t="s">
        <v>219</v>
      </c>
      <c r="C1" s="223"/>
      <c r="D1" s="223"/>
      <c r="E1" s="223"/>
      <c r="F1" s="223"/>
      <c r="G1" s="223"/>
      <c r="H1" s="223"/>
      <c r="I1" s="223"/>
      <c r="J1" s="223"/>
      <c r="N1" s="264" t="s">
        <v>245</v>
      </c>
      <c r="AD1" s="223"/>
    </row>
    <row r="2" spans="1:47" ht="18.75" x14ac:dyDescent="0.25">
      <c r="A2" s="269"/>
      <c r="B2" s="269"/>
      <c r="C2" s="223"/>
      <c r="D2" s="223"/>
      <c r="E2" s="223"/>
      <c r="F2" s="223"/>
      <c r="G2" s="223"/>
      <c r="H2" s="223"/>
      <c r="I2" s="223"/>
      <c r="J2" s="223"/>
      <c r="AD2" s="223"/>
    </row>
    <row r="3" spans="1:47" ht="18.75" x14ac:dyDescent="0.25">
      <c r="A3" s="432" t="s">
        <v>183</v>
      </c>
      <c r="B3" s="432"/>
      <c r="C3" s="432"/>
      <c r="D3" s="432"/>
      <c r="E3" s="432"/>
      <c r="F3" s="432"/>
      <c r="G3" s="432"/>
      <c r="H3" s="432"/>
      <c r="I3" s="432"/>
      <c r="J3" s="432"/>
      <c r="K3" s="432"/>
      <c r="L3" s="432"/>
      <c r="M3" s="432"/>
      <c r="N3" s="432"/>
      <c r="O3" s="432"/>
      <c r="P3" s="432"/>
      <c r="Q3" s="432"/>
      <c r="R3" s="432"/>
      <c r="S3" s="432"/>
      <c r="T3" s="432"/>
      <c r="AD3" s="223"/>
      <c r="AH3" t="s">
        <v>220</v>
      </c>
    </row>
    <row r="4" spans="1:47" ht="18.75" x14ac:dyDescent="0.3">
      <c r="A4"/>
      <c r="B4"/>
      <c r="C4" s="15"/>
      <c r="D4" s="292"/>
      <c r="E4" s="421" t="s">
        <v>214</v>
      </c>
      <c r="F4" s="421"/>
      <c r="G4" s="421"/>
      <c r="H4" s="421"/>
      <c r="I4" s="421"/>
      <c r="J4" s="421"/>
      <c r="K4" s="421"/>
      <c r="L4" s="223"/>
      <c r="M4" s="421" t="s">
        <v>213</v>
      </c>
      <c r="N4" s="421"/>
      <c r="O4" s="421"/>
      <c r="P4" s="421"/>
      <c r="Q4" s="421"/>
      <c r="R4" s="421"/>
      <c r="S4" s="421"/>
      <c r="T4" s="292"/>
      <c r="U4" s="263" t="s">
        <v>246</v>
      </c>
      <c r="AD4" s="223"/>
      <c r="AF4" s="439" t="s">
        <v>139</v>
      </c>
      <c r="AG4" s="439"/>
      <c r="AH4" s="439"/>
      <c r="AI4" s="439"/>
      <c r="AJ4" s="439"/>
      <c r="AK4" s="439"/>
      <c r="AL4" s="439"/>
    </row>
    <row r="5" spans="1:47" ht="36" x14ac:dyDescent="0.25">
      <c r="A5" s="3" t="s">
        <v>140</v>
      </c>
      <c r="B5" s="3" t="s">
        <v>237</v>
      </c>
      <c r="C5" s="305" t="s">
        <v>203</v>
      </c>
      <c r="D5" s="3" t="s">
        <v>138</v>
      </c>
      <c r="E5" s="223" t="s">
        <v>7</v>
      </c>
      <c r="F5" s="223" t="s">
        <v>1</v>
      </c>
      <c r="G5" s="223" t="s">
        <v>2</v>
      </c>
      <c r="H5" s="223" t="s">
        <v>3</v>
      </c>
      <c r="I5" s="223" t="s">
        <v>4</v>
      </c>
      <c r="J5" s="223" t="s">
        <v>5</v>
      </c>
      <c r="K5" s="223" t="s">
        <v>6</v>
      </c>
      <c r="L5" s="223"/>
      <c r="M5" s="223" t="s">
        <v>7</v>
      </c>
      <c r="N5" s="223" t="s">
        <v>1</v>
      </c>
      <c r="O5" s="223" t="s">
        <v>2</v>
      </c>
      <c r="P5" s="223" t="s">
        <v>3</v>
      </c>
      <c r="Q5" s="223" t="s">
        <v>4</v>
      </c>
      <c r="R5" s="223" t="s">
        <v>5</v>
      </c>
      <c r="S5" s="223" t="s">
        <v>6</v>
      </c>
      <c r="T5" s="223"/>
      <c r="V5" s="21"/>
      <c r="W5" s="21"/>
      <c r="X5" s="21"/>
      <c r="Y5" s="21"/>
      <c r="AB5" s="12"/>
      <c r="AC5" s="3" t="s">
        <v>140</v>
      </c>
      <c r="AD5" s="4" t="s">
        <v>0</v>
      </c>
      <c r="AE5" s="3" t="s">
        <v>9</v>
      </c>
      <c r="AF5" s="1" t="s">
        <v>7</v>
      </c>
      <c r="AG5" s="1" t="s">
        <v>1</v>
      </c>
      <c r="AH5" s="1" t="s">
        <v>2</v>
      </c>
      <c r="AI5" s="1" t="s">
        <v>3</v>
      </c>
      <c r="AJ5" s="1" t="s">
        <v>4</v>
      </c>
      <c r="AK5" s="1" t="s">
        <v>5</v>
      </c>
      <c r="AL5" s="1" t="s">
        <v>6</v>
      </c>
    </row>
    <row r="6" spans="1:47" x14ac:dyDescent="0.25">
      <c r="A6" s="135" t="s">
        <v>101</v>
      </c>
      <c r="B6" s="3" t="s">
        <v>221</v>
      </c>
      <c r="C6" s="306">
        <v>196.05028608000001</v>
      </c>
      <c r="D6" s="250">
        <v>42227.444444444445</v>
      </c>
      <c r="E6" s="15">
        <v>3100</v>
      </c>
      <c r="F6" s="15">
        <v>3.4000000000000002E-2</v>
      </c>
      <c r="G6" s="15">
        <v>3.8</v>
      </c>
      <c r="H6" s="15">
        <v>5200</v>
      </c>
      <c r="I6" s="15">
        <v>4.0999999999999996</v>
      </c>
      <c r="J6" s="15">
        <v>160</v>
      </c>
      <c r="K6" s="15">
        <v>15</v>
      </c>
      <c r="L6" s="15"/>
      <c r="M6" s="253">
        <f t="shared" ref="M6:M37" si="0">LOG(AF6)</f>
        <v>3.4913616938342726</v>
      </c>
      <c r="N6" s="253">
        <f t="shared" ref="N6:N37" si="1">LOG(AG6)</f>
        <v>-1.4685210829577449</v>
      </c>
      <c r="O6" s="253">
        <f t="shared" ref="O6:O37" si="2">LOG(AH6)</f>
        <v>0.57978359661681012</v>
      </c>
      <c r="P6" s="253">
        <f t="shared" ref="P6:P37" si="3">LOG(AI6)</f>
        <v>3.716003343634799</v>
      </c>
      <c r="Q6" s="253">
        <f t="shared" ref="Q6:Q37" si="4">LOG(AJ6)</f>
        <v>0.61278385671973545</v>
      </c>
      <c r="R6" s="253">
        <f t="shared" ref="R6:R37" si="5">LOG(AK6)</f>
        <v>2.2041199826559246</v>
      </c>
      <c r="S6" s="253">
        <f t="shared" ref="S6:S37" si="6">LOG(AL6)</f>
        <v>1.1760912590556813</v>
      </c>
      <c r="V6" s="21"/>
      <c r="W6" s="21"/>
      <c r="X6" s="21"/>
      <c r="Y6" s="21"/>
      <c r="AB6" s="12"/>
      <c r="AC6" s="135" t="s">
        <v>101</v>
      </c>
      <c r="AD6" s="306">
        <v>196.05028608000001</v>
      </c>
      <c r="AE6" s="210">
        <v>42227.444444444445</v>
      </c>
      <c r="AF6" s="15">
        <v>3100</v>
      </c>
      <c r="AG6" s="15">
        <v>3.4000000000000002E-2</v>
      </c>
      <c r="AH6" s="15">
        <v>3.8</v>
      </c>
      <c r="AI6" s="15">
        <v>5200</v>
      </c>
      <c r="AJ6" s="15">
        <v>4.0999999999999996</v>
      </c>
      <c r="AK6" s="15">
        <v>160</v>
      </c>
      <c r="AL6" s="15">
        <v>15</v>
      </c>
    </row>
    <row r="7" spans="1:47" ht="18.75" x14ac:dyDescent="0.3">
      <c r="A7" s="135" t="s">
        <v>101</v>
      </c>
      <c r="B7" s="3" t="s">
        <v>221</v>
      </c>
      <c r="C7" s="306">
        <v>196.05028608000001</v>
      </c>
      <c r="D7" s="250">
        <v>42228.520833333336</v>
      </c>
      <c r="E7" s="15">
        <v>4200</v>
      </c>
      <c r="F7" s="15">
        <v>5.1999999999999998E-2</v>
      </c>
      <c r="G7" s="15">
        <v>6</v>
      </c>
      <c r="H7" s="15">
        <v>6900</v>
      </c>
      <c r="I7" s="15">
        <v>6.2</v>
      </c>
      <c r="J7" s="15">
        <v>210</v>
      </c>
      <c r="K7" s="15">
        <v>18</v>
      </c>
      <c r="L7" s="15"/>
      <c r="M7" s="253">
        <f t="shared" si="0"/>
        <v>3.3802112417116059</v>
      </c>
      <c r="N7" s="253">
        <f t="shared" si="1"/>
        <v>-1.5528419686577808</v>
      </c>
      <c r="O7" s="253">
        <f t="shared" si="2"/>
        <v>0.56820172406699498</v>
      </c>
      <c r="P7" s="253">
        <f t="shared" si="3"/>
        <v>3.6334684555795866</v>
      </c>
      <c r="Q7" s="253">
        <f t="shared" si="4"/>
        <v>0.53147891704225514</v>
      </c>
      <c r="R7" s="253">
        <f t="shared" si="5"/>
        <v>2.1760912590556813</v>
      </c>
      <c r="S7" s="253">
        <f t="shared" si="6"/>
        <v>1.1139433523068367</v>
      </c>
      <c r="V7" s="21"/>
      <c r="W7" s="137" t="s">
        <v>129</v>
      </c>
      <c r="X7" s="21"/>
      <c r="Y7" s="21"/>
      <c r="AB7" s="212"/>
      <c r="AC7" s="135" t="s">
        <v>101</v>
      </c>
      <c r="AD7" s="306">
        <v>204.48324864000003</v>
      </c>
      <c r="AE7" s="210">
        <v>42227.482638888891</v>
      </c>
      <c r="AF7" s="15">
        <v>2400</v>
      </c>
      <c r="AG7" s="15">
        <v>2.8000000000000001E-2</v>
      </c>
      <c r="AH7" s="15">
        <v>3.7</v>
      </c>
      <c r="AI7" s="15">
        <v>4300</v>
      </c>
      <c r="AJ7" s="15">
        <v>3.4</v>
      </c>
      <c r="AK7" s="15">
        <v>150</v>
      </c>
      <c r="AL7" s="15">
        <v>13</v>
      </c>
      <c r="AN7" s="263" t="s">
        <v>244</v>
      </c>
    </row>
    <row r="8" spans="1:47" x14ac:dyDescent="0.25">
      <c r="A8" s="135" t="s">
        <v>101</v>
      </c>
      <c r="B8" s="3" t="s">
        <v>221</v>
      </c>
      <c r="C8" s="306">
        <v>196.05028608000001</v>
      </c>
      <c r="D8" s="250">
        <v>42229.520833333336</v>
      </c>
      <c r="E8" s="15">
        <v>2700</v>
      </c>
      <c r="F8" s="15">
        <v>2.1000000000000001E-2</v>
      </c>
      <c r="G8" s="15">
        <v>3.1</v>
      </c>
      <c r="H8" s="15">
        <v>5000</v>
      </c>
      <c r="I8" s="15">
        <v>4.4000000000000004</v>
      </c>
      <c r="J8" s="15">
        <v>140</v>
      </c>
      <c r="K8" s="15">
        <v>11</v>
      </c>
      <c r="L8" s="15"/>
      <c r="M8" s="253">
        <f t="shared" si="0"/>
        <v>3.6232492903979003</v>
      </c>
      <c r="N8" s="253">
        <f t="shared" si="1"/>
        <v>-1.2839966563652008</v>
      </c>
      <c r="O8" s="253">
        <f t="shared" si="2"/>
        <v>0.77815125038364363</v>
      </c>
      <c r="P8" s="253">
        <f t="shared" si="3"/>
        <v>3.8388490907372552</v>
      </c>
      <c r="Q8" s="253">
        <f t="shared" si="4"/>
        <v>0.79239168949825389</v>
      </c>
      <c r="R8" s="253">
        <f t="shared" si="5"/>
        <v>2.3222192947339191</v>
      </c>
      <c r="S8" s="253">
        <f t="shared" si="6"/>
        <v>1.255272505103306</v>
      </c>
      <c r="U8" s="127" t="s">
        <v>130</v>
      </c>
      <c r="V8" s="21"/>
      <c r="X8" s="21"/>
      <c r="Y8" s="21"/>
      <c r="AB8" s="212"/>
      <c r="AC8" s="135" t="s">
        <v>101</v>
      </c>
      <c r="AD8" s="306">
        <v>196.05028608000001</v>
      </c>
      <c r="AE8" s="210">
        <v>42228.520833333336</v>
      </c>
      <c r="AF8" s="15">
        <v>4200</v>
      </c>
      <c r="AG8" s="15">
        <v>5.1999999999999998E-2</v>
      </c>
      <c r="AH8" s="15">
        <v>6</v>
      </c>
      <c r="AI8" s="15">
        <v>6900</v>
      </c>
      <c r="AJ8" s="15">
        <v>6.2</v>
      </c>
      <c r="AK8" s="15">
        <v>210</v>
      </c>
      <c r="AL8" s="15">
        <v>18</v>
      </c>
    </row>
    <row r="9" spans="1:47" x14ac:dyDescent="0.25">
      <c r="A9" s="135" t="s">
        <v>101</v>
      </c>
      <c r="B9" s="3" t="s">
        <v>221</v>
      </c>
      <c r="C9" s="306">
        <v>196.05028608000001</v>
      </c>
      <c r="D9" s="250">
        <v>42231.482638888891</v>
      </c>
      <c r="E9" s="15">
        <v>17000</v>
      </c>
      <c r="F9" s="15">
        <v>0.36</v>
      </c>
      <c r="G9" s="15">
        <v>10</v>
      </c>
      <c r="H9" s="15">
        <v>16000</v>
      </c>
      <c r="I9" s="15">
        <v>9.1999999999999993</v>
      </c>
      <c r="J9" s="15">
        <v>290</v>
      </c>
      <c r="K9" s="15">
        <v>36</v>
      </c>
      <c r="L9" s="15"/>
      <c r="M9" s="253">
        <f t="shared" si="0"/>
        <v>3.6127838567197355</v>
      </c>
      <c r="N9" s="253">
        <f t="shared" si="1"/>
        <v>-1.3279021420642825</v>
      </c>
      <c r="O9" s="253">
        <f t="shared" si="2"/>
        <v>0.74818802700620035</v>
      </c>
      <c r="P9" s="253">
        <f t="shared" si="3"/>
        <v>3.8512583487190755</v>
      </c>
      <c r="Q9" s="253">
        <f t="shared" si="4"/>
        <v>0.75587485567249146</v>
      </c>
      <c r="R9" s="253">
        <f t="shared" si="5"/>
        <v>2.255272505103306</v>
      </c>
      <c r="S9" s="253">
        <f t="shared" si="6"/>
        <v>1.2787536009528289</v>
      </c>
      <c r="U9" s="112" t="s">
        <v>8</v>
      </c>
      <c r="V9" s="112" t="s">
        <v>27</v>
      </c>
      <c r="W9" s="112" t="s">
        <v>116</v>
      </c>
      <c r="X9" s="112" t="s">
        <v>126</v>
      </c>
      <c r="Y9" s="112" t="s">
        <v>116</v>
      </c>
      <c r="Z9" s="112" t="s">
        <v>12</v>
      </c>
      <c r="AA9" s="112" t="s">
        <v>13</v>
      </c>
      <c r="AB9" s="212"/>
      <c r="AC9" s="135" t="s">
        <v>101</v>
      </c>
      <c r="AD9" s="306">
        <v>204.48324864000003</v>
      </c>
      <c r="AE9" s="210">
        <v>42228.555555555555</v>
      </c>
      <c r="AF9" s="15">
        <v>4100</v>
      </c>
      <c r="AG9" s="15">
        <v>4.7E-2</v>
      </c>
      <c r="AH9" s="15">
        <v>5.6</v>
      </c>
      <c r="AI9" s="15">
        <v>7100</v>
      </c>
      <c r="AJ9" s="15">
        <v>5.7</v>
      </c>
      <c r="AK9" s="15">
        <v>180</v>
      </c>
      <c r="AL9" s="15">
        <v>19</v>
      </c>
    </row>
    <row r="10" spans="1:47" s="399" customFormat="1" ht="18.75" customHeight="1" x14ac:dyDescent="0.25">
      <c r="A10" s="135" t="s">
        <v>101</v>
      </c>
      <c r="B10" s="3" t="s">
        <v>221</v>
      </c>
      <c r="C10" s="306">
        <v>196.05028608000001</v>
      </c>
      <c r="D10" s="250">
        <v>42232.409722222219</v>
      </c>
      <c r="E10" s="15">
        <v>8200</v>
      </c>
      <c r="F10" s="15">
        <v>0.14000000000000001</v>
      </c>
      <c r="G10" s="15">
        <v>10</v>
      </c>
      <c r="H10" s="15">
        <v>11000</v>
      </c>
      <c r="I10" s="15">
        <v>8.8000000000000007</v>
      </c>
      <c r="J10" s="15">
        <v>280</v>
      </c>
      <c r="K10" s="15">
        <v>33</v>
      </c>
      <c r="L10" s="15"/>
      <c r="M10" s="253">
        <f t="shared" si="0"/>
        <v>3.4313637641589874</v>
      </c>
      <c r="N10" s="253">
        <f t="shared" si="1"/>
        <v>-1.6777807052660807</v>
      </c>
      <c r="O10" s="253">
        <f t="shared" si="2"/>
        <v>0.49136169383427269</v>
      </c>
      <c r="P10" s="253">
        <f t="shared" si="3"/>
        <v>3.6989700043360187</v>
      </c>
      <c r="Q10" s="253">
        <f t="shared" si="4"/>
        <v>0.64345267648618742</v>
      </c>
      <c r="R10" s="253">
        <f t="shared" si="5"/>
        <v>2.1461280356782382</v>
      </c>
      <c r="S10" s="253">
        <f t="shared" si="6"/>
        <v>1.0413926851582251</v>
      </c>
      <c r="U10" s="78" t="s">
        <v>7</v>
      </c>
      <c r="V10" s="68" t="s">
        <v>21</v>
      </c>
      <c r="W10" s="60" t="s">
        <v>20</v>
      </c>
      <c r="X10" s="81">
        <f>E184</f>
        <v>3942.7087263002559</v>
      </c>
      <c r="Y10" s="120">
        <f>E186</f>
        <v>207.28295358702269</v>
      </c>
      <c r="Z10" s="68" t="s">
        <v>20</v>
      </c>
      <c r="AA10" s="68" t="s">
        <v>20</v>
      </c>
      <c r="AB10" s="212"/>
      <c r="AC10" s="135" t="s">
        <v>101</v>
      </c>
      <c r="AD10" s="306">
        <v>196.05028608000001</v>
      </c>
      <c r="AE10" s="210">
        <v>42229.520833333336</v>
      </c>
      <c r="AF10" s="15">
        <v>2700</v>
      </c>
      <c r="AG10" s="15">
        <v>2.1000000000000001E-2</v>
      </c>
      <c r="AH10" s="15">
        <v>3.1</v>
      </c>
      <c r="AI10" s="15">
        <v>5000</v>
      </c>
      <c r="AJ10" s="15">
        <v>4.4000000000000004</v>
      </c>
      <c r="AK10" s="15">
        <v>140</v>
      </c>
      <c r="AL10" s="15">
        <v>11</v>
      </c>
      <c r="AU10" s="67" t="s">
        <v>242</v>
      </c>
    </row>
    <row r="11" spans="1:47" s="399" customFormat="1" ht="18.75" customHeight="1" x14ac:dyDescent="0.25">
      <c r="A11" s="135" t="s">
        <v>101</v>
      </c>
      <c r="B11" s="3" t="s">
        <v>221</v>
      </c>
      <c r="C11" s="306">
        <v>196.05028608000001</v>
      </c>
      <c r="D11" s="250">
        <v>42233.381944444445</v>
      </c>
      <c r="E11" s="15">
        <v>8100</v>
      </c>
      <c r="F11" s="15">
        <v>0.13</v>
      </c>
      <c r="G11" s="15">
        <v>11</v>
      </c>
      <c r="H11" s="15">
        <v>12000</v>
      </c>
      <c r="I11" s="15">
        <v>10</v>
      </c>
      <c r="J11" s="15">
        <v>300</v>
      </c>
      <c r="K11" s="15">
        <v>43</v>
      </c>
      <c r="L11" s="15"/>
      <c r="M11" s="253">
        <f t="shared" si="0"/>
        <v>3.4771212547196626</v>
      </c>
      <c r="N11" s="253">
        <f t="shared" si="1"/>
        <v>-1.4685210829577449</v>
      </c>
      <c r="O11" s="253">
        <f t="shared" si="2"/>
        <v>0.56820172406699498</v>
      </c>
      <c r="P11" s="253">
        <f t="shared" si="3"/>
        <v>3.7853298350107671</v>
      </c>
      <c r="Q11" s="253">
        <f t="shared" si="4"/>
        <v>0.79239168949825389</v>
      </c>
      <c r="R11" s="253">
        <f t="shared" si="5"/>
        <v>2.1760912590556813</v>
      </c>
      <c r="S11" s="253">
        <f t="shared" si="6"/>
        <v>1.146128035678238</v>
      </c>
      <c r="U11" s="78" t="s">
        <v>1</v>
      </c>
      <c r="V11" s="68" t="s">
        <v>23</v>
      </c>
      <c r="W11" s="60" t="s">
        <v>20</v>
      </c>
      <c r="X11" s="107">
        <f>F184</f>
        <v>5.4579459461438183E-2</v>
      </c>
      <c r="Y11" s="119">
        <f>F186</f>
        <v>7.442368821223776E-3</v>
      </c>
      <c r="Z11" s="68" t="s">
        <v>20</v>
      </c>
      <c r="AA11" s="68" t="s">
        <v>20</v>
      </c>
      <c r="AB11" s="212"/>
      <c r="AC11" s="135" t="s">
        <v>101</v>
      </c>
      <c r="AD11" s="306">
        <v>204.48324864000003</v>
      </c>
      <c r="AE11" s="210">
        <v>42229.548611111109</v>
      </c>
      <c r="AF11" s="15">
        <v>3000</v>
      </c>
      <c r="AG11" s="15">
        <v>3.4000000000000002E-2</v>
      </c>
      <c r="AH11" s="15">
        <v>3.7</v>
      </c>
      <c r="AI11" s="15">
        <v>6100</v>
      </c>
      <c r="AJ11" s="15">
        <v>6.2</v>
      </c>
      <c r="AK11" s="15">
        <v>150</v>
      </c>
      <c r="AL11" s="15">
        <v>14</v>
      </c>
      <c r="AU11" s="67" t="s">
        <v>26</v>
      </c>
    </row>
    <row r="12" spans="1:47" s="399" customFormat="1" ht="18.75" customHeight="1" x14ac:dyDescent="0.25">
      <c r="A12" s="135" t="s">
        <v>101</v>
      </c>
      <c r="B12" s="3" t="s">
        <v>221</v>
      </c>
      <c r="C12" s="306">
        <v>196.05028608000001</v>
      </c>
      <c r="D12" s="250">
        <v>42234.569444444445</v>
      </c>
      <c r="E12" s="15">
        <v>6100</v>
      </c>
      <c r="F12" s="15">
        <v>9.5000000000000001E-2</v>
      </c>
      <c r="G12" s="15">
        <v>8.1</v>
      </c>
      <c r="H12" s="15">
        <v>8700</v>
      </c>
      <c r="I12" s="15">
        <v>9</v>
      </c>
      <c r="J12" s="15">
        <v>230</v>
      </c>
      <c r="K12" s="15">
        <v>38</v>
      </c>
      <c r="L12" s="15"/>
      <c r="M12" s="253">
        <f t="shared" si="0"/>
        <v>3.6127838567197355</v>
      </c>
      <c r="N12" s="253">
        <f t="shared" si="1"/>
        <v>-0.49485002168009401</v>
      </c>
      <c r="O12" s="253">
        <f t="shared" si="2"/>
        <v>0.74036268949424389</v>
      </c>
      <c r="P12" s="253">
        <f t="shared" si="3"/>
        <v>4.1461280356782382</v>
      </c>
      <c r="Q12" s="253">
        <f t="shared" si="4"/>
        <v>1.0791812460476249</v>
      </c>
      <c r="R12" s="253">
        <f t="shared" si="5"/>
        <v>2.4149733479708178</v>
      </c>
      <c r="S12" s="253">
        <f t="shared" si="6"/>
        <v>1.568201724066995</v>
      </c>
      <c r="U12" s="77" t="s">
        <v>2</v>
      </c>
      <c r="V12" s="73">
        <f>G253</f>
        <v>4.3209968210307972</v>
      </c>
      <c r="W12" s="73">
        <f>G255</f>
        <v>1.4338262815007292</v>
      </c>
      <c r="X12" s="73">
        <f>G184</f>
        <v>4.4589293226556617</v>
      </c>
      <c r="Y12" s="76">
        <f>G186</f>
        <v>0.20491115803744719</v>
      </c>
      <c r="Z12" s="55">
        <v>0.84</v>
      </c>
      <c r="AA12" s="55">
        <v>0.66</v>
      </c>
      <c r="AB12" s="212"/>
      <c r="AC12" s="135" t="s">
        <v>101</v>
      </c>
      <c r="AD12" s="306">
        <v>246.34228608000001</v>
      </c>
      <c r="AE12" s="210">
        <v>42230.381944444445</v>
      </c>
      <c r="AF12" s="15">
        <v>4100</v>
      </c>
      <c r="AG12" s="15">
        <v>0.32</v>
      </c>
      <c r="AH12" s="15">
        <v>5.5</v>
      </c>
      <c r="AI12" s="15">
        <v>14000</v>
      </c>
      <c r="AJ12" s="15">
        <v>12</v>
      </c>
      <c r="AK12" s="15">
        <v>260</v>
      </c>
      <c r="AL12" s="15">
        <v>37</v>
      </c>
      <c r="AU12" s="67" t="s">
        <v>101</v>
      </c>
    </row>
    <row r="13" spans="1:47" s="399" customFormat="1" ht="18.75" customHeight="1" x14ac:dyDescent="0.25">
      <c r="A13" s="135" t="s">
        <v>101</v>
      </c>
      <c r="B13" s="3" t="s">
        <v>221</v>
      </c>
      <c r="C13" s="306">
        <v>196.05028608000001</v>
      </c>
      <c r="D13" s="250">
        <v>42235.555555555555</v>
      </c>
      <c r="E13" s="15">
        <v>6600</v>
      </c>
      <c r="F13" s="15">
        <v>0.13</v>
      </c>
      <c r="G13" s="15">
        <v>9.6</v>
      </c>
      <c r="H13" s="15">
        <v>11000</v>
      </c>
      <c r="I13" s="15">
        <v>11</v>
      </c>
      <c r="J13" s="15">
        <v>220</v>
      </c>
      <c r="K13" s="15">
        <v>48</v>
      </c>
      <c r="L13" s="15"/>
      <c r="M13" s="253">
        <f t="shared" si="0"/>
        <v>4.2304489213782741</v>
      </c>
      <c r="N13" s="253">
        <f t="shared" si="1"/>
        <v>-0.43179827593300502</v>
      </c>
      <c r="O13" s="253">
        <f t="shared" si="2"/>
        <v>1.0791812460476249</v>
      </c>
      <c r="P13" s="253">
        <f t="shared" si="3"/>
        <v>4.2552725051033065</v>
      </c>
      <c r="Q13" s="253">
        <f t="shared" si="4"/>
        <v>1</v>
      </c>
      <c r="R13" s="253">
        <f t="shared" si="5"/>
        <v>2.4471580313422194</v>
      </c>
      <c r="S13" s="253">
        <f t="shared" si="6"/>
        <v>1.6720978579357175</v>
      </c>
      <c r="U13" s="395" t="s">
        <v>3</v>
      </c>
      <c r="V13" s="396">
        <f>H253</f>
        <v>3472.3602936988013</v>
      </c>
      <c r="W13" s="396">
        <f>H255</f>
        <v>1374.0889217414599</v>
      </c>
      <c r="X13" s="396">
        <f>H184</f>
        <v>6256.534824555154</v>
      </c>
      <c r="Y13" s="397">
        <f>H186</f>
        <v>214.24751055174809</v>
      </c>
      <c r="Z13" s="398">
        <v>0.04</v>
      </c>
      <c r="AA13" s="398">
        <v>5.1999999999999998E-2</v>
      </c>
      <c r="AB13" s="212"/>
      <c r="AC13" s="135" t="s">
        <v>101</v>
      </c>
      <c r="AD13" s="306">
        <v>272.47803264000004</v>
      </c>
      <c r="AE13" s="210">
        <v>42230.447916666664</v>
      </c>
      <c r="AF13" s="15">
        <v>17000</v>
      </c>
      <c r="AG13" s="15">
        <v>0.37</v>
      </c>
      <c r="AH13" s="15">
        <v>12</v>
      </c>
      <c r="AI13" s="15">
        <v>18000</v>
      </c>
      <c r="AJ13" s="15">
        <v>10</v>
      </c>
      <c r="AK13" s="15">
        <v>280</v>
      </c>
      <c r="AL13" s="15">
        <v>47</v>
      </c>
      <c r="AU13" s="67" t="s">
        <v>102</v>
      </c>
    </row>
    <row r="14" spans="1:47" s="399" customFormat="1" ht="18.75" customHeight="1" x14ac:dyDescent="0.25">
      <c r="A14" s="135" t="s">
        <v>101</v>
      </c>
      <c r="B14" s="3" t="s">
        <v>221</v>
      </c>
      <c r="C14" s="306">
        <v>196.05028608000001</v>
      </c>
      <c r="D14" s="250">
        <v>42236.451388888891</v>
      </c>
      <c r="E14" s="15">
        <v>5800</v>
      </c>
      <c r="F14" s="15">
        <v>0.11</v>
      </c>
      <c r="G14" s="15">
        <v>7.3</v>
      </c>
      <c r="H14" s="15">
        <v>7900</v>
      </c>
      <c r="I14" s="15">
        <v>9.5</v>
      </c>
      <c r="J14" s="15">
        <v>180</v>
      </c>
      <c r="K14" s="15">
        <v>42</v>
      </c>
      <c r="L14" s="15"/>
      <c r="M14" s="253">
        <f t="shared" si="0"/>
        <v>4.0791812460476251</v>
      </c>
      <c r="N14" s="253">
        <f t="shared" si="1"/>
        <v>-0.44369749923271273</v>
      </c>
      <c r="O14" s="253">
        <f t="shared" si="2"/>
        <v>0.87506126339170009</v>
      </c>
      <c r="P14" s="253">
        <f t="shared" si="3"/>
        <v>4.1760912590556813</v>
      </c>
      <c r="Q14" s="253">
        <f t="shared" si="4"/>
        <v>0.88649072517248184</v>
      </c>
      <c r="R14" s="253">
        <f t="shared" si="5"/>
        <v>2.3802112417116059</v>
      </c>
      <c r="S14" s="253">
        <f t="shared" si="6"/>
        <v>1.4471580313422192</v>
      </c>
      <c r="U14" s="454" t="s">
        <v>4</v>
      </c>
      <c r="V14" s="445">
        <f>I253</f>
        <v>7.0975183455217117</v>
      </c>
      <c r="W14" s="445">
        <f>I255</f>
        <v>2.7167531465084616</v>
      </c>
      <c r="X14" s="445">
        <f>I184</f>
        <v>5.5831570890956401</v>
      </c>
      <c r="Y14" s="446">
        <f>I186</f>
        <v>0.27912246792306195</v>
      </c>
      <c r="Z14" s="443">
        <v>0.03</v>
      </c>
      <c r="AA14" s="443">
        <v>8.0000000000000002E-3</v>
      </c>
      <c r="AB14" s="212"/>
      <c r="AC14" s="135" t="s">
        <v>101</v>
      </c>
      <c r="AD14" s="306">
        <v>295.82961408</v>
      </c>
      <c r="AE14" s="210">
        <v>42230.527777777781</v>
      </c>
      <c r="AF14" s="15">
        <v>12000</v>
      </c>
      <c r="AG14" s="15">
        <v>0.36</v>
      </c>
      <c r="AH14" s="15">
        <v>7.5</v>
      </c>
      <c r="AI14" s="15">
        <v>15000</v>
      </c>
      <c r="AJ14" s="15">
        <v>7.7</v>
      </c>
      <c r="AK14" s="15">
        <v>240</v>
      </c>
      <c r="AL14" s="15">
        <v>28</v>
      </c>
    </row>
    <row r="15" spans="1:47" s="399" customFormat="1" ht="18.75" customHeight="1" x14ac:dyDescent="0.25">
      <c r="A15" s="135" t="s">
        <v>101</v>
      </c>
      <c r="B15" s="3" t="s">
        <v>221</v>
      </c>
      <c r="C15" s="306">
        <v>196.05028608000001</v>
      </c>
      <c r="D15" s="250">
        <v>42237.486111111109</v>
      </c>
      <c r="E15" s="15">
        <v>6900</v>
      </c>
      <c r="F15" s="15">
        <v>0.14000000000000001</v>
      </c>
      <c r="G15" s="15">
        <v>11</v>
      </c>
      <c r="H15" s="15">
        <v>9600</v>
      </c>
      <c r="I15" s="15">
        <v>17</v>
      </c>
      <c r="J15" s="15">
        <v>250</v>
      </c>
      <c r="K15" s="15">
        <v>73</v>
      </c>
      <c r="L15" s="15"/>
      <c r="M15" s="253">
        <f t="shared" si="0"/>
        <v>3.5314789170422549</v>
      </c>
      <c r="N15" s="253">
        <f t="shared" si="1"/>
        <v>-0.49485002168009401</v>
      </c>
      <c r="O15" s="253">
        <f t="shared" si="2"/>
        <v>0.57978359661681012</v>
      </c>
      <c r="P15" s="253">
        <f t="shared" si="3"/>
        <v>3.8864907251724818</v>
      </c>
      <c r="Q15" s="253">
        <f t="shared" si="4"/>
        <v>0.84509804001425681</v>
      </c>
      <c r="R15" s="253">
        <f t="shared" si="5"/>
        <v>2.2787536009528289</v>
      </c>
      <c r="S15" s="253">
        <f t="shared" si="6"/>
        <v>1.3424226808222062</v>
      </c>
      <c r="U15" s="77" t="s">
        <v>5</v>
      </c>
      <c r="V15" s="54">
        <f>J253</f>
        <v>165.31692822101411</v>
      </c>
      <c r="W15" s="54">
        <f>J255</f>
        <v>13.867141535280597</v>
      </c>
      <c r="X15" s="54">
        <f>J184</f>
        <v>183.84105033864273</v>
      </c>
      <c r="Y15" s="73">
        <f>J186</f>
        <v>4.6169507674360117</v>
      </c>
      <c r="Z15" s="55">
        <v>0.28999999999999998</v>
      </c>
      <c r="AA15" s="55">
        <v>0.53</v>
      </c>
      <c r="AB15" s="400"/>
      <c r="AC15" s="135" t="s">
        <v>101</v>
      </c>
      <c r="AD15" s="306">
        <v>196.87105152000001</v>
      </c>
      <c r="AE15" s="210">
        <v>42230.614583333336</v>
      </c>
      <c r="AF15" s="15">
        <v>3400</v>
      </c>
      <c r="AG15" s="15">
        <v>0.32</v>
      </c>
      <c r="AH15" s="15">
        <v>3.8</v>
      </c>
      <c r="AI15" s="15">
        <v>7700</v>
      </c>
      <c r="AJ15" s="15">
        <v>7</v>
      </c>
      <c r="AK15" s="15">
        <v>190</v>
      </c>
      <c r="AL15" s="15">
        <v>22</v>
      </c>
    </row>
    <row r="16" spans="1:47" s="399" customFormat="1" ht="18.75" customHeight="1" x14ac:dyDescent="0.25">
      <c r="A16" s="135" t="s">
        <v>101</v>
      </c>
      <c r="B16" s="3" t="s">
        <v>221</v>
      </c>
      <c r="C16" s="306">
        <v>196.05028608000001</v>
      </c>
      <c r="D16" s="250">
        <v>42238.458333333336</v>
      </c>
      <c r="E16" s="15">
        <v>7100</v>
      </c>
      <c r="F16" s="15">
        <v>0.22</v>
      </c>
      <c r="G16" s="15">
        <v>12</v>
      </c>
      <c r="H16" s="15">
        <v>11000</v>
      </c>
      <c r="I16" s="15">
        <v>16</v>
      </c>
      <c r="J16" s="15">
        <v>290</v>
      </c>
      <c r="K16" s="15">
        <v>75</v>
      </c>
      <c r="L16" s="15"/>
      <c r="M16" s="253">
        <f t="shared" si="0"/>
        <v>3.6720978579357175</v>
      </c>
      <c r="N16" s="253">
        <f t="shared" si="1"/>
        <v>-0.49485002168009401</v>
      </c>
      <c r="O16" s="253">
        <f t="shared" si="2"/>
        <v>0.61278385671973545</v>
      </c>
      <c r="P16" s="253">
        <f t="shared" si="3"/>
        <v>3.7923916894982539</v>
      </c>
      <c r="Q16" s="253">
        <f t="shared" si="4"/>
        <v>0.74818802700620035</v>
      </c>
      <c r="R16" s="253">
        <f t="shared" si="5"/>
        <v>2.255272505103306</v>
      </c>
      <c r="S16" s="253">
        <f t="shared" si="6"/>
        <v>1.3010299956639813</v>
      </c>
      <c r="U16" s="113" t="s">
        <v>6</v>
      </c>
      <c r="V16" s="114">
        <f>K253</f>
        <v>20.617727429204717</v>
      </c>
      <c r="W16" s="121">
        <f>K255</f>
        <v>2.5655551810664243</v>
      </c>
      <c r="X16" s="114">
        <f>K184</f>
        <v>20.188847715674466</v>
      </c>
      <c r="Y16" s="121">
        <f>K186</f>
        <v>1.2286193781455188</v>
      </c>
      <c r="Z16" s="115">
        <v>0.88</v>
      </c>
      <c r="AA16" s="115">
        <v>0.14000000000000001</v>
      </c>
      <c r="AB16" s="400"/>
      <c r="AC16" s="135" t="s">
        <v>101</v>
      </c>
      <c r="AD16" s="306">
        <v>214.42899456000004</v>
      </c>
      <c r="AE16" s="210">
        <v>42230.654861111114</v>
      </c>
      <c r="AF16" s="15">
        <v>4700</v>
      </c>
      <c r="AG16" s="15">
        <v>0.32</v>
      </c>
      <c r="AH16" s="15">
        <v>4.0999999999999996</v>
      </c>
      <c r="AI16" s="15">
        <v>6200</v>
      </c>
      <c r="AJ16" s="15">
        <v>5.6</v>
      </c>
      <c r="AK16" s="15">
        <v>180</v>
      </c>
      <c r="AL16" s="15">
        <v>20</v>
      </c>
    </row>
    <row r="17" spans="1:38" ht="24.75" customHeight="1" x14ac:dyDescent="0.25">
      <c r="A17" s="135" t="s">
        <v>101</v>
      </c>
      <c r="B17" s="3" t="s">
        <v>221</v>
      </c>
      <c r="C17" s="306">
        <v>196.05028608000001</v>
      </c>
      <c r="D17" s="250">
        <v>42239.482638888891</v>
      </c>
      <c r="E17" s="15">
        <v>6300</v>
      </c>
      <c r="F17" s="15">
        <v>0.31</v>
      </c>
      <c r="G17" s="15">
        <v>14</v>
      </c>
      <c r="H17" s="15">
        <v>9900</v>
      </c>
      <c r="I17" s="15">
        <v>27</v>
      </c>
      <c r="J17" s="15">
        <v>310</v>
      </c>
      <c r="K17" s="15">
        <v>110</v>
      </c>
      <c r="L17" s="15"/>
      <c r="M17" s="253">
        <f t="shared" si="0"/>
        <v>3.5314789170422549</v>
      </c>
      <c r="N17" s="253">
        <f t="shared" si="1"/>
        <v>-0.48148606012211248</v>
      </c>
      <c r="O17" s="253">
        <f t="shared" si="2"/>
        <v>0.62324929039790045</v>
      </c>
      <c r="P17" s="253">
        <f t="shared" si="3"/>
        <v>3.716003343634799</v>
      </c>
      <c r="Q17" s="253">
        <f t="shared" si="4"/>
        <v>0.83884909073725533</v>
      </c>
      <c r="R17" s="253">
        <f t="shared" si="5"/>
        <v>2.3617278360175931</v>
      </c>
      <c r="S17" s="253">
        <f t="shared" si="6"/>
        <v>1.505149978319906</v>
      </c>
      <c r="U17" s="43" t="s">
        <v>108</v>
      </c>
      <c r="V17" s="66">
        <v>35</v>
      </c>
      <c r="W17" s="67"/>
      <c r="X17" s="66">
        <v>175</v>
      </c>
      <c r="Y17" s="67"/>
      <c r="Z17" s="68"/>
      <c r="AA17" s="68"/>
      <c r="AB17" s="12"/>
      <c r="AC17" s="135" t="s">
        <v>101</v>
      </c>
      <c r="AD17" s="306">
        <v>227.65780224000002</v>
      </c>
      <c r="AE17" s="210">
        <v>42230.700694444444</v>
      </c>
      <c r="AF17" s="15">
        <v>3400</v>
      </c>
      <c r="AG17" s="15">
        <v>0.33</v>
      </c>
      <c r="AH17" s="15">
        <v>4.2</v>
      </c>
      <c r="AI17" s="15">
        <v>5200</v>
      </c>
      <c r="AJ17" s="15">
        <v>6.9</v>
      </c>
      <c r="AK17" s="15">
        <v>230</v>
      </c>
      <c r="AL17" s="15">
        <v>32</v>
      </c>
    </row>
    <row r="18" spans="1:38" ht="24.75" customHeight="1" x14ac:dyDescent="0.25">
      <c r="A18" s="135" t="s">
        <v>101</v>
      </c>
      <c r="B18" s="3" t="s">
        <v>221</v>
      </c>
      <c r="C18" s="306">
        <v>196.05028608000001</v>
      </c>
      <c r="D18" s="250">
        <v>42240.475694444445</v>
      </c>
      <c r="E18" s="15">
        <v>7200</v>
      </c>
      <c r="F18" s="15">
        <v>0.23</v>
      </c>
      <c r="G18" s="15">
        <v>14</v>
      </c>
      <c r="H18" s="15">
        <v>11000</v>
      </c>
      <c r="I18" s="15">
        <v>22</v>
      </c>
      <c r="J18" s="15">
        <v>310</v>
      </c>
      <c r="K18" s="15">
        <v>93</v>
      </c>
      <c r="L18" s="15"/>
      <c r="M18" s="253">
        <f t="shared" si="0"/>
        <v>3.6812412373755872</v>
      </c>
      <c r="N18" s="253">
        <f t="shared" si="1"/>
        <v>-0.48148606012211248</v>
      </c>
      <c r="O18" s="253">
        <f t="shared" si="2"/>
        <v>0.69019608002851374</v>
      </c>
      <c r="P18" s="253">
        <f t="shared" si="3"/>
        <v>3.8260748027008264</v>
      </c>
      <c r="Q18" s="253">
        <f t="shared" si="4"/>
        <v>0.81954393554186866</v>
      </c>
      <c r="R18" s="253">
        <f t="shared" si="5"/>
        <v>2.3010299956639813</v>
      </c>
      <c r="S18" s="253">
        <f t="shared" si="6"/>
        <v>1.414973347970818</v>
      </c>
      <c r="W18" s="20" t="s">
        <v>131</v>
      </c>
      <c r="AB18" s="12"/>
      <c r="AC18" s="135" t="s">
        <v>101</v>
      </c>
      <c r="AD18" s="306">
        <v>246.34228608000001</v>
      </c>
      <c r="AE18" s="210">
        <v>42231.378472222219</v>
      </c>
      <c r="AF18" s="15">
        <v>4800</v>
      </c>
      <c r="AG18" s="15">
        <v>0.33</v>
      </c>
      <c r="AH18" s="15">
        <v>4.9000000000000004</v>
      </c>
      <c r="AI18" s="15">
        <v>6700</v>
      </c>
      <c r="AJ18" s="15">
        <v>6.6</v>
      </c>
      <c r="AK18" s="15">
        <v>200</v>
      </c>
      <c r="AL18" s="15">
        <v>26</v>
      </c>
    </row>
    <row r="19" spans="1:38" ht="24.75" customHeight="1" x14ac:dyDescent="0.25">
      <c r="A19" s="135" t="s">
        <v>101</v>
      </c>
      <c r="B19" s="3" t="s">
        <v>221</v>
      </c>
      <c r="C19" s="306">
        <v>196.05028608000001</v>
      </c>
      <c r="D19" s="250">
        <v>42241.440972222219</v>
      </c>
      <c r="E19" s="15">
        <v>6300</v>
      </c>
      <c r="F19" s="15">
        <v>7.1999999999999995E-2</v>
      </c>
      <c r="G19" s="15">
        <v>4.4000000000000004</v>
      </c>
      <c r="H19" s="15">
        <v>9700</v>
      </c>
      <c r="I19" s="15">
        <v>8.9</v>
      </c>
      <c r="J19" s="15">
        <v>100</v>
      </c>
      <c r="K19" s="15">
        <v>37</v>
      </c>
      <c r="L19" s="15"/>
      <c r="M19" s="253">
        <f t="shared" si="0"/>
        <v>3.8195439355418688</v>
      </c>
      <c r="N19" s="253">
        <f t="shared" si="1"/>
        <v>-0.48148606012211248</v>
      </c>
      <c r="O19" s="253">
        <f t="shared" si="2"/>
        <v>0.77085201164214423</v>
      </c>
      <c r="P19" s="253">
        <f t="shared" si="3"/>
        <v>3.8808135922807914</v>
      </c>
      <c r="Q19" s="253">
        <f t="shared" si="4"/>
        <v>0.82607480270082645</v>
      </c>
      <c r="R19" s="253">
        <f t="shared" si="5"/>
        <v>2.3010299956639813</v>
      </c>
      <c r="S19" s="253">
        <f t="shared" si="6"/>
        <v>1.4771212547196624</v>
      </c>
      <c r="U19" s="127" t="s">
        <v>132</v>
      </c>
      <c r="V19" s="128"/>
      <c r="W19" s="127"/>
      <c r="X19" s="129"/>
      <c r="Y19" s="129"/>
      <c r="AB19" s="12"/>
      <c r="AC19" s="135" t="s">
        <v>101</v>
      </c>
      <c r="AD19" s="306">
        <v>246.34228608000001</v>
      </c>
      <c r="AE19" s="210">
        <v>42231.378472222219</v>
      </c>
      <c r="AF19" s="15">
        <v>6600</v>
      </c>
      <c r="AG19" s="15">
        <v>0.33</v>
      </c>
      <c r="AH19" s="15">
        <v>5.9</v>
      </c>
      <c r="AI19" s="15">
        <v>7600</v>
      </c>
      <c r="AJ19" s="15">
        <v>6.7</v>
      </c>
      <c r="AK19" s="15">
        <v>200</v>
      </c>
      <c r="AL19" s="15">
        <v>30</v>
      </c>
    </row>
    <row r="20" spans="1:38" ht="24.75" customHeight="1" x14ac:dyDescent="0.25">
      <c r="A20" s="135" t="s">
        <v>101</v>
      </c>
      <c r="B20" s="3" t="s">
        <v>221</v>
      </c>
      <c r="C20" s="306">
        <v>196.05028608000001</v>
      </c>
      <c r="D20" s="250">
        <v>42242</v>
      </c>
      <c r="E20" s="15">
        <v>6300</v>
      </c>
      <c r="F20" s="15">
        <v>0.28000000000000003</v>
      </c>
      <c r="G20" s="15">
        <v>15</v>
      </c>
      <c r="H20" s="15">
        <v>9900</v>
      </c>
      <c r="I20" s="15">
        <v>29</v>
      </c>
      <c r="J20" s="15">
        <v>370</v>
      </c>
      <c r="K20" s="15">
        <v>120</v>
      </c>
      <c r="L20" s="15"/>
      <c r="M20" s="253">
        <f t="shared" si="0"/>
        <v>3.5051499783199058</v>
      </c>
      <c r="N20" s="253">
        <f t="shared" si="1"/>
        <v>-0.49485002168009401</v>
      </c>
      <c r="O20" s="253">
        <f t="shared" si="2"/>
        <v>0.59106460702649921</v>
      </c>
      <c r="P20" s="253">
        <f t="shared" si="3"/>
        <v>3.8512583487190755</v>
      </c>
      <c r="Q20" s="253">
        <f t="shared" si="4"/>
        <v>0.85733249643126852</v>
      </c>
      <c r="R20" s="253">
        <f t="shared" si="5"/>
        <v>2.2304489213782741</v>
      </c>
      <c r="S20" s="253">
        <f t="shared" si="6"/>
        <v>1.255272505103306</v>
      </c>
      <c r="U20" s="112" t="s">
        <v>8</v>
      </c>
      <c r="V20" s="112" t="s">
        <v>104</v>
      </c>
      <c r="W20" s="112" t="s">
        <v>116</v>
      </c>
      <c r="X20" s="118" t="s">
        <v>126</v>
      </c>
      <c r="Y20" s="112" t="s">
        <v>116</v>
      </c>
      <c r="Z20" s="112" t="s">
        <v>12</v>
      </c>
      <c r="AA20" s="112" t="s">
        <v>13</v>
      </c>
      <c r="AB20" s="12"/>
      <c r="AC20" s="135" t="s">
        <v>101</v>
      </c>
      <c r="AD20" s="306">
        <v>196.87105152000001</v>
      </c>
      <c r="AE20" s="210">
        <v>42231.385416666664</v>
      </c>
      <c r="AF20" s="15">
        <v>3200</v>
      </c>
      <c r="AG20" s="15">
        <v>0.32</v>
      </c>
      <c r="AH20" s="15">
        <v>3.9</v>
      </c>
      <c r="AI20" s="15">
        <v>7100</v>
      </c>
      <c r="AJ20" s="15">
        <v>7.2</v>
      </c>
      <c r="AK20" s="15">
        <v>170</v>
      </c>
      <c r="AL20" s="15">
        <v>18</v>
      </c>
    </row>
    <row r="21" spans="1:38" ht="17.25" customHeight="1" x14ac:dyDescent="0.25">
      <c r="A21" s="135" t="s">
        <v>101</v>
      </c>
      <c r="B21" s="3" t="s">
        <v>221</v>
      </c>
      <c r="C21" s="306">
        <v>196.05028608000001</v>
      </c>
      <c r="D21" s="250">
        <v>42243.475694444445</v>
      </c>
      <c r="E21" s="15">
        <v>4000</v>
      </c>
      <c r="F21" s="15">
        <v>0.06</v>
      </c>
      <c r="G21" s="15">
        <v>8.1</v>
      </c>
      <c r="H21" s="15">
        <v>6100</v>
      </c>
      <c r="I21" s="15">
        <v>8.1999999999999993</v>
      </c>
      <c r="J21" s="15">
        <v>270</v>
      </c>
      <c r="K21" s="15">
        <v>33</v>
      </c>
      <c r="L21" s="15"/>
      <c r="M21" s="253">
        <f t="shared" si="0"/>
        <v>4.0791812460476251</v>
      </c>
      <c r="N21" s="253">
        <f t="shared" si="1"/>
        <v>-0.45593195564972439</v>
      </c>
      <c r="O21" s="253">
        <f t="shared" si="2"/>
        <v>1.0791812460476249</v>
      </c>
      <c r="P21" s="253">
        <f t="shared" si="3"/>
        <v>4.1461280356782382</v>
      </c>
      <c r="Q21" s="253">
        <f t="shared" si="4"/>
        <v>0.98677173426624487</v>
      </c>
      <c r="R21" s="253">
        <f t="shared" si="5"/>
        <v>2.4149733479708178</v>
      </c>
      <c r="S21" s="253">
        <f t="shared" si="6"/>
        <v>1.6434526764861874</v>
      </c>
      <c r="U21" s="78" t="s">
        <v>7</v>
      </c>
      <c r="V21" s="68" t="s">
        <v>21</v>
      </c>
      <c r="W21" s="60" t="s">
        <v>20</v>
      </c>
      <c r="X21" s="81">
        <f>E204</f>
        <v>6013.5704750723153</v>
      </c>
      <c r="Y21" s="120">
        <f>E206</f>
        <v>847.70277810090954</v>
      </c>
      <c r="Z21" s="60" t="s">
        <v>20</v>
      </c>
      <c r="AA21" s="60" t="s">
        <v>20</v>
      </c>
      <c r="AB21" s="12"/>
      <c r="AC21" s="135" t="s">
        <v>101</v>
      </c>
      <c r="AD21" s="306">
        <v>272.47803264000004</v>
      </c>
      <c r="AE21" s="210">
        <v>42231.430555555555</v>
      </c>
      <c r="AF21" s="15">
        <v>12000</v>
      </c>
      <c r="AG21" s="15">
        <v>0.35</v>
      </c>
      <c r="AH21" s="15">
        <v>12</v>
      </c>
      <c r="AI21" s="15">
        <v>14000</v>
      </c>
      <c r="AJ21" s="15">
        <v>9.6999999999999993</v>
      </c>
      <c r="AK21" s="15">
        <v>260</v>
      </c>
      <c r="AL21" s="15">
        <v>44</v>
      </c>
    </row>
    <row r="22" spans="1:38" ht="17.25" customHeight="1" x14ac:dyDescent="0.25">
      <c r="A22" s="135" t="s">
        <v>101</v>
      </c>
      <c r="B22" s="3" t="s">
        <v>221</v>
      </c>
      <c r="C22" s="306">
        <v>196.05028608000001</v>
      </c>
      <c r="D22" s="250">
        <v>42244.451388888891</v>
      </c>
      <c r="E22" s="15">
        <v>4400</v>
      </c>
      <c r="F22" s="15">
        <v>3.6999999999999998E-2</v>
      </c>
      <c r="G22" s="15">
        <v>4</v>
      </c>
      <c r="H22" s="15">
        <v>7100</v>
      </c>
      <c r="I22" s="15">
        <v>5.2</v>
      </c>
      <c r="J22" s="15">
        <v>240</v>
      </c>
      <c r="K22" s="15">
        <v>19</v>
      </c>
      <c r="L22" s="15"/>
      <c r="M22" s="253">
        <f t="shared" si="0"/>
        <v>3.7993405494535817</v>
      </c>
      <c r="N22" s="253">
        <f t="shared" si="1"/>
        <v>-0.48148606012211248</v>
      </c>
      <c r="O22" s="253">
        <f t="shared" si="2"/>
        <v>0.82607480270082645</v>
      </c>
      <c r="P22" s="253">
        <f t="shared" si="3"/>
        <v>3.8808135922807914</v>
      </c>
      <c r="Q22" s="253">
        <f t="shared" si="4"/>
        <v>0.90308998699194354</v>
      </c>
      <c r="R22" s="253">
        <f t="shared" si="5"/>
        <v>2.3222192947339191</v>
      </c>
      <c r="S22" s="253">
        <f t="shared" si="6"/>
        <v>1.4471580313422192</v>
      </c>
      <c r="U22" s="78" t="s">
        <v>1</v>
      </c>
      <c r="V22" s="68" t="s">
        <v>23</v>
      </c>
      <c r="W22" s="60" t="s">
        <v>20</v>
      </c>
      <c r="X22" s="111">
        <f>F204</f>
        <v>0.26331536520207732</v>
      </c>
      <c r="Y22" s="119">
        <f>F206</f>
        <v>5.8532042506647619E-2</v>
      </c>
      <c r="Z22" s="68" t="s">
        <v>20</v>
      </c>
      <c r="AA22" s="68" t="s">
        <v>20</v>
      </c>
      <c r="AB22" s="12"/>
      <c r="AC22" s="135" t="s">
        <v>101</v>
      </c>
      <c r="AD22" s="306">
        <v>214.42899456000004</v>
      </c>
      <c r="AE22" s="210">
        <v>42231.4375</v>
      </c>
      <c r="AF22" s="15">
        <v>6300</v>
      </c>
      <c r="AG22" s="15">
        <v>0.33</v>
      </c>
      <c r="AH22" s="15">
        <v>6.7</v>
      </c>
      <c r="AI22" s="15">
        <v>7600</v>
      </c>
      <c r="AJ22" s="15">
        <v>8</v>
      </c>
      <c r="AK22" s="15">
        <v>210</v>
      </c>
      <c r="AL22" s="15">
        <v>28</v>
      </c>
    </row>
    <row r="23" spans="1:38" ht="17.25" customHeight="1" x14ac:dyDescent="0.25">
      <c r="A23" s="135" t="s">
        <v>101</v>
      </c>
      <c r="B23" s="3" t="s">
        <v>221</v>
      </c>
      <c r="C23" s="306">
        <v>196.05028608000001</v>
      </c>
      <c r="D23" s="250">
        <v>42245.451388888891</v>
      </c>
      <c r="E23" s="15">
        <v>8800</v>
      </c>
      <c r="F23" s="15">
        <v>9.4E-2</v>
      </c>
      <c r="G23" s="15">
        <v>12</v>
      </c>
      <c r="H23" s="15">
        <v>14000</v>
      </c>
      <c r="I23" s="15">
        <v>7.8</v>
      </c>
      <c r="J23" s="15">
        <v>350</v>
      </c>
      <c r="K23" s="15">
        <v>39</v>
      </c>
      <c r="L23" s="15"/>
      <c r="M23" s="253">
        <f t="shared" si="0"/>
        <v>4.2304489213782741</v>
      </c>
      <c r="N23" s="253">
        <f t="shared" si="1"/>
        <v>-0.44369749923271273</v>
      </c>
      <c r="O23" s="253">
        <f t="shared" si="2"/>
        <v>1</v>
      </c>
      <c r="P23" s="253">
        <f t="shared" si="3"/>
        <v>4.204119982655925</v>
      </c>
      <c r="Q23" s="253">
        <f t="shared" si="4"/>
        <v>0.96378782734555524</v>
      </c>
      <c r="R23" s="253">
        <f t="shared" si="5"/>
        <v>2.4623979978989561</v>
      </c>
      <c r="S23" s="253">
        <f t="shared" si="6"/>
        <v>1.5563025007672873</v>
      </c>
      <c r="U23" s="92" t="s">
        <v>2</v>
      </c>
      <c r="V23" s="402">
        <f>G253</f>
        <v>4.3209968210307972</v>
      </c>
      <c r="W23" s="403">
        <v>1.4338262815007292</v>
      </c>
      <c r="X23" s="130">
        <f>G204</f>
        <v>12.179318246355059</v>
      </c>
      <c r="Y23" s="93">
        <f>G206</f>
        <v>2.157405849625885</v>
      </c>
      <c r="Z23" s="96">
        <v>2.0000000000000001E-4</v>
      </c>
      <c r="AA23" s="97">
        <v>4.0000000000000001E-3</v>
      </c>
      <c r="AB23" s="12"/>
      <c r="AC23" s="135" t="s">
        <v>101</v>
      </c>
      <c r="AD23" s="306">
        <v>196.05028608000001</v>
      </c>
      <c r="AE23" s="210">
        <v>42231.482638888891</v>
      </c>
      <c r="AF23" s="15">
        <v>17000</v>
      </c>
      <c r="AG23" s="15">
        <v>0.36</v>
      </c>
      <c r="AH23" s="15">
        <v>10</v>
      </c>
      <c r="AI23" s="15">
        <v>16000</v>
      </c>
      <c r="AJ23" s="15">
        <v>9.1999999999999993</v>
      </c>
      <c r="AK23" s="15">
        <v>290</v>
      </c>
      <c r="AL23" s="15">
        <v>36</v>
      </c>
    </row>
    <row r="24" spans="1:38" ht="17.25" customHeight="1" x14ac:dyDescent="0.25">
      <c r="A24" s="135" t="s">
        <v>101</v>
      </c>
      <c r="B24" s="3" t="s">
        <v>221</v>
      </c>
      <c r="C24" s="306">
        <v>196.05028608000001</v>
      </c>
      <c r="D24" s="250">
        <v>42246.46875</v>
      </c>
      <c r="E24" s="15">
        <v>6800</v>
      </c>
      <c r="F24" s="15">
        <v>5.6000000000000001E-2</v>
      </c>
      <c r="G24" s="15">
        <v>6.2</v>
      </c>
      <c r="H24" s="15">
        <v>11000</v>
      </c>
      <c r="I24" s="15">
        <v>7.3</v>
      </c>
      <c r="J24" s="15">
        <v>270</v>
      </c>
      <c r="K24" s="15">
        <v>32</v>
      </c>
      <c r="L24" s="15"/>
      <c r="M24" s="253">
        <f t="shared" si="0"/>
        <v>3.4471580313422194</v>
      </c>
      <c r="N24" s="253">
        <f t="shared" si="1"/>
        <v>-0.50863830616572736</v>
      </c>
      <c r="O24" s="253">
        <f t="shared" si="2"/>
        <v>0.57978359661681012</v>
      </c>
      <c r="P24" s="253">
        <f t="shared" si="3"/>
        <v>3.7634279935629373</v>
      </c>
      <c r="Q24" s="253">
        <f t="shared" si="4"/>
        <v>1.1139433523068367</v>
      </c>
      <c r="R24" s="253">
        <f t="shared" si="5"/>
        <v>2.3424226808222062</v>
      </c>
      <c r="S24" s="253">
        <f t="shared" si="6"/>
        <v>1.4471580313422192</v>
      </c>
      <c r="U24" s="92" t="s">
        <v>3</v>
      </c>
      <c r="V24" s="130">
        <f>H253</f>
        <v>3472.3602936988013</v>
      </c>
      <c r="W24" s="126">
        <v>1374.0889217414599</v>
      </c>
      <c r="X24" s="130">
        <f>H204</f>
        <v>11191.417934854397</v>
      </c>
      <c r="Y24" s="95">
        <f>H206</f>
        <v>800</v>
      </c>
      <c r="Z24" s="94">
        <v>2.9999999999999997E-4</v>
      </c>
      <c r="AA24" s="94">
        <v>0.02</v>
      </c>
      <c r="AB24" s="12"/>
      <c r="AC24" s="135" t="s">
        <v>101</v>
      </c>
      <c r="AD24" s="306">
        <v>227.65780224000002</v>
      </c>
      <c r="AE24" s="210">
        <v>42231.496527777781</v>
      </c>
      <c r="AF24" s="15">
        <v>2800</v>
      </c>
      <c r="AG24" s="15">
        <v>0.31</v>
      </c>
      <c r="AH24" s="15">
        <v>3.8</v>
      </c>
      <c r="AI24" s="15">
        <v>5800</v>
      </c>
      <c r="AJ24" s="15">
        <v>13</v>
      </c>
      <c r="AK24" s="15">
        <v>220</v>
      </c>
      <c r="AL24" s="15">
        <v>28</v>
      </c>
    </row>
    <row r="25" spans="1:38" ht="17.25" customHeight="1" x14ac:dyDescent="0.25">
      <c r="A25" s="135" t="s">
        <v>101</v>
      </c>
      <c r="B25" s="3" t="s">
        <v>221</v>
      </c>
      <c r="C25" s="306">
        <v>196.05028608000001</v>
      </c>
      <c r="D25" s="250">
        <v>42247.434027777781</v>
      </c>
      <c r="E25" s="15">
        <v>5900</v>
      </c>
      <c r="F25" s="15">
        <v>7.3999999999999996E-2</v>
      </c>
      <c r="G25" s="15">
        <v>9</v>
      </c>
      <c r="H25" s="15">
        <v>9000</v>
      </c>
      <c r="I25" s="15">
        <v>7</v>
      </c>
      <c r="J25" s="15">
        <v>280</v>
      </c>
      <c r="K25" s="15">
        <v>30</v>
      </c>
      <c r="L25" s="15"/>
      <c r="M25" s="253">
        <f t="shared" si="0"/>
        <v>3.8976270912904414</v>
      </c>
      <c r="N25" s="253">
        <f t="shared" si="1"/>
        <v>-0.46852108295774486</v>
      </c>
      <c r="O25" s="253">
        <f t="shared" si="2"/>
        <v>0.76342799356293722</v>
      </c>
      <c r="P25" s="253">
        <f t="shared" si="3"/>
        <v>3.90848501887865</v>
      </c>
      <c r="Q25" s="253">
        <f t="shared" si="4"/>
        <v>0.77815125038364363</v>
      </c>
      <c r="R25" s="253">
        <f t="shared" si="5"/>
        <v>2.3979400086720375</v>
      </c>
      <c r="S25" s="253">
        <f t="shared" si="6"/>
        <v>1.3617278360175928</v>
      </c>
      <c r="U25" s="92" t="s">
        <v>4</v>
      </c>
      <c r="V25" s="402">
        <f>I253</f>
        <v>7.0975183455217117</v>
      </c>
      <c r="W25" s="403">
        <v>2.7167531465084616</v>
      </c>
      <c r="X25" s="130">
        <f>I204</f>
        <v>16.423706615936485</v>
      </c>
      <c r="Y25" s="93">
        <f>I206</f>
        <v>4.0571428571428578</v>
      </c>
      <c r="Z25" s="96">
        <v>1.4E-3</v>
      </c>
      <c r="AA25" s="96">
        <v>5.0000000000000001E-4</v>
      </c>
      <c r="AB25" s="13"/>
      <c r="AC25" s="135" t="s">
        <v>101</v>
      </c>
      <c r="AD25" s="306">
        <v>295.82961408</v>
      </c>
      <c r="AE25" s="210">
        <v>42231.5</v>
      </c>
      <c r="AF25" s="15">
        <v>7900</v>
      </c>
      <c r="AG25" s="15">
        <v>0.34</v>
      </c>
      <c r="AH25" s="15">
        <v>5.8</v>
      </c>
      <c r="AI25" s="15">
        <v>8100</v>
      </c>
      <c r="AJ25" s="15">
        <v>6</v>
      </c>
      <c r="AK25" s="15">
        <v>250</v>
      </c>
      <c r="AL25" s="15">
        <v>23</v>
      </c>
    </row>
    <row r="26" spans="1:38" ht="17.25" customHeight="1" x14ac:dyDescent="0.25">
      <c r="A26" s="135" t="s">
        <v>101</v>
      </c>
      <c r="B26" s="3" t="s">
        <v>221</v>
      </c>
      <c r="C26" s="306">
        <v>196.05028608000001</v>
      </c>
      <c r="D26" s="250">
        <v>42248.440972222219</v>
      </c>
      <c r="E26" s="15">
        <v>1800</v>
      </c>
      <c r="F26" s="15">
        <v>1.7999999999999999E-2</v>
      </c>
      <c r="G26" s="15">
        <v>2.2000000000000002</v>
      </c>
      <c r="H26" s="15">
        <v>3500</v>
      </c>
      <c r="I26" s="15">
        <v>3.6</v>
      </c>
      <c r="J26" s="15">
        <v>150</v>
      </c>
      <c r="K26" s="15">
        <v>13</v>
      </c>
      <c r="L26" s="15"/>
      <c r="M26" s="253">
        <f t="shared" si="0"/>
        <v>4.2304489213782741</v>
      </c>
      <c r="N26" s="253">
        <f t="shared" si="1"/>
        <v>-0.40893539297350079</v>
      </c>
      <c r="O26" s="253">
        <f t="shared" si="2"/>
        <v>1.0791812460476249</v>
      </c>
      <c r="P26" s="253">
        <f t="shared" si="3"/>
        <v>4.204119982655925</v>
      </c>
      <c r="Q26" s="253">
        <f t="shared" si="4"/>
        <v>1.2304489213782739</v>
      </c>
      <c r="R26" s="253">
        <f t="shared" si="5"/>
        <v>2.6232492903979003</v>
      </c>
      <c r="S26" s="253">
        <f t="shared" si="6"/>
        <v>1.8692317197309762</v>
      </c>
      <c r="U26" s="92" t="s">
        <v>5</v>
      </c>
      <c r="V26" s="130">
        <f>J253</f>
        <v>165.31692822101411</v>
      </c>
      <c r="W26" s="126">
        <v>13.867141535280597</v>
      </c>
      <c r="X26" s="130">
        <f>J204</f>
        <v>337.68337568748325</v>
      </c>
      <c r="Y26" s="95">
        <f>J255</f>
        <v>13.867141535280597</v>
      </c>
      <c r="Z26" s="96" t="s">
        <v>319</v>
      </c>
      <c r="AA26" s="96">
        <v>3.0000000000000001E-3</v>
      </c>
      <c r="AB26" s="13"/>
      <c r="AC26" s="135" t="s">
        <v>101</v>
      </c>
      <c r="AD26" s="306">
        <v>213.38292096000001</v>
      </c>
      <c r="AE26" s="210">
        <v>42231.511805555558</v>
      </c>
      <c r="AF26" s="15">
        <v>17000</v>
      </c>
      <c r="AG26" s="15">
        <v>0.39</v>
      </c>
      <c r="AH26" s="15">
        <v>12</v>
      </c>
      <c r="AI26" s="15">
        <v>16000</v>
      </c>
      <c r="AJ26" s="15">
        <v>17</v>
      </c>
      <c r="AK26" s="15">
        <v>420</v>
      </c>
      <c r="AL26" s="15">
        <v>74</v>
      </c>
    </row>
    <row r="27" spans="1:38" ht="17.25" customHeight="1" x14ac:dyDescent="0.25">
      <c r="A27" s="135" t="s">
        <v>101</v>
      </c>
      <c r="B27" s="3" t="s">
        <v>221</v>
      </c>
      <c r="C27" s="306">
        <v>196.05028608000001</v>
      </c>
      <c r="D27" s="250">
        <v>42252.427083333336</v>
      </c>
      <c r="E27" s="15">
        <v>1600</v>
      </c>
      <c r="F27" s="15">
        <v>2.5999999999999999E-2</v>
      </c>
      <c r="G27" s="15">
        <v>2.2999999999999998</v>
      </c>
      <c r="H27" s="15">
        <v>3600</v>
      </c>
      <c r="I27" s="15">
        <v>4.4000000000000004</v>
      </c>
      <c r="J27" s="15">
        <v>150</v>
      </c>
      <c r="K27" s="15">
        <v>16</v>
      </c>
      <c r="L27" s="15"/>
      <c r="M27" s="253">
        <f t="shared" si="0"/>
        <v>4.1461280356782382</v>
      </c>
      <c r="N27" s="253">
        <f t="shared" si="1"/>
        <v>-0.43179827593300502</v>
      </c>
      <c r="O27" s="253">
        <f t="shared" si="2"/>
        <v>1</v>
      </c>
      <c r="P27" s="253">
        <f t="shared" si="3"/>
        <v>4.1760912590556813</v>
      </c>
      <c r="Q27" s="253">
        <f t="shared" si="4"/>
        <v>1.0413926851582251</v>
      </c>
      <c r="R27" s="253">
        <f t="shared" si="5"/>
        <v>2.7323937598229686</v>
      </c>
      <c r="S27" s="253">
        <f t="shared" si="6"/>
        <v>1.7075701760979363</v>
      </c>
      <c r="U27" s="116" t="s">
        <v>6</v>
      </c>
      <c r="V27" s="131">
        <f>K253</f>
        <v>20.617727429204717</v>
      </c>
      <c r="W27" s="404">
        <v>2.5655551810664243</v>
      </c>
      <c r="X27" s="131">
        <f>K204</f>
        <v>84.8515796617164</v>
      </c>
      <c r="Y27" s="405">
        <f>K255</f>
        <v>2.5655551810664243</v>
      </c>
      <c r="Z27" s="401" t="s">
        <v>319</v>
      </c>
      <c r="AA27" s="117">
        <v>5.0000000000000001E-4</v>
      </c>
      <c r="AB27" s="13"/>
      <c r="AC27" s="135" t="s">
        <v>101</v>
      </c>
      <c r="AD27" s="306">
        <v>213.43120128000001</v>
      </c>
      <c r="AE27" s="210">
        <v>42231.51666666667</v>
      </c>
      <c r="AF27" s="15">
        <v>14000</v>
      </c>
      <c r="AG27" s="15">
        <v>0.37</v>
      </c>
      <c r="AH27" s="15">
        <v>10</v>
      </c>
      <c r="AI27" s="15">
        <v>15000</v>
      </c>
      <c r="AJ27" s="15">
        <v>11</v>
      </c>
      <c r="AK27" s="15">
        <v>540</v>
      </c>
      <c r="AL27" s="15">
        <v>51</v>
      </c>
    </row>
    <row r="28" spans="1:38" ht="15" x14ac:dyDescent="0.25">
      <c r="A28" s="135" t="s">
        <v>101</v>
      </c>
      <c r="B28" s="3" t="s">
        <v>221</v>
      </c>
      <c r="C28" s="306">
        <v>196.05028608000001</v>
      </c>
      <c r="D28" s="250">
        <v>42253.413194444445</v>
      </c>
      <c r="E28" s="15">
        <v>1300</v>
      </c>
      <c r="F28" s="15">
        <v>2.5999999999999999E-2</v>
      </c>
      <c r="G28" s="15">
        <v>2.8</v>
      </c>
      <c r="H28" s="15">
        <v>3000</v>
      </c>
      <c r="I28" s="15">
        <v>4.2</v>
      </c>
      <c r="J28" s="15">
        <v>130</v>
      </c>
      <c r="K28" s="15">
        <v>14</v>
      </c>
      <c r="L28" s="15"/>
      <c r="M28" s="253">
        <f t="shared" si="0"/>
        <v>3.8450980400142569</v>
      </c>
      <c r="N28" s="253">
        <f t="shared" si="1"/>
        <v>-0.45593195564972439</v>
      </c>
      <c r="O28" s="253">
        <f t="shared" si="2"/>
        <v>0.62324929039790045</v>
      </c>
      <c r="P28" s="253">
        <f t="shared" si="3"/>
        <v>3.9395192526186187</v>
      </c>
      <c r="Q28" s="253">
        <f t="shared" si="4"/>
        <v>0.72427586960078905</v>
      </c>
      <c r="R28" s="253">
        <f t="shared" si="5"/>
        <v>2.2304489213782741</v>
      </c>
      <c r="S28" s="253">
        <f t="shared" si="6"/>
        <v>1.3222192947339193</v>
      </c>
      <c r="U28" s="109" t="s">
        <v>108</v>
      </c>
      <c r="V28" s="109">
        <v>35</v>
      </c>
      <c r="W28" s="108"/>
      <c r="X28" s="109">
        <v>5</v>
      </c>
      <c r="Y28" s="108"/>
      <c r="Z28" s="110"/>
      <c r="AA28" s="110"/>
      <c r="AB28" s="14"/>
      <c r="AC28" s="135" t="s">
        <v>101</v>
      </c>
      <c r="AD28" s="306">
        <v>204.48324864000003</v>
      </c>
      <c r="AE28" s="210">
        <v>42231.517361111109</v>
      </c>
      <c r="AF28" s="15">
        <v>7000</v>
      </c>
      <c r="AG28" s="15">
        <v>0.35</v>
      </c>
      <c r="AH28" s="15">
        <v>4.2</v>
      </c>
      <c r="AI28" s="15">
        <v>8700</v>
      </c>
      <c r="AJ28" s="15">
        <v>5.3</v>
      </c>
      <c r="AK28" s="15">
        <v>170</v>
      </c>
      <c r="AL28" s="15">
        <v>21</v>
      </c>
    </row>
    <row r="29" spans="1:38" x14ac:dyDescent="0.25">
      <c r="A29" s="135" t="s">
        <v>101</v>
      </c>
      <c r="B29" s="3" t="s">
        <v>221</v>
      </c>
      <c r="C29" s="306">
        <v>196.05028608000001</v>
      </c>
      <c r="D29" s="250">
        <v>42254.451388888891</v>
      </c>
      <c r="E29" s="15">
        <v>2100</v>
      </c>
      <c r="F29" s="15">
        <v>3.1E-2</v>
      </c>
      <c r="G29" s="15">
        <v>3</v>
      </c>
      <c r="H29" s="15">
        <v>4200</v>
      </c>
      <c r="I29" s="15">
        <v>4.9000000000000004</v>
      </c>
      <c r="J29" s="15">
        <v>180</v>
      </c>
      <c r="K29" s="15">
        <v>19</v>
      </c>
      <c r="L29" s="15"/>
      <c r="M29" s="253">
        <f t="shared" si="0"/>
        <v>4.0791812460476251</v>
      </c>
      <c r="N29" s="253">
        <f t="shared" si="1"/>
        <v>-0.44369749923271273</v>
      </c>
      <c r="O29" s="253">
        <f t="shared" si="2"/>
        <v>0.79934054945358168</v>
      </c>
      <c r="P29" s="253">
        <f t="shared" si="3"/>
        <v>4.0791812460476251</v>
      </c>
      <c r="Q29" s="253">
        <f t="shared" si="4"/>
        <v>0.83250891270623628</v>
      </c>
      <c r="R29" s="253">
        <f t="shared" si="5"/>
        <v>2.3617278360175931</v>
      </c>
      <c r="S29" s="253">
        <f t="shared" si="6"/>
        <v>1.4471580313422192</v>
      </c>
      <c r="U29" s="22"/>
      <c r="V29" s="22"/>
      <c r="W29" s="22"/>
      <c r="X29" s="22"/>
      <c r="Y29" s="22"/>
      <c r="Z29" s="22"/>
      <c r="AA29" s="22"/>
      <c r="AB29" s="9"/>
      <c r="AC29" s="135" t="s">
        <v>101</v>
      </c>
      <c r="AD29" s="306">
        <v>213.10933248000001</v>
      </c>
      <c r="AE29" s="210">
        <v>42231.711805555555</v>
      </c>
      <c r="AF29" s="15">
        <v>12000</v>
      </c>
      <c r="AG29" s="15">
        <v>0.36</v>
      </c>
      <c r="AH29" s="15">
        <v>6.3</v>
      </c>
      <c r="AI29" s="15">
        <v>12000</v>
      </c>
      <c r="AJ29" s="15">
        <v>6.8</v>
      </c>
      <c r="AK29" s="15">
        <v>230</v>
      </c>
      <c r="AL29" s="15">
        <v>28</v>
      </c>
    </row>
    <row r="30" spans="1:38" x14ac:dyDescent="0.25">
      <c r="A30" s="135" t="s">
        <v>101</v>
      </c>
      <c r="B30" s="3" t="s">
        <v>221</v>
      </c>
      <c r="C30" s="306">
        <v>196.05028608000001</v>
      </c>
      <c r="D30" s="250">
        <v>42255.477083333331</v>
      </c>
      <c r="E30" s="15">
        <v>1900</v>
      </c>
      <c r="F30" s="15">
        <v>4.1000000000000002E-2</v>
      </c>
      <c r="G30" s="15">
        <v>2.4</v>
      </c>
      <c r="H30" s="15">
        <v>3500</v>
      </c>
      <c r="I30" s="15">
        <v>4.2</v>
      </c>
      <c r="J30" s="15">
        <v>150</v>
      </c>
      <c r="K30" s="15">
        <v>16</v>
      </c>
      <c r="L30" s="15"/>
      <c r="M30" s="253">
        <f t="shared" si="0"/>
        <v>4.0791812460476251</v>
      </c>
      <c r="N30" s="253">
        <f t="shared" si="1"/>
        <v>-0.6020599913279624</v>
      </c>
      <c r="O30" s="253">
        <f t="shared" si="2"/>
        <v>1</v>
      </c>
      <c r="P30" s="253">
        <f t="shared" si="3"/>
        <v>4.1139433523068369</v>
      </c>
      <c r="Q30" s="253">
        <f t="shared" si="4"/>
        <v>1.3010299956639813</v>
      </c>
      <c r="R30" s="253">
        <f t="shared" si="5"/>
        <v>2.4149733479708178</v>
      </c>
      <c r="S30" s="253">
        <f t="shared" si="6"/>
        <v>1.8808135922807914</v>
      </c>
      <c r="U30" s="21"/>
      <c r="V30" s="21"/>
      <c r="W30" s="21"/>
      <c r="X30" s="21"/>
      <c r="Y30" s="21"/>
      <c r="Z30" s="21"/>
      <c r="AA30" s="21"/>
      <c r="AB30" s="8"/>
      <c r="AC30" s="135" t="s">
        <v>101</v>
      </c>
      <c r="AD30" s="306">
        <v>213.07714560000002</v>
      </c>
      <c r="AE30" s="210">
        <v>42231.715277777781</v>
      </c>
      <c r="AF30" s="15">
        <v>12000</v>
      </c>
      <c r="AG30" s="15">
        <v>0.25</v>
      </c>
      <c r="AH30" s="15">
        <v>10</v>
      </c>
      <c r="AI30" s="15">
        <v>13000</v>
      </c>
      <c r="AJ30" s="15">
        <v>20</v>
      </c>
      <c r="AK30" s="15">
        <v>260</v>
      </c>
      <c r="AL30" s="15">
        <v>76</v>
      </c>
    </row>
    <row r="31" spans="1:38" x14ac:dyDescent="0.25">
      <c r="A31" s="135" t="s">
        <v>101</v>
      </c>
      <c r="B31" s="3" t="s">
        <v>221</v>
      </c>
      <c r="C31" s="306">
        <v>196.05028608000001</v>
      </c>
      <c r="D31" s="250">
        <v>42256.489583333336</v>
      </c>
      <c r="E31" s="15">
        <v>1600</v>
      </c>
      <c r="F31" s="15">
        <v>1.4E-2</v>
      </c>
      <c r="G31" s="15">
        <v>2</v>
      </c>
      <c r="H31" s="15">
        <v>2800</v>
      </c>
      <c r="I31" s="15">
        <v>3.6</v>
      </c>
      <c r="J31" s="15">
        <v>130</v>
      </c>
      <c r="K31" s="15">
        <v>14</v>
      </c>
      <c r="L31" s="15"/>
      <c r="M31" s="253">
        <f t="shared" si="0"/>
        <v>3.9138138523837167</v>
      </c>
      <c r="N31" s="253">
        <f t="shared" si="1"/>
        <v>-0.85387196432176193</v>
      </c>
      <c r="O31" s="253">
        <f t="shared" si="2"/>
        <v>1</v>
      </c>
      <c r="P31" s="253">
        <f t="shared" si="3"/>
        <v>4.0413926851582254</v>
      </c>
      <c r="Q31" s="253">
        <f t="shared" si="4"/>
        <v>0.94448267215016868</v>
      </c>
      <c r="R31" s="253">
        <f t="shared" si="5"/>
        <v>2.4471580313422194</v>
      </c>
      <c r="S31" s="253">
        <f t="shared" si="6"/>
        <v>1.5185139398778875</v>
      </c>
      <c r="U31" s="21"/>
      <c r="V31" s="21"/>
      <c r="W31" s="21"/>
      <c r="X31" s="21"/>
      <c r="Y31" s="21"/>
      <c r="Z31" s="21"/>
      <c r="AA31" s="21"/>
      <c r="AB31" s="8"/>
      <c r="AC31" s="135" t="s">
        <v>101</v>
      </c>
      <c r="AD31" s="306">
        <v>196.05028608000001</v>
      </c>
      <c r="AE31" s="210">
        <v>42232.409722222219</v>
      </c>
      <c r="AF31" s="15">
        <v>8200</v>
      </c>
      <c r="AG31" s="15">
        <v>0.14000000000000001</v>
      </c>
      <c r="AH31" s="15">
        <v>10</v>
      </c>
      <c r="AI31" s="15">
        <v>11000</v>
      </c>
      <c r="AJ31" s="15">
        <v>8.8000000000000007</v>
      </c>
      <c r="AK31" s="15">
        <v>280</v>
      </c>
      <c r="AL31" s="15">
        <v>33</v>
      </c>
    </row>
    <row r="32" spans="1:38" x14ac:dyDescent="0.25">
      <c r="A32" s="135" t="s">
        <v>101</v>
      </c>
      <c r="B32" s="3" t="s">
        <v>221</v>
      </c>
      <c r="C32" s="306">
        <v>196.05028608000001</v>
      </c>
      <c r="D32" s="250">
        <v>42257.475694444445</v>
      </c>
      <c r="E32" s="15">
        <v>3600</v>
      </c>
      <c r="F32" s="15">
        <v>4.5999999999999999E-2</v>
      </c>
      <c r="G32" s="15">
        <v>4.0999999999999996</v>
      </c>
      <c r="H32" s="15">
        <v>5000</v>
      </c>
      <c r="I32" s="15">
        <v>5.0999999999999996</v>
      </c>
      <c r="J32" s="15">
        <v>230</v>
      </c>
      <c r="K32" s="15">
        <v>21</v>
      </c>
      <c r="L32" s="15"/>
      <c r="M32" s="253">
        <f t="shared" si="0"/>
        <v>3.5314789170422549</v>
      </c>
      <c r="N32" s="253">
        <f t="shared" si="1"/>
        <v>-0.88605664769316317</v>
      </c>
      <c r="O32" s="253">
        <f t="shared" si="2"/>
        <v>0.53147891704225514</v>
      </c>
      <c r="P32" s="253">
        <f t="shared" si="3"/>
        <v>3.7708520116421442</v>
      </c>
      <c r="Q32" s="253">
        <f t="shared" si="4"/>
        <v>0.68124123737558717</v>
      </c>
      <c r="R32" s="253">
        <f t="shared" si="5"/>
        <v>2.2041199826559246</v>
      </c>
      <c r="S32" s="253">
        <f t="shared" si="6"/>
        <v>1.1760912590556813</v>
      </c>
      <c r="U32" s="21"/>
      <c r="V32" s="21"/>
      <c r="W32" s="21"/>
      <c r="X32" s="21"/>
      <c r="Y32" s="21"/>
      <c r="Z32" s="21"/>
      <c r="AA32" s="21"/>
      <c r="AB32" s="8"/>
      <c r="AC32" s="135" t="s">
        <v>101</v>
      </c>
      <c r="AD32" s="306">
        <v>204.48324864000003</v>
      </c>
      <c r="AE32" s="210">
        <v>42232.444444444445</v>
      </c>
      <c r="AF32" s="15">
        <v>3400</v>
      </c>
      <c r="AG32" s="15">
        <v>0.13</v>
      </c>
      <c r="AH32" s="15">
        <v>3.4</v>
      </c>
      <c r="AI32" s="15">
        <v>5900</v>
      </c>
      <c r="AJ32" s="15">
        <v>4.8</v>
      </c>
      <c r="AK32" s="15">
        <v>160</v>
      </c>
      <c r="AL32" s="15">
        <v>15</v>
      </c>
    </row>
    <row r="33" spans="1:38" x14ac:dyDescent="0.25">
      <c r="A33" s="135" t="s">
        <v>101</v>
      </c>
      <c r="B33" s="3" t="s">
        <v>221</v>
      </c>
      <c r="C33" s="306">
        <v>196.05028608000001</v>
      </c>
      <c r="D33" s="250">
        <v>42258.401388888888</v>
      </c>
      <c r="E33" s="15">
        <v>2400</v>
      </c>
      <c r="F33" s="15">
        <v>3.5999999999999997E-2</v>
      </c>
      <c r="G33" s="15">
        <v>2.9</v>
      </c>
      <c r="H33" s="15">
        <v>3900</v>
      </c>
      <c r="I33" s="15">
        <v>7.4</v>
      </c>
      <c r="J33" s="15">
        <v>230</v>
      </c>
      <c r="K33" s="15">
        <v>16</v>
      </c>
      <c r="L33" s="15"/>
      <c r="M33" s="253">
        <f t="shared" si="0"/>
        <v>3.6334684555795866</v>
      </c>
      <c r="N33" s="253">
        <f t="shared" si="1"/>
        <v>-1.3872161432802645</v>
      </c>
      <c r="O33" s="253">
        <f t="shared" si="2"/>
        <v>0.67209785793571752</v>
      </c>
      <c r="P33" s="253">
        <f t="shared" si="3"/>
        <v>3.8325089127062362</v>
      </c>
      <c r="Q33" s="253">
        <f t="shared" si="4"/>
        <v>0.70757017609793638</v>
      </c>
      <c r="R33" s="253">
        <f t="shared" si="5"/>
        <v>2.255272505103306</v>
      </c>
      <c r="S33" s="253">
        <f t="shared" si="6"/>
        <v>1.3617278360175928</v>
      </c>
      <c r="U33" s="21"/>
      <c r="V33" s="293" t="s">
        <v>200</v>
      </c>
      <c r="W33" s="21"/>
      <c r="X33" s="21"/>
      <c r="Y33" s="21"/>
      <c r="Z33" s="21"/>
      <c r="AA33" s="21"/>
      <c r="AB33" s="9"/>
      <c r="AC33" s="135" t="s">
        <v>101</v>
      </c>
      <c r="AD33" s="306">
        <v>246.34228608000001</v>
      </c>
      <c r="AE33" s="210">
        <v>42233.354166666664</v>
      </c>
      <c r="AF33" s="15">
        <v>4300</v>
      </c>
      <c r="AG33" s="15">
        <v>4.1000000000000002E-2</v>
      </c>
      <c r="AH33" s="15">
        <v>4.7</v>
      </c>
      <c r="AI33" s="15">
        <v>6800</v>
      </c>
      <c r="AJ33" s="15">
        <v>5.0999999999999996</v>
      </c>
      <c r="AK33" s="15">
        <v>180</v>
      </c>
      <c r="AL33" s="15">
        <v>23</v>
      </c>
    </row>
    <row r="34" spans="1:38" x14ac:dyDescent="0.25">
      <c r="A34" s="135" t="s">
        <v>101</v>
      </c>
      <c r="B34" s="3" t="s">
        <v>221</v>
      </c>
      <c r="C34" s="306">
        <v>196.05028608000001</v>
      </c>
      <c r="D34" s="250">
        <v>42259.512499999997</v>
      </c>
      <c r="E34" s="15">
        <v>2500</v>
      </c>
      <c r="F34" s="15">
        <v>2.3E-2</v>
      </c>
      <c r="G34" s="15">
        <v>2.9</v>
      </c>
      <c r="H34" s="15">
        <v>4400</v>
      </c>
      <c r="I34" s="15">
        <v>4.2</v>
      </c>
      <c r="J34" s="15">
        <v>170</v>
      </c>
      <c r="K34" s="15">
        <v>16</v>
      </c>
      <c r="L34" s="15"/>
      <c r="M34" s="253">
        <f t="shared" si="0"/>
        <v>3.90848501887865</v>
      </c>
      <c r="N34" s="253">
        <f t="shared" si="1"/>
        <v>-0.88605664769316317</v>
      </c>
      <c r="O34" s="253">
        <f t="shared" si="2"/>
        <v>1.0413926851582251</v>
      </c>
      <c r="P34" s="253">
        <f t="shared" si="3"/>
        <v>4.0791812460476251</v>
      </c>
      <c r="Q34" s="253">
        <f t="shared" si="4"/>
        <v>1</v>
      </c>
      <c r="R34" s="253">
        <f t="shared" si="5"/>
        <v>2.4771212547196626</v>
      </c>
      <c r="S34" s="253">
        <f t="shared" si="6"/>
        <v>1.6334684555795864</v>
      </c>
      <c r="U34" s="22"/>
      <c r="V34" s="22"/>
      <c r="W34" s="22"/>
      <c r="X34" s="22"/>
      <c r="Y34" s="22"/>
      <c r="Z34" s="22"/>
      <c r="AA34" s="22"/>
      <c r="AB34" s="9"/>
      <c r="AC34" s="135" t="s">
        <v>101</v>
      </c>
      <c r="AD34" s="306">
        <v>196.05028608000001</v>
      </c>
      <c r="AE34" s="210">
        <v>42233.381944444445</v>
      </c>
      <c r="AF34" s="15">
        <v>8100</v>
      </c>
      <c r="AG34" s="15">
        <v>0.13</v>
      </c>
      <c r="AH34" s="15">
        <v>11</v>
      </c>
      <c r="AI34" s="15">
        <v>12000</v>
      </c>
      <c r="AJ34" s="15">
        <v>10</v>
      </c>
      <c r="AK34" s="15">
        <v>300</v>
      </c>
      <c r="AL34" s="15">
        <v>43</v>
      </c>
    </row>
    <row r="35" spans="1:38" x14ac:dyDescent="0.25">
      <c r="A35" s="135" t="s">
        <v>101</v>
      </c>
      <c r="B35" s="3" t="s">
        <v>221</v>
      </c>
      <c r="C35" s="306">
        <v>196.05028608000001</v>
      </c>
      <c r="D35" s="250">
        <v>42260.518055555556</v>
      </c>
      <c r="E35" s="15">
        <v>2100</v>
      </c>
      <c r="F35" s="15">
        <v>3.9E-2</v>
      </c>
      <c r="G35" s="15">
        <v>2.8</v>
      </c>
      <c r="H35" s="15">
        <v>4100</v>
      </c>
      <c r="I35" s="15">
        <v>4.3</v>
      </c>
      <c r="J35" s="15">
        <v>160</v>
      </c>
      <c r="K35" s="15">
        <v>15</v>
      </c>
      <c r="L35" s="15"/>
      <c r="M35" s="253">
        <f t="shared" si="0"/>
        <v>3.6901960800285138</v>
      </c>
      <c r="N35" s="253">
        <f t="shared" si="1"/>
        <v>-1.2839966563652008</v>
      </c>
      <c r="O35" s="253">
        <f t="shared" si="2"/>
        <v>0.75587485567249146</v>
      </c>
      <c r="P35" s="253">
        <f t="shared" si="3"/>
        <v>3.8512583487190755</v>
      </c>
      <c r="Q35" s="253">
        <f t="shared" si="4"/>
        <v>0.77815125038364363</v>
      </c>
      <c r="R35" s="253">
        <f t="shared" si="5"/>
        <v>2.2787536009528289</v>
      </c>
      <c r="S35" s="253">
        <f t="shared" si="6"/>
        <v>1.3617278360175928</v>
      </c>
      <c r="U35" s="21"/>
      <c r="V35" s="21"/>
      <c r="W35" s="21"/>
      <c r="X35" s="21"/>
      <c r="Y35" s="21"/>
      <c r="Z35" s="21"/>
      <c r="AA35" s="21"/>
      <c r="AB35" s="7"/>
      <c r="AC35" s="135" t="s">
        <v>101</v>
      </c>
      <c r="AD35" s="306">
        <v>227.65780224000002</v>
      </c>
      <c r="AE35" s="210">
        <v>42233.381944444445</v>
      </c>
      <c r="AF35" s="15">
        <v>4900</v>
      </c>
      <c r="AG35" s="15">
        <v>5.1999999999999998E-2</v>
      </c>
      <c r="AH35" s="15">
        <v>5.7</v>
      </c>
      <c r="AI35" s="15">
        <v>7100</v>
      </c>
      <c r="AJ35" s="15">
        <v>6</v>
      </c>
      <c r="AK35" s="15">
        <v>190</v>
      </c>
      <c r="AL35" s="15">
        <v>23</v>
      </c>
    </row>
    <row r="36" spans="1:38" x14ac:dyDescent="0.25">
      <c r="A36" s="135" t="s">
        <v>101</v>
      </c>
      <c r="B36" s="3" t="s">
        <v>221</v>
      </c>
      <c r="C36" s="306">
        <v>196.05028608000001</v>
      </c>
      <c r="D36" s="250">
        <v>42261.544444444444</v>
      </c>
      <c r="E36" s="15">
        <v>1800</v>
      </c>
      <c r="F36" s="15">
        <v>0.02</v>
      </c>
      <c r="G36" s="15">
        <v>2.2999999999999998</v>
      </c>
      <c r="H36" s="15">
        <v>3500</v>
      </c>
      <c r="I36" s="15">
        <v>4</v>
      </c>
      <c r="J36" s="15">
        <v>150</v>
      </c>
      <c r="K36" s="15">
        <v>15</v>
      </c>
      <c r="L36" s="15"/>
      <c r="M36" s="253">
        <f t="shared" si="0"/>
        <v>3.4771212547196626</v>
      </c>
      <c r="N36" s="253">
        <f t="shared" si="1"/>
        <v>-1.3467874862246563</v>
      </c>
      <c r="O36" s="253">
        <f t="shared" si="2"/>
        <v>0.66275783168157409</v>
      </c>
      <c r="P36" s="253">
        <f t="shared" si="3"/>
        <v>3.5910646070264991</v>
      </c>
      <c r="Q36" s="253">
        <f t="shared" si="4"/>
        <v>0.67209785793571752</v>
      </c>
      <c r="R36" s="253">
        <f t="shared" si="5"/>
        <v>2.1760912590556813</v>
      </c>
      <c r="S36" s="253">
        <f t="shared" si="6"/>
        <v>1.2304489213782739</v>
      </c>
      <c r="U36" s="21"/>
      <c r="V36" s="21"/>
      <c r="W36" s="21"/>
      <c r="X36" s="21"/>
      <c r="Y36" s="21"/>
      <c r="Z36" s="21"/>
      <c r="AA36" s="21"/>
      <c r="AB36" s="7"/>
      <c r="AC36" s="135" t="s">
        <v>101</v>
      </c>
      <c r="AD36" s="306">
        <v>295.82961408</v>
      </c>
      <c r="AE36" s="210">
        <v>42233.392361111109</v>
      </c>
      <c r="AF36" s="15">
        <v>3000</v>
      </c>
      <c r="AG36" s="15">
        <v>4.4999999999999998E-2</v>
      </c>
      <c r="AH36" s="15">
        <v>4.5999999999999996</v>
      </c>
      <c r="AI36" s="15">
        <v>3900</v>
      </c>
      <c r="AJ36" s="15">
        <v>4.7</v>
      </c>
      <c r="AK36" s="15">
        <v>150</v>
      </c>
      <c r="AL36" s="15">
        <v>17</v>
      </c>
    </row>
    <row r="37" spans="1:38" x14ac:dyDescent="0.25">
      <c r="A37" s="135" t="s">
        <v>101</v>
      </c>
      <c r="B37" s="3" t="s">
        <v>221</v>
      </c>
      <c r="C37" s="306">
        <v>196.05028608000001</v>
      </c>
      <c r="D37" s="250">
        <v>42262.427083333336</v>
      </c>
      <c r="E37" s="15">
        <v>2500</v>
      </c>
      <c r="F37" s="15">
        <v>3.1E-2</v>
      </c>
      <c r="G37" s="15">
        <v>2.6</v>
      </c>
      <c r="H37" s="15">
        <v>3600</v>
      </c>
      <c r="I37" s="15">
        <v>3.5</v>
      </c>
      <c r="J37" s="15">
        <v>160</v>
      </c>
      <c r="K37" s="15">
        <v>14</v>
      </c>
      <c r="L37" s="15"/>
      <c r="M37" s="253">
        <f t="shared" si="0"/>
        <v>3.6720978579357175</v>
      </c>
      <c r="N37" s="253">
        <f t="shared" si="1"/>
        <v>-1.2076083105017461</v>
      </c>
      <c r="O37" s="253">
        <f t="shared" si="2"/>
        <v>0.71600334363479923</v>
      </c>
      <c r="P37" s="253">
        <f t="shared" si="3"/>
        <v>3.7923916894982539</v>
      </c>
      <c r="Q37" s="253">
        <f t="shared" si="4"/>
        <v>0.70757017609793638</v>
      </c>
      <c r="R37" s="253">
        <f t="shared" si="5"/>
        <v>2.2041199826559246</v>
      </c>
      <c r="S37" s="253">
        <f t="shared" si="6"/>
        <v>1.255272505103306</v>
      </c>
      <c r="U37" s="21"/>
      <c r="V37" s="21"/>
      <c r="W37" s="21"/>
      <c r="X37" s="21"/>
      <c r="Y37" s="21"/>
      <c r="Z37" s="21"/>
      <c r="AA37" s="21"/>
      <c r="AB37" s="7"/>
      <c r="AC37" s="135" t="s">
        <v>101</v>
      </c>
      <c r="AD37" s="306">
        <v>295.82961408</v>
      </c>
      <c r="AE37" s="210">
        <v>42233.392361111109</v>
      </c>
      <c r="AF37" s="15">
        <v>4700</v>
      </c>
      <c r="AG37" s="15">
        <v>6.2E-2</v>
      </c>
      <c r="AH37" s="15">
        <v>5.2</v>
      </c>
      <c r="AI37" s="15">
        <v>6200</v>
      </c>
      <c r="AJ37" s="15">
        <v>5.0999999999999996</v>
      </c>
      <c r="AK37" s="15">
        <v>160</v>
      </c>
      <c r="AL37" s="15">
        <v>18</v>
      </c>
    </row>
    <row r="38" spans="1:38" x14ac:dyDescent="0.25">
      <c r="A38" s="135" t="s">
        <v>101</v>
      </c>
      <c r="B38" s="3" t="s">
        <v>221</v>
      </c>
      <c r="C38" s="306">
        <v>196.05028608000001</v>
      </c>
      <c r="D38" s="250">
        <v>42263.472222222219</v>
      </c>
      <c r="E38" s="15">
        <v>2700</v>
      </c>
      <c r="F38" s="15">
        <v>2.1000000000000001E-2</v>
      </c>
      <c r="G38" s="15">
        <v>3.2</v>
      </c>
      <c r="H38" s="15">
        <v>3800</v>
      </c>
      <c r="I38" s="15">
        <v>4.7</v>
      </c>
      <c r="J38" s="15">
        <v>220</v>
      </c>
      <c r="K38" s="15">
        <v>21</v>
      </c>
      <c r="L38" s="15"/>
      <c r="M38" s="253">
        <f t="shared" ref="M38:M69" si="7">LOG(AF38)</f>
        <v>3.6232492903979003</v>
      </c>
      <c r="N38" s="253">
        <f t="shared" ref="N38:N69" si="8">LOG(AG38)</f>
        <v>-1.3010299956639813</v>
      </c>
      <c r="O38" s="253">
        <f t="shared" ref="O38:O69" si="9">LOG(AH38)</f>
        <v>0.63346845557958653</v>
      </c>
      <c r="P38" s="253">
        <f t="shared" ref="P38:P69" si="10">LOG(AI38)</f>
        <v>3.7923916894982539</v>
      </c>
      <c r="Q38" s="253">
        <f t="shared" ref="Q38:Q69" si="11">LOG(AJ38)</f>
        <v>0.62324929039790045</v>
      </c>
      <c r="R38" s="253">
        <f t="shared" ref="R38:R69" si="12">LOG(AK38)</f>
        <v>2.1760912590556813</v>
      </c>
      <c r="S38" s="253">
        <f t="shared" ref="S38:S69" si="13">LOG(AL38)</f>
        <v>1.2041199826559248</v>
      </c>
      <c r="U38" s="21"/>
      <c r="V38" s="21"/>
      <c r="W38" s="21"/>
      <c r="X38" s="21"/>
      <c r="Y38" s="21"/>
      <c r="Z38" s="21"/>
      <c r="AA38" s="21"/>
      <c r="AB38" s="7"/>
      <c r="AC38" s="135" t="s">
        <v>101</v>
      </c>
      <c r="AD38" s="306">
        <v>214.42899456000004</v>
      </c>
      <c r="AE38" s="210">
        <v>42233.409722222219</v>
      </c>
      <c r="AF38" s="15">
        <v>4200</v>
      </c>
      <c r="AG38" s="15">
        <v>0.05</v>
      </c>
      <c r="AH38" s="15">
        <v>4.3</v>
      </c>
      <c r="AI38" s="15">
        <v>6200</v>
      </c>
      <c r="AJ38" s="15">
        <v>4.2</v>
      </c>
      <c r="AK38" s="15">
        <v>150</v>
      </c>
      <c r="AL38" s="15">
        <v>16</v>
      </c>
    </row>
    <row r="39" spans="1:38" x14ac:dyDescent="0.25">
      <c r="A39" s="135" t="s">
        <v>101</v>
      </c>
      <c r="B39" s="3" t="s">
        <v>221</v>
      </c>
      <c r="C39" s="306">
        <v>196.05028608000001</v>
      </c>
      <c r="D39" s="250">
        <v>42264.458333333336</v>
      </c>
      <c r="E39" s="15">
        <v>2200</v>
      </c>
      <c r="F39" s="15">
        <v>3.7999999999999999E-2</v>
      </c>
      <c r="G39" s="15">
        <v>2.7</v>
      </c>
      <c r="H39" s="15">
        <v>3900</v>
      </c>
      <c r="I39" s="15">
        <v>4</v>
      </c>
      <c r="J39" s="15">
        <v>210</v>
      </c>
      <c r="K39" s="15">
        <v>18</v>
      </c>
      <c r="L39" s="15"/>
      <c r="M39" s="253">
        <f t="shared" si="7"/>
        <v>3.4771212547196626</v>
      </c>
      <c r="N39" s="253">
        <f t="shared" si="8"/>
        <v>-0.95860731484177497</v>
      </c>
      <c r="O39" s="253">
        <f t="shared" si="9"/>
        <v>0.56820172406699498</v>
      </c>
      <c r="P39" s="253">
        <f t="shared" si="10"/>
        <v>3.7923916894982539</v>
      </c>
      <c r="Q39" s="253">
        <f t="shared" si="11"/>
        <v>0.77815125038364363</v>
      </c>
      <c r="R39" s="253">
        <f t="shared" si="12"/>
        <v>2.2304489213782741</v>
      </c>
      <c r="S39" s="253">
        <f t="shared" si="13"/>
        <v>1.1760912590556813</v>
      </c>
      <c r="U39" s="21"/>
      <c r="V39" s="21"/>
      <c r="W39" s="21"/>
      <c r="X39" s="21"/>
      <c r="Y39" s="21"/>
      <c r="Z39" s="21"/>
      <c r="AA39" s="21"/>
      <c r="AB39" s="7"/>
      <c r="AC39" s="135" t="s">
        <v>101</v>
      </c>
      <c r="AD39" s="306">
        <v>204.48324864000003</v>
      </c>
      <c r="AE39" s="210">
        <v>42233.420138888891</v>
      </c>
      <c r="AF39" s="15">
        <v>3000</v>
      </c>
      <c r="AG39" s="15">
        <v>0.11</v>
      </c>
      <c r="AH39" s="15">
        <v>3.7</v>
      </c>
      <c r="AI39" s="15">
        <v>6200</v>
      </c>
      <c r="AJ39" s="15">
        <v>6</v>
      </c>
      <c r="AK39" s="15">
        <v>170</v>
      </c>
      <c r="AL39" s="15">
        <v>15</v>
      </c>
    </row>
    <row r="40" spans="1:38" x14ac:dyDescent="0.25">
      <c r="A40" s="135" t="s">
        <v>101</v>
      </c>
      <c r="B40" s="3" t="s">
        <v>221</v>
      </c>
      <c r="C40" s="306">
        <v>196.05028608000001</v>
      </c>
      <c r="D40" s="250">
        <v>42265.59375</v>
      </c>
      <c r="E40" s="15">
        <v>2700</v>
      </c>
      <c r="F40" s="15">
        <v>5.1999999999999998E-2</v>
      </c>
      <c r="G40" s="15">
        <v>3</v>
      </c>
      <c r="H40" s="15">
        <v>3900</v>
      </c>
      <c r="I40" s="15">
        <v>4.9000000000000004</v>
      </c>
      <c r="J40" s="15">
        <v>190</v>
      </c>
      <c r="K40" s="15">
        <v>22</v>
      </c>
      <c r="L40" s="15"/>
      <c r="M40" s="253">
        <f t="shared" si="7"/>
        <v>3.3617278360175931</v>
      </c>
      <c r="N40" s="253">
        <f t="shared" si="8"/>
        <v>-1.5528419686577808</v>
      </c>
      <c r="O40" s="253">
        <f t="shared" si="9"/>
        <v>0.43136376415898736</v>
      </c>
      <c r="P40" s="253">
        <f t="shared" si="10"/>
        <v>3.7781512503836434</v>
      </c>
      <c r="Q40" s="253">
        <f t="shared" si="11"/>
        <v>0.75587485567249146</v>
      </c>
      <c r="R40" s="253">
        <f t="shared" si="12"/>
        <v>2.1461280356782382</v>
      </c>
      <c r="S40" s="253">
        <f t="shared" si="13"/>
        <v>1.146128035678238</v>
      </c>
      <c r="U40" s="21"/>
      <c r="V40" s="21"/>
      <c r="W40" s="21"/>
      <c r="X40" s="21"/>
      <c r="Y40" s="21"/>
      <c r="Z40" s="21"/>
      <c r="AA40" s="21"/>
      <c r="AC40" s="135" t="s">
        <v>101</v>
      </c>
      <c r="AD40" s="306">
        <v>196.87105152000001</v>
      </c>
      <c r="AE40" s="210">
        <v>42233.4375</v>
      </c>
      <c r="AF40" s="15">
        <v>2300</v>
      </c>
      <c r="AG40" s="15">
        <v>2.8000000000000001E-2</v>
      </c>
      <c r="AH40" s="15">
        <v>2.7</v>
      </c>
      <c r="AI40" s="15">
        <v>6000</v>
      </c>
      <c r="AJ40" s="15">
        <v>5.7</v>
      </c>
      <c r="AK40" s="15">
        <v>140</v>
      </c>
      <c r="AL40" s="15">
        <v>14</v>
      </c>
    </row>
    <row r="41" spans="1:38" x14ac:dyDescent="0.25">
      <c r="A41" s="135" t="s">
        <v>101</v>
      </c>
      <c r="B41" s="3" t="s">
        <v>221</v>
      </c>
      <c r="C41" s="306">
        <v>196.05028608000001</v>
      </c>
      <c r="D41" s="250">
        <v>42266.458333333336</v>
      </c>
      <c r="E41" s="15">
        <v>2600</v>
      </c>
      <c r="F41" s="15">
        <v>2.1999999999999999E-2</v>
      </c>
      <c r="G41" s="15">
        <v>2.1</v>
      </c>
      <c r="H41" s="15">
        <v>3700</v>
      </c>
      <c r="I41" s="15">
        <v>3.6</v>
      </c>
      <c r="J41" s="15">
        <v>130</v>
      </c>
      <c r="K41" s="15">
        <v>13</v>
      </c>
      <c r="L41" s="15"/>
      <c r="M41" s="253">
        <f t="shared" si="7"/>
        <v>3.7781512503836434</v>
      </c>
      <c r="N41" s="253">
        <f t="shared" si="8"/>
        <v>-1.2146701649892331</v>
      </c>
      <c r="O41" s="253">
        <f t="shared" si="9"/>
        <v>0.7323937598229685</v>
      </c>
      <c r="P41" s="253">
        <f t="shared" si="10"/>
        <v>3.9395192526186187</v>
      </c>
      <c r="Q41" s="253">
        <f t="shared" si="11"/>
        <v>0.69019608002851374</v>
      </c>
      <c r="R41" s="253">
        <f t="shared" si="12"/>
        <v>2.1461280356782382</v>
      </c>
      <c r="S41" s="253">
        <f t="shared" si="13"/>
        <v>1.3424226808222062</v>
      </c>
      <c r="U41" s="21"/>
      <c r="V41" s="21"/>
      <c r="W41" s="21"/>
      <c r="X41" s="21"/>
      <c r="Y41" s="21"/>
      <c r="Z41" s="21"/>
      <c r="AA41" s="21"/>
      <c r="AC41" s="135" t="s">
        <v>101</v>
      </c>
      <c r="AD41" s="306">
        <v>272.47803264000004</v>
      </c>
      <c r="AE41" s="210">
        <v>42233.46875</v>
      </c>
      <c r="AF41" s="15">
        <v>6000</v>
      </c>
      <c r="AG41" s="15">
        <v>6.0999999999999999E-2</v>
      </c>
      <c r="AH41" s="15">
        <v>5.4</v>
      </c>
      <c r="AI41" s="15">
        <v>8700</v>
      </c>
      <c r="AJ41" s="15">
        <v>4.9000000000000004</v>
      </c>
      <c r="AK41" s="15">
        <v>140</v>
      </c>
      <c r="AL41" s="15">
        <v>22</v>
      </c>
    </row>
    <row r="42" spans="1:38" x14ac:dyDescent="0.25">
      <c r="A42" s="135" t="s">
        <v>101</v>
      </c>
      <c r="B42" s="3" t="s">
        <v>221</v>
      </c>
      <c r="C42" s="306">
        <v>196.05028608000001</v>
      </c>
      <c r="D42" s="250">
        <v>42267.447916666664</v>
      </c>
      <c r="E42" s="15">
        <v>2400</v>
      </c>
      <c r="F42" s="15">
        <v>2.7E-2</v>
      </c>
      <c r="G42" s="15">
        <v>2.5</v>
      </c>
      <c r="H42" s="15">
        <v>3500</v>
      </c>
      <c r="I42" s="15">
        <v>4</v>
      </c>
      <c r="J42" s="15">
        <v>170</v>
      </c>
      <c r="K42" s="15">
        <v>14</v>
      </c>
      <c r="L42" s="15"/>
      <c r="M42" s="253">
        <f t="shared" si="7"/>
        <v>3.716003343634799</v>
      </c>
      <c r="N42" s="253">
        <f t="shared" si="8"/>
        <v>-1.3872161432802645</v>
      </c>
      <c r="O42" s="253">
        <f t="shared" si="9"/>
        <v>0.77085201164214423</v>
      </c>
      <c r="P42" s="253">
        <f t="shared" si="10"/>
        <v>3.9030899869919438</v>
      </c>
      <c r="Q42" s="253">
        <f t="shared" si="11"/>
        <v>0.79239168949825389</v>
      </c>
      <c r="R42" s="253">
        <f t="shared" si="12"/>
        <v>2.3010299956639813</v>
      </c>
      <c r="S42" s="253">
        <f t="shared" si="13"/>
        <v>1.3802112417116059</v>
      </c>
      <c r="AC42" s="135" t="s">
        <v>101</v>
      </c>
      <c r="AD42" s="306">
        <v>227.65780224000002</v>
      </c>
      <c r="AE42" s="210">
        <v>42234.461111111108</v>
      </c>
      <c r="AF42" s="15">
        <v>5200</v>
      </c>
      <c r="AG42" s="15">
        <v>4.1000000000000002E-2</v>
      </c>
      <c r="AH42" s="15">
        <v>5.9</v>
      </c>
      <c r="AI42" s="15">
        <v>8000</v>
      </c>
      <c r="AJ42" s="15">
        <v>6.2</v>
      </c>
      <c r="AK42" s="15">
        <v>200</v>
      </c>
      <c r="AL42" s="15">
        <v>24</v>
      </c>
    </row>
    <row r="43" spans="1:38" x14ac:dyDescent="0.25">
      <c r="A43" s="135" t="s">
        <v>101</v>
      </c>
      <c r="B43" s="3" t="s">
        <v>221</v>
      </c>
      <c r="C43" s="306">
        <v>196.05028608000001</v>
      </c>
      <c r="D43" s="250">
        <v>42268.510416666664</v>
      </c>
      <c r="E43" s="15">
        <v>2100</v>
      </c>
      <c r="F43" s="15">
        <v>2.9000000000000001E-2</v>
      </c>
      <c r="G43" s="15">
        <v>2.7</v>
      </c>
      <c r="H43" s="15">
        <v>3700</v>
      </c>
      <c r="I43" s="15">
        <v>5.9</v>
      </c>
      <c r="J43" s="15">
        <v>190</v>
      </c>
      <c r="K43" s="15">
        <v>19</v>
      </c>
      <c r="L43" s="15"/>
      <c r="M43" s="253">
        <f t="shared" si="7"/>
        <v>3.5563025007672873</v>
      </c>
      <c r="N43" s="253">
        <f t="shared" si="8"/>
        <v>-1.431798275933005</v>
      </c>
      <c r="O43" s="253">
        <f t="shared" si="9"/>
        <v>0.53147891704225514</v>
      </c>
      <c r="P43" s="253">
        <f t="shared" si="10"/>
        <v>3.7853298350107671</v>
      </c>
      <c r="Q43" s="253">
        <f t="shared" si="11"/>
        <v>0.62324929039790045</v>
      </c>
      <c r="R43" s="253">
        <f t="shared" si="12"/>
        <v>2.1461280356782382</v>
      </c>
      <c r="S43" s="253">
        <f t="shared" si="13"/>
        <v>1.1760912590556813</v>
      </c>
      <c r="AC43" s="135" t="s">
        <v>101</v>
      </c>
      <c r="AD43" s="306">
        <v>214.42899456000004</v>
      </c>
      <c r="AE43" s="210">
        <v>42234.486111111109</v>
      </c>
      <c r="AF43" s="15">
        <v>3600</v>
      </c>
      <c r="AG43" s="15">
        <v>3.6999999999999998E-2</v>
      </c>
      <c r="AH43" s="15">
        <v>3.4</v>
      </c>
      <c r="AI43" s="15">
        <v>6100</v>
      </c>
      <c r="AJ43" s="15">
        <v>4.2</v>
      </c>
      <c r="AK43" s="15">
        <v>140</v>
      </c>
      <c r="AL43" s="15">
        <v>15</v>
      </c>
    </row>
    <row r="44" spans="1:38" x14ac:dyDescent="0.25">
      <c r="A44" s="135" t="s">
        <v>101</v>
      </c>
      <c r="B44" s="3" t="s">
        <v>221</v>
      </c>
      <c r="C44" s="306">
        <v>196.05028608000001</v>
      </c>
      <c r="D44" s="250">
        <v>42269.388888888891</v>
      </c>
      <c r="E44" s="15">
        <v>1300</v>
      </c>
      <c r="F44" s="15">
        <v>2.5999999999999999E-2</v>
      </c>
      <c r="G44" s="15">
        <v>2.6</v>
      </c>
      <c r="H44" s="15">
        <v>2000</v>
      </c>
      <c r="I44" s="15">
        <v>4.2</v>
      </c>
      <c r="J44" s="15">
        <v>160</v>
      </c>
      <c r="K44" s="15">
        <v>18</v>
      </c>
      <c r="L44" s="15"/>
      <c r="M44" s="253">
        <f t="shared" si="7"/>
        <v>3.4313637641589874</v>
      </c>
      <c r="N44" s="253">
        <f t="shared" si="8"/>
        <v>-1.5686362358410126</v>
      </c>
      <c r="O44" s="253">
        <f t="shared" si="9"/>
        <v>0.47712125471966244</v>
      </c>
      <c r="P44" s="253">
        <f t="shared" si="10"/>
        <v>3.7558748556724915</v>
      </c>
      <c r="Q44" s="253">
        <f t="shared" si="11"/>
        <v>0.79934054945358168</v>
      </c>
      <c r="R44" s="253">
        <f t="shared" si="12"/>
        <v>2.2041199826559246</v>
      </c>
      <c r="S44" s="253">
        <f t="shared" si="13"/>
        <v>1.255272505103306</v>
      </c>
      <c r="AB44" s="7"/>
      <c r="AC44" s="135" t="s">
        <v>101</v>
      </c>
      <c r="AD44" s="306">
        <v>196.87105152000001</v>
      </c>
      <c r="AE44" s="210">
        <v>42234.515972222223</v>
      </c>
      <c r="AF44" s="15">
        <v>2700</v>
      </c>
      <c r="AG44" s="15">
        <v>2.7E-2</v>
      </c>
      <c r="AH44" s="15">
        <v>3</v>
      </c>
      <c r="AI44" s="15">
        <v>5700</v>
      </c>
      <c r="AJ44" s="15">
        <v>6.3</v>
      </c>
      <c r="AK44" s="15">
        <v>160</v>
      </c>
      <c r="AL44" s="15">
        <v>18</v>
      </c>
    </row>
    <row r="45" spans="1:38" x14ac:dyDescent="0.25">
      <c r="A45" s="135" t="s">
        <v>101</v>
      </c>
      <c r="B45" s="3" t="s">
        <v>221</v>
      </c>
      <c r="C45" s="306">
        <v>196.05028608000001</v>
      </c>
      <c r="D45" s="250">
        <v>42271.4375</v>
      </c>
      <c r="E45" s="15">
        <v>4800</v>
      </c>
      <c r="F45" s="15">
        <v>2.3E-2</v>
      </c>
      <c r="G45" s="15">
        <v>2.6</v>
      </c>
      <c r="H45" s="15">
        <v>7200</v>
      </c>
      <c r="I45" s="15">
        <v>2.9</v>
      </c>
      <c r="J45" s="15">
        <v>150</v>
      </c>
      <c r="K45" s="15">
        <v>11</v>
      </c>
      <c r="L45" s="15"/>
      <c r="M45" s="253">
        <f t="shared" si="7"/>
        <v>3.7853298350107671</v>
      </c>
      <c r="N45" s="253">
        <f t="shared" si="8"/>
        <v>-1.0222763947111522</v>
      </c>
      <c r="O45" s="253">
        <f t="shared" si="9"/>
        <v>0.90848501887864974</v>
      </c>
      <c r="P45" s="253">
        <f t="shared" si="10"/>
        <v>3.9395192526186187</v>
      </c>
      <c r="Q45" s="253">
        <f t="shared" si="11"/>
        <v>0.95424250943932487</v>
      </c>
      <c r="R45" s="253">
        <f t="shared" si="12"/>
        <v>2.3617278360175931</v>
      </c>
      <c r="S45" s="253">
        <f t="shared" si="13"/>
        <v>1.5797835966168101</v>
      </c>
      <c r="AB45" s="7"/>
      <c r="AC45" s="135" t="s">
        <v>101</v>
      </c>
      <c r="AD45" s="306">
        <v>196.05028608000001</v>
      </c>
      <c r="AE45" s="210">
        <v>42234.569444444445</v>
      </c>
      <c r="AF45" s="15">
        <v>6100</v>
      </c>
      <c r="AG45" s="15">
        <v>9.5000000000000001E-2</v>
      </c>
      <c r="AH45" s="15">
        <v>8.1</v>
      </c>
      <c r="AI45" s="15">
        <v>8700</v>
      </c>
      <c r="AJ45" s="15">
        <v>9</v>
      </c>
      <c r="AK45" s="15">
        <v>230</v>
      </c>
      <c r="AL45" s="15">
        <v>38</v>
      </c>
    </row>
    <row r="46" spans="1:38" x14ac:dyDescent="0.25">
      <c r="A46" s="135" t="s">
        <v>101</v>
      </c>
      <c r="B46" s="3" t="s">
        <v>221</v>
      </c>
      <c r="C46" s="306">
        <v>196.05028608000001</v>
      </c>
      <c r="D46" s="250">
        <v>42275.430555555555</v>
      </c>
      <c r="E46" s="15">
        <v>1800</v>
      </c>
      <c r="F46" s="15">
        <v>2.1000000000000001E-2</v>
      </c>
      <c r="G46" s="15">
        <v>1.9</v>
      </c>
      <c r="H46" s="15">
        <v>2800</v>
      </c>
      <c r="I46" s="15">
        <v>2.6</v>
      </c>
      <c r="J46" s="15">
        <v>130</v>
      </c>
      <c r="K46" s="15">
        <v>8.1</v>
      </c>
      <c r="L46" s="15"/>
      <c r="M46" s="253">
        <f t="shared" si="7"/>
        <v>3.8195439355418688</v>
      </c>
      <c r="N46" s="253">
        <f t="shared" si="8"/>
        <v>-1.1135092748275182</v>
      </c>
      <c r="O46" s="253">
        <f t="shared" si="9"/>
        <v>0.79239168949825389</v>
      </c>
      <c r="P46" s="253">
        <f t="shared" si="10"/>
        <v>3.9294189257142929</v>
      </c>
      <c r="Q46" s="253">
        <f t="shared" si="11"/>
        <v>0.83250891270623628</v>
      </c>
      <c r="R46" s="253">
        <f t="shared" si="12"/>
        <v>2.3010299956639813</v>
      </c>
      <c r="S46" s="253">
        <f t="shared" si="13"/>
        <v>1.3617278360175928</v>
      </c>
      <c r="U46" s="21"/>
      <c r="V46" s="21"/>
      <c r="W46" s="21"/>
      <c r="X46" s="21"/>
      <c r="Y46" s="21"/>
      <c r="Z46" s="21"/>
      <c r="AA46" s="21"/>
      <c r="AB46" s="7"/>
      <c r="AC46" s="135" t="s">
        <v>101</v>
      </c>
      <c r="AD46" s="306">
        <v>295.82961408</v>
      </c>
      <c r="AE46" s="210">
        <v>42234.586805555555</v>
      </c>
      <c r="AF46" s="15">
        <v>6600</v>
      </c>
      <c r="AG46" s="15">
        <v>7.6999999999999999E-2</v>
      </c>
      <c r="AH46" s="15">
        <v>6.2</v>
      </c>
      <c r="AI46" s="15">
        <v>8500</v>
      </c>
      <c r="AJ46" s="15">
        <v>6.8</v>
      </c>
      <c r="AK46" s="15">
        <v>200</v>
      </c>
      <c r="AL46" s="15">
        <v>23</v>
      </c>
    </row>
    <row r="47" spans="1:38" x14ac:dyDescent="0.25">
      <c r="A47" s="135" t="s">
        <v>101</v>
      </c>
      <c r="B47" s="3" t="s">
        <v>221</v>
      </c>
      <c r="C47" s="306">
        <v>196.05028608000001</v>
      </c>
      <c r="D47" s="250">
        <v>42277.420138888891</v>
      </c>
      <c r="E47" s="15">
        <v>1600</v>
      </c>
      <c r="F47" s="15">
        <v>1.9E-2</v>
      </c>
      <c r="G47" s="15">
        <v>1.9</v>
      </c>
      <c r="H47" s="15">
        <v>2500</v>
      </c>
      <c r="I47" s="15">
        <v>3.9</v>
      </c>
      <c r="J47" s="15">
        <v>160</v>
      </c>
      <c r="K47" s="15">
        <v>14</v>
      </c>
      <c r="L47" s="15"/>
      <c r="M47" s="253">
        <f t="shared" si="7"/>
        <v>3.4471580313422194</v>
      </c>
      <c r="N47" s="253">
        <f t="shared" si="8"/>
        <v>-1.494850021680094</v>
      </c>
      <c r="O47" s="253">
        <f t="shared" si="9"/>
        <v>0.47712125471966244</v>
      </c>
      <c r="P47" s="253">
        <f t="shared" si="10"/>
        <v>3.8388490907372552</v>
      </c>
      <c r="Q47" s="253">
        <f t="shared" si="11"/>
        <v>0.65321251377534373</v>
      </c>
      <c r="R47" s="253">
        <f t="shared" si="12"/>
        <v>2.2041199826559246</v>
      </c>
      <c r="S47" s="253">
        <f t="shared" si="13"/>
        <v>1.1139433523068367</v>
      </c>
      <c r="U47" s="21"/>
      <c r="V47" s="21"/>
      <c r="W47" s="21"/>
      <c r="X47" s="21"/>
      <c r="Y47" s="21"/>
      <c r="Z47" s="21"/>
      <c r="AA47" s="21"/>
      <c r="AB47" s="7"/>
      <c r="AC47" s="135" t="s">
        <v>101</v>
      </c>
      <c r="AD47" s="306">
        <v>204.48324864000003</v>
      </c>
      <c r="AE47" s="210">
        <v>42234.59375</v>
      </c>
      <c r="AF47" s="15">
        <v>2800</v>
      </c>
      <c r="AG47" s="15">
        <v>3.2000000000000001E-2</v>
      </c>
      <c r="AH47" s="15">
        <v>3</v>
      </c>
      <c r="AI47" s="15">
        <v>6900</v>
      </c>
      <c r="AJ47" s="15">
        <v>4.5</v>
      </c>
      <c r="AK47" s="15">
        <v>160</v>
      </c>
      <c r="AL47" s="15">
        <v>13</v>
      </c>
    </row>
    <row r="48" spans="1:38" x14ac:dyDescent="0.25">
      <c r="A48" s="135" t="s">
        <v>101</v>
      </c>
      <c r="B48" s="3" t="s">
        <v>221</v>
      </c>
      <c r="C48" s="306">
        <v>196.05028608000001</v>
      </c>
      <c r="D48" s="250">
        <v>42285.46875</v>
      </c>
      <c r="E48" s="15">
        <v>2300</v>
      </c>
      <c r="F48" s="15">
        <v>1.4999999999999999E-2</v>
      </c>
      <c r="G48" s="15">
        <v>2.7</v>
      </c>
      <c r="H48" s="15">
        <v>3900</v>
      </c>
      <c r="I48" s="15">
        <v>4.8</v>
      </c>
      <c r="J48" s="15">
        <v>140</v>
      </c>
      <c r="K48" s="15">
        <v>11</v>
      </c>
      <c r="L48" s="15"/>
      <c r="M48" s="253">
        <f t="shared" si="7"/>
        <v>3.5797835966168101</v>
      </c>
      <c r="N48" s="253">
        <f t="shared" si="8"/>
        <v>-1.3098039199714864</v>
      </c>
      <c r="O48" s="253">
        <f t="shared" si="9"/>
        <v>0.67209785793571752</v>
      </c>
      <c r="P48" s="253">
        <f t="shared" si="10"/>
        <v>3.7403626894942437</v>
      </c>
      <c r="Q48" s="253">
        <f t="shared" si="11"/>
        <v>0.74036268949424389</v>
      </c>
      <c r="R48" s="253">
        <f t="shared" si="12"/>
        <v>2.2304489213782741</v>
      </c>
      <c r="S48" s="253">
        <f t="shared" si="13"/>
        <v>1.3010299956639813</v>
      </c>
      <c r="U48" s="21"/>
      <c r="V48" s="21"/>
      <c r="W48" s="21"/>
      <c r="X48" s="21"/>
      <c r="Y48" s="21"/>
      <c r="Z48" s="21"/>
      <c r="AA48" s="21"/>
      <c r="AB48" s="7"/>
      <c r="AC48" s="135" t="s">
        <v>101</v>
      </c>
      <c r="AD48" s="306">
        <v>227.65780224000002</v>
      </c>
      <c r="AE48" s="210">
        <v>42235.385416666664</v>
      </c>
      <c r="AF48" s="15">
        <v>3800</v>
      </c>
      <c r="AG48" s="15">
        <v>4.9000000000000002E-2</v>
      </c>
      <c r="AH48" s="15">
        <v>4.7</v>
      </c>
      <c r="AI48" s="15">
        <v>5500</v>
      </c>
      <c r="AJ48" s="15">
        <v>5.5</v>
      </c>
      <c r="AK48" s="15">
        <v>170</v>
      </c>
      <c r="AL48" s="15">
        <v>20</v>
      </c>
    </row>
    <row r="49" spans="1:38" x14ac:dyDescent="0.25">
      <c r="A49" s="135" t="s">
        <v>101</v>
      </c>
      <c r="B49" s="3" t="s">
        <v>221</v>
      </c>
      <c r="C49" s="306">
        <v>196.05028608000001</v>
      </c>
      <c r="D49" s="250">
        <v>42291.482638888891</v>
      </c>
      <c r="E49" s="15">
        <v>1800</v>
      </c>
      <c r="F49" s="15">
        <v>2.1000000000000001E-2</v>
      </c>
      <c r="G49" s="15">
        <v>1.6</v>
      </c>
      <c r="H49" s="15">
        <v>3100</v>
      </c>
      <c r="I49" s="15">
        <v>4.8</v>
      </c>
      <c r="J49" s="15">
        <v>130</v>
      </c>
      <c r="K49" s="15">
        <v>8.9</v>
      </c>
      <c r="L49" s="15"/>
      <c r="M49" s="253">
        <f t="shared" si="7"/>
        <v>3.6020599913279625</v>
      </c>
      <c r="N49" s="253">
        <f t="shared" si="8"/>
        <v>-1.2924298239020637</v>
      </c>
      <c r="O49" s="253">
        <f t="shared" si="9"/>
        <v>0.66275783168157409</v>
      </c>
      <c r="P49" s="253">
        <f t="shared" si="10"/>
        <v>3.7403626894942437</v>
      </c>
      <c r="Q49" s="253">
        <f t="shared" si="11"/>
        <v>0.72427586960078905</v>
      </c>
      <c r="R49" s="253">
        <f t="shared" si="12"/>
        <v>2.2304489213782741</v>
      </c>
      <c r="S49" s="253">
        <f t="shared" si="13"/>
        <v>1.3222192947339193</v>
      </c>
      <c r="U49" s="22"/>
      <c r="V49" s="22"/>
      <c r="W49" s="22"/>
      <c r="X49" s="22"/>
      <c r="Y49" s="22"/>
      <c r="Z49" s="21"/>
      <c r="AA49" s="21"/>
      <c r="AB49" s="7"/>
      <c r="AC49" s="135" t="s">
        <v>101</v>
      </c>
      <c r="AD49" s="306">
        <v>214.42899456000004</v>
      </c>
      <c r="AE49" s="210">
        <v>42235.413194444445</v>
      </c>
      <c r="AF49" s="15">
        <v>4000</v>
      </c>
      <c r="AG49" s="15">
        <v>5.0999999999999997E-2</v>
      </c>
      <c r="AH49" s="15">
        <v>4.5999999999999996</v>
      </c>
      <c r="AI49" s="15">
        <v>5500</v>
      </c>
      <c r="AJ49" s="15">
        <v>5.3</v>
      </c>
      <c r="AK49" s="15">
        <v>170</v>
      </c>
      <c r="AL49" s="15">
        <v>21</v>
      </c>
    </row>
    <row r="50" spans="1:38" x14ac:dyDescent="0.25">
      <c r="A50" s="135" t="s">
        <v>101</v>
      </c>
      <c r="B50" s="3" t="s">
        <v>221</v>
      </c>
      <c r="C50" s="306">
        <v>196.05028608000001</v>
      </c>
      <c r="D50" s="250">
        <v>42326.395833333336</v>
      </c>
      <c r="E50" s="15">
        <v>4800</v>
      </c>
      <c r="F50" s="15">
        <v>7.2999999999999995E-2</v>
      </c>
      <c r="G50" s="15">
        <v>6.4</v>
      </c>
      <c r="H50" s="15">
        <v>7800</v>
      </c>
      <c r="I50" s="15">
        <v>4.8</v>
      </c>
      <c r="J50" s="15">
        <v>230</v>
      </c>
      <c r="K50" s="15">
        <v>29</v>
      </c>
      <c r="L50" s="15"/>
      <c r="M50" s="253">
        <f t="shared" si="7"/>
        <v>3.4313637641589874</v>
      </c>
      <c r="N50" s="253">
        <f t="shared" si="8"/>
        <v>-1.585026652029182</v>
      </c>
      <c r="O50" s="253">
        <f t="shared" si="9"/>
        <v>0.50514997831990605</v>
      </c>
      <c r="P50" s="253">
        <f t="shared" si="10"/>
        <v>3.6232492903979003</v>
      </c>
      <c r="Q50" s="253">
        <f t="shared" si="11"/>
        <v>0.64345267648618742</v>
      </c>
      <c r="R50" s="253">
        <f t="shared" si="12"/>
        <v>2.2041199826559246</v>
      </c>
      <c r="S50" s="253">
        <f t="shared" si="13"/>
        <v>1.146128035678238</v>
      </c>
      <c r="U50" s="21"/>
      <c r="V50" s="21"/>
      <c r="W50" s="21"/>
      <c r="X50" s="21"/>
      <c r="Y50" s="21"/>
      <c r="Z50" s="21"/>
      <c r="AA50" s="21"/>
      <c r="AB50" s="7"/>
      <c r="AC50" s="135" t="s">
        <v>101</v>
      </c>
      <c r="AD50" s="306">
        <v>196.87105152000001</v>
      </c>
      <c r="AE50" s="210">
        <v>42235.444444444445</v>
      </c>
      <c r="AF50" s="15">
        <v>2700</v>
      </c>
      <c r="AG50" s="15">
        <v>2.5999999999999999E-2</v>
      </c>
      <c r="AH50" s="15">
        <v>3.2</v>
      </c>
      <c r="AI50" s="15">
        <v>4200</v>
      </c>
      <c r="AJ50" s="15">
        <v>4.4000000000000004</v>
      </c>
      <c r="AK50" s="15">
        <v>160</v>
      </c>
      <c r="AL50" s="15">
        <v>14</v>
      </c>
    </row>
    <row r="51" spans="1:38" x14ac:dyDescent="0.25">
      <c r="A51" s="135" t="s">
        <v>101</v>
      </c>
      <c r="B51" s="3" t="s">
        <v>222</v>
      </c>
      <c r="C51" s="306">
        <v>196.87105152000001</v>
      </c>
      <c r="D51" s="250">
        <v>42230.614583333336</v>
      </c>
      <c r="E51" s="15">
        <v>3400</v>
      </c>
      <c r="F51" s="15">
        <v>0.32</v>
      </c>
      <c r="G51" s="15">
        <v>3.8</v>
      </c>
      <c r="H51" s="15">
        <v>7700</v>
      </c>
      <c r="I51" s="15">
        <v>7</v>
      </c>
      <c r="J51" s="15">
        <v>190</v>
      </c>
      <c r="K51" s="15">
        <v>22</v>
      </c>
      <c r="L51" s="15"/>
      <c r="M51" s="253">
        <f t="shared" si="7"/>
        <v>3.7403626894942437</v>
      </c>
      <c r="N51" s="253">
        <f t="shared" si="8"/>
        <v>-1.1079053973095196</v>
      </c>
      <c r="O51" s="253">
        <f t="shared" si="9"/>
        <v>0.77815125038364363</v>
      </c>
      <c r="P51" s="253">
        <f t="shared" si="10"/>
        <v>3.8512583487190755</v>
      </c>
      <c r="Q51" s="253">
        <f t="shared" si="11"/>
        <v>0.81291335664285558</v>
      </c>
      <c r="R51" s="253">
        <f t="shared" si="12"/>
        <v>2.3617278360175931</v>
      </c>
      <c r="S51" s="253">
        <f t="shared" si="13"/>
        <v>1.3802112417116059</v>
      </c>
      <c r="U51" s="21"/>
      <c r="V51" s="21"/>
      <c r="W51" s="21"/>
      <c r="X51" s="21"/>
      <c r="Y51" s="21"/>
      <c r="Z51" s="21"/>
      <c r="AA51" s="21"/>
      <c r="AB51" s="7"/>
      <c r="AC51" s="135" t="s">
        <v>101</v>
      </c>
      <c r="AD51" s="306">
        <v>295.82961408</v>
      </c>
      <c r="AE51" s="210">
        <v>42235.503472222219</v>
      </c>
      <c r="AF51" s="15">
        <v>5500</v>
      </c>
      <c r="AG51" s="15">
        <v>7.8E-2</v>
      </c>
      <c r="AH51" s="15">
        <v>6</v>
      </c>
      <c r="AI51" s="15">
        <v>7100</v>
      </c>
      <c r="AJ51" s="15">
        <v>6.5</v>
      </c>
      <c r="AK51" s="15">
        <v>230</v>
      </c>
      <c r="AL51" s="15">
        <v>24</v>
      </c>
    </row>
    <row r="52" spans="1:38" x14ac:dyDescent="0.25">
      <c r="A52" s="135" t="s">
        <v>101</v>
      </c>
      <c r="B52" s="3" t="s">
        <v>222</v>
      </c>
      <c r="C52" s="306">
        <v>196.87105152000001</v>
      </c>
      <c r="D52" s="250">
        <v>42231.385416666664</v>
      </c>
      <c r="E52" s="15">
        <v>3200</v>
      </c>
      <c r="F52" s="15">
        <v>0.32</v>
      </c>
      <c r="G52" s="15">
        <v>3.9</v>
      </c>
      <c r="H52" s="15">
        <v>7100</v>
      </c>
      <c r="I52" s="15">
        <v>7.2</v>
      </c>
      <c r="J52" s="15">
        <v>170</v>
      </c>
      <c r="K52" s="15">
        <v>18</v>
      </c>
      <c r="L52" s="15"/>
      <c r="M52" s="253">
        <f t="shared" si="7"/>
        <v>3.8195439355418688</v>
      </c>
      <c r="N52" s="253">
        <f t="shared" si="8"/>
        <v>-0.88605664769316317</v>
      </c>
      <c r="O52" s="253">
        <f t="shared" si="9"/>
        <v>0.98227123303956843</v>
      </c>
      <c r="P52" s="253">
        <f t="shared" si="10"/>
        <v>4.0413926851582254</v>
      </c>
      <c r="Q52" s="253">
        <f t="shared" si="11"/>
        <v>1.0413926851582251</v>
      </c>
      <c r="R52" s="253">
        <f t="shared" si="12"/>
        <v>2.3424226808222062</v>
      </c>
      <c r="S52" s="253">
        <f t="shared" si="13"/>
        <v>1.6812412373755872</v>
      </c>
      <c r="U52" s="21"/>
      <c r="V52" s="21"/>
      <c r="W52" s="21"/>
      <c r="X52" s="21"/>
      <c r="Y52" s="21"/>
      <c r="Z52" s="21"/>
      <c r="AA52" s="21"/>
      <c r="AB52" s="7"/>
      <c r="AC52" s="135" t="s">
        <v>101</v>
      </c>
      <c r="AD52" s="306">
        <v>196.05028608000001</v>
      </c>
      <c r="AE52" s="210">
        <v>42235.555555555555</v>
      </c>
      <c r="AF52" s="15">
        <v>6600</v>
      </c>
      <c r="AG52" s="15">
        <v>0.13</v>
      </c>
      <c r="AH52" s="15">
        <v>9.6</v>
      </c>
      <c r="AI52" s="15">
        <v>11000</v>
      </c>
      <c r="AJ52" s="15">
        <v>11</v>
      </c>
      <c r="AK52" s="15">
        <v>220</v>
      </c>
      <c r="AL52" s="15">
        <v>48</v>
      </c>
    </row>
    <row r="53" spans="1:38" x14ac:dyDescent="0.25">
      <c r="A53" s="135" t="s">
        <v>101</v>
      </c>
      <c r="B53" s="3" t="s">
        <v>222</v>
      </c>
      <c r="C53" s="306">
        <v>196.87105152000001</v>
      </c>
      <c r="D53" s="250">
        <v>42233.4375</v>
      </c>
      <c r="E53" s="15">
        <v>2300</v>
      </c>
      <c r="F53" s="15">
        <v>2.8000000000000001E-2</v>
      </c>
      <c r="G53" s="15">
        <v>2.7</v>
      </c>
      <c r="H53" s="15">
        <v>6000</v>
      </c>
      <c r="I53" s="15">
        <v>5.7</v>
      </c>
      <c r="J53" s="15">
        <v>140</v>
      </c>
      <c r="K53" s="15">
        <v>14</v>
      </c>
      <c r="L53" s="15"/>
      <c r="M53" s="253">
        <f t="shared" si="7"/>
        <v>3.5051499783199058</v>
      </c>
      <c r="N53" s="253">
        <f t="shared" si="8"/>
        <v>-1.3565473235138126</v>
      </c>
      <c r="O53" s="253">
        <f t="shared" si="9"/>
        <v>0.65321251377534373</v>
      </c>
      <c r="P53" s="253">
        <f t="shared" si="10"/>
        <v>3.7853298350107671</v>
      </c>
      <c r="Q53" s="253">
        <f t="shared" si="11"/>
        <v>0.77085201164214423</v>
      </c>
      <c r="R53" s="253">
        <f t="shared" si="12"/>
        <v>2.2041199826559246</v>
      </c>
      <c r="S53" s="253">
        <f t="shared" si="13"/>
        <v>1.146128035678238</v>
      </c>
      <c r="U53" s="21"/>
      <c r="V53" s="21"/>
      <c r="W53" s="21"/>
      <c r="X53" s="21"/>
      <c r="Y53" s="21"/>
      <c r="Z53" s="21"/>
      <c r="AA53" s="21"/>
      <c r="AB53" s="8"/>
      <c r="AC53" s="135" t="s">
        <v>101</v>
      </c>
      <c r="AD53" s="306">
        <v>204.48324864000003</v>
      </c>
      <c r="AE53" s="210">
        <v>42235.597222222219</v>
      </c>
      <c r="AF53" s="15">
        <v>3200</v>
      </c>
      <c r="AG53" s="15">
        <v>4.3999999999999997E-2</v>
      </c>
      <c r="AH53" s="15">
        <v>4.5</v>
      </c>
      <c r="AI53" s="15">
        <v>6100</v>
      </c>
      <c r="AJ53" s="15">
        <v>5.9</v>
      </c>
      <c r="AK53" s="15">
        <v>160</v>
      </c>
      <c r="AL53" s="15">
        <v>14</v>
      </c>
    </row>
    <row r="54" spans="1:38" x14ac:dyDescent="0.25">
      <c r="A54" s="135" t="s">
        <v>101</v>
      </c>
      <c r="B54" s="3" t="s">
        <v>222</v>
      </c>
      <c r="C54" s="306">
        <v>196.87105152000001</v>
      </c>
      <c r="D54" s="250">
        <v>42234.515972222223</v>
      </c>
      <c r="E54" s="15">
        <v>2700</v>
      </c>
      <c r="F54" s="15">
        <v>2.7E-2</v>
      </c>
      <c r="G54" s="15">
        <v>3</v>
      </c>
      <c r="H54" s="15">
        <v>5700</v>
      </c>
      <c r="I54" s="15">
        <v>6.3</v>
      </c>
      <c r="J54" s="15">
        <v>160</v>
      </c>
      <c r="K54" s="15">
        <v>18</v>
      </c>
      <c r="L54" s="15"/>
      <c r="M54" s="253">
        <f t="shared" si="7"/>
        <v>3.7634279935629373</v>
      </c>
      <c r="N54" s="253">
        <f t="shared" si="8"/>
        <v>-0.95860731484177497</v>
      </c>
      <c r="O54" s="253">
        <f t="shared" si="9"/>
        <v>0.86332286012045589</v>
      </c>
      <c r="P54" s="253">
        <f t="shared" si="10"/>
        <v>3.8976270912904414</v>
      </c>
      <c r="Q54" s="253">
        <f t="shared" si="11"/>
        <v>0.97772360528884772</v>
      </c>
      <c r="R54" s="253">
        <f t="shared" si="12"/>
        <v>2.255272505103306</v>
      </c>
      <c r="S54" s="253">
        <f t="shared" si="13"/>
        <v>1.6232492903979006</v>
      </c>
      <c r="U54" s="21"/>
      <c r="V54" s="21"/>
      <c r="W54" s="21"/>
      <c r="X54" s="21"/>
      <c r="Y54" s="21"/>
      <c r="Z54" s="21"/>
      <c r="AA54" s="21"/>
      <c r="AB54" s="9"/>
      <c r="AC54" s="135" t="s">
        <v>101</v>
      </c>
      <c r="AD54" s="306">
        <v>196.05028608000001</v>
      </c>
      <c r="AE54" s="210">
        <v>42236.451388888891</v>
      </c>
      <c r="AF54" s="15">
        <v>5800</v>
      </c>
      <c r="AG54" s="15">
        <v>0.11</v>
      </c>
      <c r="AH54" s="15">
        <v>7.3</v>
      </c>
      <c r="AI54" s="15">
        <v>7900</v>
      </c>
      <c r="AJ54" s="15">
        <v>9.5</v>
      </c>
      <c r="AK54" s="15">
        <v>180</v>
      </c>
      <c r="AL54" s="15">
        <v>42</v>
      </c>
    </row>
    <row r="55" spans="1:38" x14ac:dyDescent="0.25">
      <c r="A55" s="135" t="s">
        <v>101</v>
      </c>
      <c r="B55" s="3" t="s">
        <v>222</v>
      </c>
      <c r="C55" s="306">
        <v>196.87105152000001</v>
      </c>
      <c r="D55" s="250">
        <v>42235.444444444445</v>
      </c>
      <c r="E55" s="15">
        <v>2700</v>
      </c>
      <c r="F55" s="15">
        <v>2.5999999999999999E-2</v>
      </c>
      <c r="G55" s="15">
        <v>3.2</v>
      </c>
      <c r="H55" s="15">
        <v>4200</v>
      </c>
      <c r="I55" s="15">
        <v>4.4000000000000004</v>
      </c>
      <c r="J55" s="15">
        <v>160</v>
      </c>
      <c r="K55" s="15">
        <v>14</v>
      </c>
      <c r="L55" s="15"/>
      <c r="M55" s="253">
        <f t="shared" si="7"/>
        <v>3.5797835966168101</v>
      </c>
      <c r="N55" s="253">
        <f t="shared" si="8"/>
        <v>-1.4436974992327127</v>
      </c>
      <c r="O55" s="253">
        <f t="shared" si="9"/>
        <v>0.6020599913279624</v>
      </c>
      <c r="P55" s="253">
        <f t="shared" si="10"/>
        <v>3.7323937598229686</v>
      </c>
      <c r="Q55" s="253">
        <f t="shared" si="11"/>
        <v>0.64345267648618742</v>
      </c>
      <c r="R55" s="253">
        <f t="shared" si="12"/>
        <v>2.2304489213782741</v>
      </c>
      <c r="S55" s="253">
        <f t="shared" si="13"/>
        <v>1.255272505103306</v>
      </c>
      <c r="U55" s="22"/>
      <c r="V55" s="22"/>
      <c r="W55" s="22"/>
      <c r="X55" s="22"/>
      <c r="Y55" s="22"/>
      <c r="Z55" s="22"/>
      <c r="AA55" s="22"/>
      <c r="AB55" s="9"/>
      <c r="AC55" s="135" t="s">
        <v>101</v>
      </c>
      <c r="AD55" s="306">
        <v>204.48324864000003</v>
      </c>
      <c r="AE55" s="210">
        <v>42236.510416666664</v>
      </c>
      <c r="AF55" s="15">
        <v>3800</v>
      </c>
      <c r="AG55" s="15">
        <v>3.5999999999999997E-2</v>
      </c>
      <c r="AH55" s="15">
        <v>4</v>
      </c>
      <c r="AI55" s="15">
        <v>5400</v>
      </c>
      <c r="AJ55" s="15">
        <v>4.4000000000000004</v>
      </c>
      <c r="AK55" s="15">
        <v>170</v>
      </c>
      <c r="AL55" s="15">
        <v>18</v>
      </c>
    </row>
    <row r="56" spans="1:38" x14ac:dyDescent="0.25">
      <c r="A56" s="135" t="s">
        <v>101</v>
      </c>
      <c r="B56" s="3" t="s">
        <v>222</v>
      </c>
      <c r="C56" s="306">
        <v>196.87105152000001</v>
      </c>
      <c r="D56" s="250">
        <v>42240.661805555559</v>
      </c>
      <c r="E56" s="15">
        <v>2300</v>
      </c>
      <c r="F56" s="15">
        <v>3.5000000000000003E-2</v>
      </c>
      <c r="G56" s="15">
        <v>1.7</v>
      </c>
      <c r="H56" s="15">
        <v>4000</v>
      </c>
      <c r="I56" s="15">
        <v>2.1</v>
      </c>
      <c r="J56" s="15">
        <v>87</v>
      </c>
      <c r="K56" s="15">
        <v>6.9</v>
      </c>
      <c r="L56" s="15"/>
      <c r="M56" s="253">
        <f t="shared" si="7"/>
        <v>3.8388490907372552</v>
      </c>
      <c r="N56" s="253">
        <f t="shared" si="8"/>
        <v>-0.85387196432176193</v>
      </c>
      <c r="O56" s="253">
        <f t="shared" si="9"/>
        <v>1.0413926851582251</v>
      </c>
      <c r="P56" s="253">
        <f t="shared" si="10"/>
        <v>3.9822712330395684</v>
      </c>
      <c r="Q56" s="253">
        <f t="shared" si="11"/>
        <v>1.2304489213782739</v>
      </c>
      <c r="R56" s="253">
        <f t="shared" si="12"/>
        <v>2.3979400086720375</v>
      </c>
      <c r="S56" s="253">
        <f t="shared" si="13"/>
        <v>1.8633228601204559</v>
      </c>
      <c r="U56" s="21"/>
      <c r="V56" s="21"/>
      <c r="W56" s="21"/>
      <c r="X56" s="21"/>
      <c r="Y56" s="21"/>
      <c r="Z56" s="21"/>
      <c r="AA56" s="21"/>
      <c r="AB56" s="7"/>
      <c r="AC56" s="135" t="s">
        <v>101</v>
      </c>
      <c r="AD56" s="306">
        <v>196.05028608000001</v>
      </c>
      <c r="AE56" s="210">
        <v>42237.486111111109</v>
      </c>
      <c r="AF56" s="15">
        <v>6900</v>
      </c>
      <c r="AG56" s="15">
        <v>0.14000000000000001</v>
      </c>
      <c r="AH56" s="15">
        <v>11</v>
      </c>
      <c r="AI56" s="15">
        <v>9600</v>
      </c>
      <c r="AJ56" s="15">
        <v>17</v>
      </c>
      <c r="AK56" s="15">
        <v>250</v>
      </c>
      <c r="AL56" s="15">
        <v>73</v>
      </c>
    </row>
    <row r="57" spans="1:38" x14ac:dyDescent="0.25">
      <c r="A57" s="135" t="s">
        <v>101</v>
      </c>
      <c r="B57" s="3" t="s">
        <v>222</v>
      </c>
      <c r="C57" s="306">
        <v>196.87105152000001</v>
      </c>
      <c r="D57" s="250">
        <v>42241.569444444445</v>
      </c>
      <c r="E57" s="15">
        <v>2700</v>
      </c>
      <c r="F57" s="15">
        <v>2.3E-2</v>
      </c>
      <c r="G57" s="15">
        <v>3.1</v>
      </c>
      <c r="H57" s="15">
        <v>4500</v>
      </c>
      <c r="I57" s="15">
        <v>3.8</v>
      </c>
      <c r="J57" s="15">
        <v>140</v>
      </c>
      <c r="K57" s="15">
        <v>12</v>
      </c>
      <c r="L57" s="15"/>
      <c r="M57" s="253">
        <f t="shared" si="7"/>
        <v>3.4771212547196626</v>
      </c>
      <c r="N57" s="253">
        <f t="shared" si="8"/>
        <v>-1.6777807052660807</v>
      </c>
      <c r="O57" s="253">
        <f t="shared" si="9"/>
        <v>0.53147891704225514</v>
      </c>
      <c r="P57" s="253">
        <f t="shared" si="10"/>
        <v>3.6720978579357175</v>
      </c>
      <c r="Q57" s="253">
        <f t="shared" si="11"/>
        <v>0.57978359661681012</v>
      </c>
      <c r="R57" s="253">
        <f t="shared" si="12"/>
        <v>2.1760912590556813</v>
      </c>
      <c r="S57" s="253">
        <f t="shared" si="13"/>
        <v>1.1139433523068367</v>
      </c>
      <c r="U57" s="21"/>
      <c r="V57" s="21"/>
      <c r="W57" s="21"/>
      <c r="X57" s="21"/>
      <c r="Y57" s="21"/>
      <c r="Z57" s="21"/>
      <c r="AA57" s="21"/>
      <c r="AB57" s="7"/>
      <c r="AC57" s="135" t="s">
        <v>101</v>
      </c>
      <c r="AD57" s="306">
        <v>204.48324864000003</v>
      </c>
      <c r="AE57" s="210">
        <v>42237.552083333336</v>
      </c>
      <c r="AF57" s="15">
        <v>3000</v>
      </c>
      <c r="AG57" s="15">
        <v>2.1000000000000001E-2</v>
      </c>
      <c r="AH57" s="15">
        <v>3.4</v>
      </c>
      <c r="AI57" s="15">
        <v>4700</v>
      </c>
      <c r="AJ57" s="15">
        <v>3.8</v>
      </c>
      <c r="AK57" s="15">
        <v>150</v>
      </c>
      <c r="AL57" s="15">
        <v>13</v>
      </c>
    </row>
    <row r="58" spans="1:38" x14ac:dyDescent="0.25">
      <c r="A58" s="135" t="s">
        <v>101</v>
      </c>
      <c r="B58" s="3" t="s">
        <v>222</v>
      </c>
      <c r="C58" s="306">
        <v>196.87105152000001</v>
      </c>
      <c r="D58" s="250">
        <v>42242</v>
      </c>
      <c r="E58" s="15">
        <v>2400</v>
      </c>
      <c r="F58" s="15">
        <v>1.6E-2</v>
      </c>
      <c r="G58" s="15">
        <v>1.9</v>
      </c>
      <c r="H58" s="15">
        <v>5000</v>
      </c>
      <c r="I58" s="15">
        <v>2.9</v>
      </c>
      <c r="J58" s="15">
        <v>83</v>
      </c>
      <c r="K58" s="15">
        <v>7.6</v>
      </c>
      <c r="L58" s="15"/>
      <c r="M58" s="253">
        <f t="shared" si="7"/>
        <v>3.8512583487190755</v>
      </c>
      <c r="N58" s="253">
        <f t="shared" si="8"/>
        <v>-0.65757731917779372</v>
      </c>
      <c r="O58" s="253">
        <f t="shared" si="9"/>
        <v>1.0791812460476249</v>
      </c>
      <c r="P58" s="253">
        <f t="shared" si="10"/>
        <v>4.0413926851582254</v>
      </c>
      <c r="Q58" s="253">
        <f t="shared" si="11"/>
        <v>1.2041199826559248</v>
      </c>
      <c r="R58" s="253">
        <f t="shared" si="12"/>
        <v>2.4623979978989561</v>
      </c>
      <c r="S58" s="253">
        <f t="shared" si="13"/>
        <v>1.8750612633917001</v>
      </c>
      <c r="U58" s="21"/>
      <c r="V58" s="21"/>
      <c r="W58" s="21"/>
      <c r="X58" s="21"/>
      <c r="Y58" s="21"/>
      <c r="Z58" s="21"/>
      <c r="AA58" s="21"/>
      <c r="AB58" s="8"/>
      <c r="AC58" s="135" t="s">
        <v>101</v>
      </c>
      <c r="AD58" s="306">
        <v>196.05028608000001</v>
      </c>
      <c r="AE58" s="210">
        <v>42238.458333333336</v>
      </c>
      <c r="AF58" s="15">
        <v>7100</v>
      </c>
      <c r="AG58" s="15">
        <v>0.22</v>
      </c>
      <c r="AH58" s="15">
        <v>12</v>
      </c>
      <c r="AI58" s="15">
        <v>11000</v>
      </c>
      <c r="AJ58" s="15">
        <v>16</v>
      </c>
      <c r="AK58" s="15">
        <v>290</v>
      </c>
      <c r="AL58" s="15">
        <v>75</v>
      </c>
    </row>
    <row r="59" spans="1:38" x14ac:dyDescent="0.25">
      <c r="A59" s="135" t="s">
        <v>101</v>
      </c>
      <c r="B59" s="3" t="s">
        <v>222</v>
      </c>
      <c r="C59" s="306">
        <v>196.87105152000001</v>
      </c>
      <c r="D59" s="250">
        <v>42243.510416666664</v>
      </c>
      <c r="E59" s="15">
        <v>3600</v>
      </c>
      <c r="F59" s="15">
        <v>3.5000000000000003E-2</v>
      </c>
      <c r="G59" s="15">
        <v>3.8</v>
      </c>
      <c r="H59" s="15">
        <v>5600</v>
      </c>
      <c r="I59" s="15">
        <v>4.2</v>
      </c>
      <c r="J59" s="15">
        <v>160</v>
      </c>
      <c r="K59" s="15">
        <v>14</v>
      </c>
      <c r="L59" s="15"/>
      <c r="M59" s="253">
        <f t="shared" si="7"/>
        <v>3.4313637641589874</v>
      </c>
      <c r="N59" s="253">
        <f t="shared" si="8"/>
        <v>-1.5086383061657274</v>
      </c>
      <c r="O59" s="253">
        <f t="shared" si="9"/>
        <v>0.57978359661681012</v>
      </c>
      <c r="P59" s="253">
        <f t="shared" si="10"/>
        <v>3.7403626894942437</v>
      </c>
      <c r="Q59" s="253">
        <f t="shared" si="11"/>
        <v>0.70757017609793638</v>
      </c>
      <c r="R59" s="253">
        <f t="shared" si="12"/>
        <v>2.1461280356782382</v>
      </c>
      <c r="S59" s="253">
        <f t="shared" si="13"/>
        <v>1.146128035678238</v>
      </c>
      <c r="U59" s="21"/>
      <c r="V59" s="21"/>
      <c r="W59" s="21"/>
      <c r="X59" s="21"/>
      <c r="Y59" s="21"/>
      <c r="Z59" s="21"/>
      <c r="AA59" s="21"/>
      <c r="AB59" s="9"/>
      <c r="AC59" s="135" t="s">
        <v>101</v>
      </c>
      <c r="AD59" s="306">
        <v>204.48324864000003</v>
      </c>
      <c r="AE59" s="210">
        <v>42238.534722222219</v>
      </c>
      <c r="AF59" s="15">
        <v>2700</v>
      </c>
      <c r="AG59" s="15">
        <v>3.1E-2</v>
      </c>
      <c r="AH59" s="15">
        <v>3.8</v>
      </c>
      <c r="AI59" s="15">
        <v>5500</v>
      </c>
      <c r="AJ59" s="15">
        <v>5.0999999999999996</v>
      </c>
      <c r="AK59" s="15">
        <v>140</v>
      </c>
      <c r="AL59" s="15">
        <v>14</v>
      </c>
    </row>
    <row r="60" spans="1:38" x14ac:dyDescent="0.25">
      <c r="A60" s="135" t="s">
        <v>101</v>
      </c>
      <c r="B60" s="3" t="s">
        <v>222</v>
      </c>
      <c r="C60" s="306">
        <v>196.87105152000001</v>
      </c>
      <c r="D60" s="250">
        <v>42257.644444444442</v>
      </c>
      <c r="E60" s="15">
        <v>2700</v>
      </c>
      <c r="F60" s="15">
        <v>2.9000000000000001E-2</v>
      </c>
      <c r="G60" s="15">
        <v>3.8</v>
      </c>
      <c r="H60" s="15">
        <v>5300</v>
      </c>
      <c r="I60" s="15">
        <v>8.8000000000000007</v>
      </c>
      <c r="J60" s="15">
        <v>170</v>
      </c>
      <c r="K60" s="15">
        <v>17</v>
      </c>
      <c r="L60" s="15"/>
      <c r="M60" s="253">
        <f t="shared" si="7"/>
        <v>3.7993405494535817</v>
      </c>
      <c r="N60" s="253">
        <f t="shared" si="8"/>
        <v>-0.50863830616572736</v>
      </c>
      <c r="O60" s="253">
        <f t="shared" si="9"/>
        <v>1.146128035678238</v>
      </c>
      <c r="P60" s="253">
        <f t="shared" si="10"/>
        <v>3.9956351945975501</v>
      </c>
      <c r="Q60" s="253">
        <f t="shared" si="11"/>
        <v>1.4313637641589874</v>
      </c>
      <c r="R60" s="253">
        <f t="shared" si="12"/>
        <v>2.4913616938342726</v>
      </c>
      <c r="S60" s="253">
        <f t="shared" si="13"/>
        <v>2.0413926851582249</v>
      </c>
      <c r="U60" s="22"/>
      <c r="V60" s="22"/>
      <c r="W60" s="22"/>
      <c r="X60" s="22"/>
      <c r="Y60" s="22"/>
      <c r="Z60" s="22"/>
      <c r="AA60" s="22"/>
      <c r="AB60" s="9"/>
      <c r="AC60" s="135" t="s">
        <v>101</v>
      </c>
      <c r="AD60" s="306">
        <v>196.05028608000001</v>
      </c>
      <c r="AE60" s="210">
        <v>42239.482638888891</v>
      </c>
      <c r="AF60" s="15">
        <v>6300</v>
      </c>
      <c r="AG60" s="15">
        <v>0.31</v>
      </c>
      <c r="AH60" s="15">
        <v>14</v>
      </c>
      <c r="AI60" s="15">
        <v>9900</v>
      </c>
      <c r="AJ60" s="15">
        <v>27</v>
      </c>
      <c r="AK60" s="15">
        <v>310</v>
      </c>
      <c r="AL60" s="15">
        <v>110</v>
      </c>
    </row>
    <row r="61" spans="1:38" x14ac:dyDescent="0.25">
      <c r="A61" s="135" t="s">
        <v>101</v>
      </c>
      <c r="B61" s="3" t="s">
        <v>222</v>
      </c>
      <c r="C61" s="306">
        <v>196.87105152000001</v>
      </c>
      <c r="D61" s="250">
        <v>42257.645833333336</v>
      </c>
      <c r="E61" s="15">
        <v>2900</v>
      </c>
      <c r="F61" s="15">
        <v>2.5000000000000001E-2</v>
      </c>
      <c r="G61" s="15">
        <v>4.5999999999999996</v>
      </c>
      <c r="H61" s="15">
        <v>4600</v>
      </c>
      <c r="I61" s="15">
        <v>4.5999999999999996</v>
      </c>
      <c r="J61" s="15">
        <v>200</v>
      </c>
      <c r="K61" s="15">
        <v>15</v>
      </c>
      <c r="L61" s="15"/>
      <c r="M61" s="253">
        <f t="shared" si="7"/>
        <v>3.3979400086720375</v>
      </c>
      <c r="N61" s="253">
        <f t="shared" si="8"/>
        <v>-1.4685210829577449</v>
      </c>
      <c r="O61" s="253">
        <f t="shared" si="9"/>
        <v>0.50514997831990605</v>
      </c>
      <c r="P61" s="253">
        <f t="shared" si="10"/>
        <v>3.6812412373755872</v>
      </c>
      <c r="Q61" s="253">
        <f t="shared" si="11"/>
        <v>0.66275783168157409</v>
      </c>
      <c r="R61" s="253">
        <f t="shared" si="12"/>
        <v>2.1461280356782382</v>
      </c>
      <c r="S61" s="253">
        <f t="shared" si="13"/>
        <v>1.1139433523068367</v>
      </c>
      <c r="U61" s="21"/>
      <c r="V61" s="21"/>
      <c r="W61" s="21"/>
      <c r="X61" s="21"/>
      <c r="Y61" s="21"/>
      <c r="Z61" s="21"/>
      <c r="AA61" s="21"/>
      <c r="AB61" s="7"/>
      <c r="AC61" s="135" t="s">
        <v>101</v>
      </c>
      <c r="AD61" s="306">
        <v>204.48324864000003</v>
      </c>
      <c r="AE61" s="210">
        <v>42239.534722222219</v>
      </c>
      <c r="AF61" s="15">
        <v>2500</v>
      </c>
      <c r="AG61" s="15">
        <v>3.4000000000000002E-2</v>
      </c>
      <c r="AH61" s="15">
        <v>3.2</v>
      </c>
      <c r="AI61" s="15">
        <v>4800</v>
      </c>
      <c r="AJ61" s="15">
        <v>4.5999999999999996</v>
      </c>
      <c r="AK61" s="15">
        <v>140</v>
      </c>
      <c r="AL61" s="15">
        <v>13</v>
      </c>
    </row>
    <row r="62" spans="1:38" x14ac:dyDescent="0.25">
      <c r="A62" s="135" t="s">
        <v>101</v>
      </c>
      <c r="B62" s="3" t="s">
        <v>222</v>
      </c>
      <c r="C62" s="306">
        <v>196.87105152000001</v>
      </c>
      <c r="D62" s="250">
        <v>42262.583333333336</v>
      </c>
      <c r="E62" s="15">
        <v>2700</v>
      </c>
      <c r="F62" s="15">
        <v>2.8000000000000001E-2</v>
      </c>
      <c r="G62" s="15">
        <v>3.4</v>
      </c>
      <c r="H62" s="15">
        <v>4700</v>
      </c>
      <c r="I62" s="15">
        <v>4.4000000000000004</v>
      </c>
      <c r="J62" s="15">
        <v>150</v>
      </c>
      <c r="K62" s="15">
        <v>13</v>
      </c>
      <c r="L62" s="15"/>
      <c r="M62" s="253">
        <f t="shared" si="7"/>
        <v>3.8573324964312685</v>
      </c>
      <c r="N62" s="253">
        <f t="shared" si="8"/>
        <v>-0.63827216398240705</v>
      </c>
      <c r="O62" s="253">
        <f t="shared" si="9"/>
        <v>1.146128035678238</v>
      </c>
      <c r="P62" s="253">
        <f t="shared" si="10"/>
        <v>4.0413926851582254</v>
      </c>
      <c r="Q62" s="253">
        <f t="shared" si="11"/>
        <v>1.3424226808222062</v>
      </c>
      <c r="R62" s="253">
        <f t="shared" si="12"/>
        <v>2.4913616938342726</v>
      </c>
      <c r="S62" s="253">
        <f t="shared" si="13"/>
        <v>1.968482948553935</v>
      </c>
      <c r="U62" s="21"/>
      <c r="V62" s="21"/>
      <c r="W62" s="21"/>
      <c r="X62" s="21"/>
      <c r="Y62" s="21"/>
      <c r="Z62" s="21"/>
      <c r="AA62" s="21"/>
      <c r="AB62" s="7"/>
      <c r="AC62" s="135" t="s">
        <v>101</v>
      </c>
      <c r="AD62" s="306">
        <v>196.05028608000001</v>
      </c>
      <c r="AE62" s="210">
        <v>42240.475694444445</v>
      </c>
      <c r="AF62" s="15">
        <v>7200</v>
      </c>
      <c r="AG62" s="15">
        <v>0.23</v>
      </c>
      <c r="AH62" s="15">
        <v>14</v>
      </c>
      <c r="AI62" s="15">
        <v>11000</v>
      </c>
      <c r="AJ62" s="15">
        <v>22</v>
      </c>
      <c r="AK62" s="15">
        <v>310</v>
      </c>
      <c r="AL62" s="15">
        <v>93</v>
      </c>
    </row>
    <row r="63" spans="1:38" x14ac:dyDescent="0.25">
      <c r="A63" s="135" t="s">
        <v>101</v>
      </c>
      <c r="B63" s="3" t="s">
        <v>222</v>
      </c>
      <c r="C63" s="306">
        <v>196.87105152000001</v>
      </c>
      <c r="D63" s="250">
        <v>42264.378472222219</v>
      </c>
      <c r="E63" s="15">
        <v>2600</v>
      </c>
      <c r="F63" s="15">
        <v>1.4999999999999999E-2</v>
      </c>
      <c r="G63" s="15">
        <v>2.4</v>
      </c>
      <c r="H63" s="15">
        <v>3900</v>
      </c>
      <c r="I63" s="15">
        <v>3.4</v>
      </c>
      <c r="J63" s="15">
        <v>140</v>
      </c>
      <c r="K63" s="15">
        <v>11</v>
      </c>
      <c r="L63" s="15"/>
      <c r="M63" s="253">
        <f t="shared" si="7"/>
        <v>3.7708520116421442</v>
      </c>
      <c r="N63" s="253">
        <f t="shared" si="8"/>
        <v>-0.82390874094431876</v>
      </c>
      <c r="O63" s="253">
        <f t="shared" si="9"/>
        <v>0.96848294855393513</v>
      </c>
      <c r="P63" s="253">
        <f t="shared" si="10"/>
        <v>3.9242792860618816</v>
      </c>
      <c r="Q63" s="253">
        <f t="shared" si="11"/>
        <v>0.93449845124356767</v>
      </c>
      <c r="R63" s="253">
        <f t="shared" si="12"/>
        <v>2.3617278360175931</v>
      </c>
      <c r="S63" s="253">
        <f t="shared" si="13"/>
        <v>1.5563025007672873</v>
      </c>
      <c r="U63" s="21"/>
      <c r="V63" s="21"/>
      <c r="W63" s="21"/>
      <c r="X63" s="21"/>
      <c r="Y63" s="21"/>
      <c r="Z63" s="21"/>
      <c r="AA63" s="21"/>
      <c r="AB63" s="7"/>
      <c r="AC63" s="135" t="s">
        <v>101</v>
      </c>
      <c r="AD63" s="306">
        <v>272.47803264000004</v>
      </c>
      <c r="AE63" s="210">
        <v>42240.487500000003</v>
      </c>
      <c r="AF63" s="15">
        <v>5900</v>
      </c>
      <c r="AG63" s="15">
        <v>0.15</v>
      </c>
      <c r="AH63" s="15">
        <v>9.3000000000000007</v>
      </c>
      <c r="AI63" s="15">
        <v>8400</v>
      </c>
      <c r="AJ63" s="15">
        <v>8.6</v>
      </c>
      <c r="AK63" s="15">
        <v>230</v>
      </c>
      <c r="AL63" s="15">
        <v>36</v>
      </c>
    </row>
    <row r="64" spans="1:38" x14ac:dyDescent="0.25">
      <c r="A64" s="135" t="s">
        <v>101</v>
      </c>
      <c r="B64" s="3" t="s">
        <v>222</v>
      </c>
      <c r="C64" s="306">
        <v>196.87105152000001</v>
      </c>
      <c r="D64" s="250">
        <v>42268.333333333336</v>
      </c>
      <c r="E64" s="15">
        <v>2700</v>
      </c>
      <c r="F64" s="15">
        <v>3.9E-2</v>
      </c>
      <c r="G64" s="15">
        <v>4.4000000000000004</v>
      </c>
      <c r="H64" s="15">
        <v>5400</v>
      </c>
      <c r="I64" s="15">
        <v>6.4</v>
      </c>
      <c r="J64" s="15">
        <v>140</v>
      </c>
      <c r="K64" s="15">
        <v>13</v>
      </c>
      <c r="L64" s="15"/>
      <c r="M64" s="253">
        <f t="shared" si="7"/>
        <v>3.3617278360175931</v>
      </c>
      <c r="N64" s="253">
        <f t="shared" si="8"/>
        <v>-1.6575773191777938</v>
      </c>
      <c r="O64" s="253">
        <f t="shared" si="9"/>
        <v>0.68124123737558717</v>
      </c>
      <c r="P64" s="253">
        <f t="shared" si="10"/>
        <v>3.7323937598229686</v>
      </c>
      <c r="Q64" s="253">
        <f t="shared" si="11"/>
        <v>0.71600334363479923</v>
      </c>
      <c r="R64" s="253">
        <f t="shared" si="12"/>
        <v>2.1139433523068369</v>
      </c>
      <c r="S64" s="253">
        <f t="shared" si="13"/>
        <v>1.1139433523068367</v>
      </c>
      <c r="U64" s="21"/>
      <c r="V64" s="21"/>
      <c r="W64" s="21"/>
      <c r="X64" s="21"/>
      <c r="Y64" s="21"/>
      <c r="Z64" s="21"/>
      <c r="AA64" s="21"/>
      <c r="AB64" s="7"/>
      <c r="AC64" s="135" t="s">
        <v>101</v>
      </c>
      <c r="AD64" s="306">
        <v>204.48324864000003</v>
      </c>
      <c r="AE64" s="210">
        <v>42240.527777777781</v>
      </c>
      <c r="AF64" s="15">
        <v>2300</v>
      </c>
      <c r="AG64" s="15">
        <v>2.1999999999999999E-2</v>
      </c>
      <c r="AH64" s="15">
        <v>4.8</v>
      </c>
      <c r="AI64" s="15">
        <v>5400</v>
      </c>
      <c r="AJ64" s="15">
        <v>5.2</v>
      </c>
      <c r="AK64" s="15">
        <v>130</v>
      </c>
      <c r="AL64" s="15">
        <v>13</v>
      </c>
    </row>
    <row r="65" spans="1:38" x14ac:dyDescent="0.25">
      <c r="A65" s="135" t="s">
        <v>101</v>
      </c>
      <c r="B65" s="3" t="s">
        <v>222</v>
      </c>
      <c r="C65" s="306">
        <v>196.87105152000001</v>
      </c>
      <c r="D65" s="250">
        <v>42271.5625</v>
      </c>
      <c r="E65" s="15">
        <v>4000</v>
      </c>
      <c r="F65" s="15">
        <v>4.2000000000000003E-2</v>
      </c>
      <c r="G65" s="15">
        <v>4.4000000000000004</v>
      </c>
      <c r="H65" s="15">
        <v>6300</v>
      </c>
      <c r="I65" s="15">
        <v>5.3</v>
      </c>
      <c r="J65" s="15">
        <v>150</v>
      </c>
      <c r="K65" s="15">
        <v>18</v>
      </c>
      <c r="L65" s="15"/>
      <c r="M65" s="253">
        <f t="shared" si="7"/>
        <v>3.8129133566428557</v>
      </c>
      <c r="N65" s="253">
        <f t="shared" si="8"/>
        <v>-1.6197887582883939</v>
      </c>
      <c r="O65" s="253">
        <f t="shared" si="9"/>
        <v>0.3010299956639812</v>
      </c>
      <c r="P65" s="253">
        <f t="shared" si="10"/>
        <v>3.9242792860618816</v>
      </c>
      <c r="Q65" s="253">
        <f t="shared" si="11"/>
        <v>0.3222192947339193</v>
      </c>
      <c r="R65" s="253">
        <f t="shared" si="12"/>
        <v>1.8388490907372552</v>
      </c>
      <c r="S65" s="253">
        <f t="shared" si="13"/>
        <v>0.93951925261861846</v>
      </c>
      <c r="U65" s="21"/>
      <c r="V65" s="21"/>
      <c r="W65" s="21"/>
      <c r="X65" s="21"/>
      <c r="Y65" s="21"/>
      <c r="Z65" s="21"/>
      <c r="AA65" s="21"/>
      <c r="AB65" s="7"/>
      <c r="AC65" s="135" t="s">
        <v>101</v>
      </c>
      <c r="AD65" s="306">
        <v>246.34228608000001</v>
      </c>
      <c r="AE65" s="210">
        <v>42240.532638888886</v>
      </c>
      <c r="AF65" s="15">
        <v>6500</v>
      </c>
      <c r="AG65" s="15">
        <v>2.4E-2</v>
      </c>
      <c r="AH65" s="15">
        <v>2</v>
      </c>
      <c r="AI65" s="15">
        <v>8400</v>
      </c>
      <c r="AJ65" s="15">
        <v>2.1</v>
      </c>
      <c r="AK65" s="15">
        <v>69</v>
      </c>
      <c r="AL65" s="15">
        <v>8.6999999999999993</v>
      </c>
    </row>
    <row r="66" spans="1:38" x14ac:dyDescent="0.25">
      <c r="A66" s="135" t="s">
        <v>101</v>
      </c>
      <c r="B66" s="3" t="s">
        <v>222</v>
      </c>
      <c r="C66" s="306">
        <v>196.87105152000001</v>
      </c>
      <c r="D66" s="250">
        <v>42277.329861111109</v>
      </c>
      <c r="E66" s="15">
        <v>2600</v>
      </c>
      <c r="F66" s="15">
        <v>3.4000000000000002E-2</v>
      </c>
      <c r="G66" s="15">
        <v>3.1</v>
      </c>
      <c r="H66" s="15">
        <v>5100</v>
      </c>
      <c r="I66" s="15">
        <v>4.4000000000000004</v>
      </c>
      <c r="J66" s="15">
        <v>130</v>
      </c>
      <c r="K66" s="15">
        <v>14</v>
      </c>
      <c r="L66" s="15"/>
      <c r="M66" s="253">
        <f t="shared" si="7"/>
        <v>3.6627578316815739</v>
      </c>
      <c r="N66" s="253">
        <f t="shared" si="8"/>
        <v>-1.5086383061657274</v>
      </c>
      <c r="O66" s="253">
        <f t="shared" si="9"/>
        <v>0.54406804435027567</v>
      </c>
      <c r="P66" s="253">
        <f t="shared" si="10"/>
        <v>3.8260748027008264</v>
      </c>
      <c r="Q66" s="253">
        <f t="shared" si="11"/>
        <v>0.63346845557958653</v>
      </c>
      <c r="R66" s="253">
        <f t="shared" si="12"/>
        <v>2.1139433523068369</v>
      </c>
      <c r="S66" s="253">
        <f t="shared" si="13"/>
        <v>1.2041199826559248</v>
      </c>
      <c r="U66" s="21"/>
      <c r="V66" s="21"/>
      <c r="W66" s="21"/>
      <c r="X66" s="21"/>
      <c r="Y66" s="21"/>
      <c r="Z66" s="21"/>
      <c r="AA66" s="21"/>
      <c r="AB66" s="7"/>
      <c r="AC66" s="135" t="s">
        <v>101</v>
      </c>
      <c r="AD66" s="306">
        <v>295.82961408</v>
      </c>
      <c r="AE66" s="210">
        <v>42240.560416666667</v>
      </c>
      <c r="AF66" s="15">
        <v>4600</v>
      </c>
      <c r="AG66" s="15">
        <v>3.1E-2</v>
      </c>
      <c r="AH66" s="15">
        <v>3.5</v>
      </c>
      <c r="AI66" s="15">
        <v>6700</v>
      </c>
      <c r="AJ66" s="15">
        <v>4.3</v>
      </c>
      <c r="AK66" s="15">
        <v>130</v>
      </c>
      <c r="AL66" s="15">
        <v>16</v>
      </c>
    </row>
    <row r="67" spans="1:38" x14ac:dyDescent="0.25">
      <c r="A67" s="135" t="s">
        <v>101</v>
      </c>
      <c r="B67" s="3" t="s">
        <v>222</v>
      </c>
      <c r="C67" s="306">
        <v>196.87105152000001</v>
      </c>
      <c r="D67" s="250">
        <v>42282.347222222219</v>
      </c>
      <c r="E67" s="15">
        <v>3200</v>
      </c>
      <c r="F67" s="15">
        <v>2.4E-2</v>
      </c>
      <c r="G67" s="15">
        <v>3.5</v>
      </c>
      <c r="H67" s="15">
        <v>4900</v>
      </c>
      <c r="I67" s="15">
        <v>3.7</v>
      </c>
      <c r="J67" s="15">
        <v>170</v>
      </c>
      <c r="K67" s="15">
        <v>14</v>
      </c>
      <c r="L67" s="15"/>
      <c r="M67" s="253">
        <f t="shared" si="7"/>
        <v>3.5185139398778875</v>
      </c>
      <c r="N67" s="253">
        <f t="shared" si="8"/>
        <v>-1.7695510786217261</v>
      </c>
      <c r="O67" s="253">
        <f t="shared" si="9"/>
        <v>0.53147891704225514</v>
      </c>
      <c r="P67" s="253">
        <f t="shared" si="10"/>
        <v>3.6989700043360187</v>
      </c>
      <c r="Q67" s="253">
        <f t="shared" si="11"/>
        <v>0.59106460702649921</v>
      </c>
      <c r="R67" s="253">
        <f t="shared" si="12"/>
        <v>2.1139433523068369</v>
      </c>
      <c r="S67" s="253">
        <f t="shared" si="13"/>
        <v>1.1760912590556813</v>
      </c>
      <c r="U67" s="21"/>
      <c r="V67" s="21"/>
      <c r="W67" s="21"/>
      <c r="X67" s="21"/>
      <c r="Y67" s="21"/>
      <c r="Z67" s="21"/>
      <c r="AA67" s="21"/>
      <c r="AB67" s="7"/>
      <c r="AC67" s="135" t="s">
        <v>101</v>
      </c>
      <c r="AD67" s="306">
        <v>227.65780224000002</v>
      </c>
      <c r="AE67" s="210">
        <v>42240.588194444441</v>
      </c>
      <c r="AF67" s="15">
        <v>3300</v>
      </c>
      <c r="AG67" s="15">
        <v>1.7000000000000001E-2</v>
      </c>
      <c r="AH67" s="15">
        <v>3.4</v>
      </c>
      <c r="AI67" s="15">
        <v>5000</v>
      </c>
      <c r="AJ67" s="15">
        <v>3.9</v>
      </c>
      <c r="AK67" s="15">
        <v>130</v>
      </c>
      <c r="AL67" s="15">
        <v>15</v>
      </c>
    </row>
    <row r="68" spans="1:38" x14ac:dyDescent="0.25">
      <c r="A68" s="135" t="s">
        <v>101</v>
      </c>
      <c r="B68" s="3" t="s">
        <v>222</v>
      </c>
      <c r="C68" s="306">
        <v>196.87105152000001</v>
      </c>
      <c r="D68" s="250">
        <v>42285.331250000003</v>
      </c>
      <c r="E68" s="15">
        <v>3600</v>
      </c>
      <c r="F68" s="15">
        <v>4.8000000000000001E-2</v>
      </c>
      <c r="G68" s="15">
        <v>3.7</v>
      </c>
      <c r="H68" s="15">
        <v>5700</v>
      </c>
      <c r="I68" s="15">
        <v>4.8</v>
      </c>
      <c r="J68" s="15">
        <v>150</v>
      </c>
      <c r="K68" s="15">
        <v>13</v>
      </c>
      <c r="L68" s="15"/>
      <c r="M68" s="253">
        <f t="shared" si="7"/>
        <v>3.4623979978989561</v>
      </c>
      <c r="N68" s="253">
        <f t="shared" si="8"/>
        <v>-1.5528419686577808</v>
      </c>
      <c r="O68" s="253">
        <f t="shared" si="9"/>
        <v>0.3010299956639812</v>
      </c>
      <c r="P68" s="253">
        <f t="shared" si="10"/>
        <v>3.7075701760979363</v>
      </c>
      <c r="Q68" s="253">
        <f t="shared" si="11"/>
        <v>0.43136376415898736</v>
      </c>
      <c r="R68" s="253">
        <f t="shared" si="12"/>
        <v>1.9867717342662448</v>
      </c>
      <c r="S68" s="253">
        <f t="shared" si="13"/>
        <v>1.0413926851582251</v>
      </c>
      <c r="U68" s="21"/>
      <c r="V68" s="21"/>
      <c r="W68" s="21"/>
      <c r="X68" s="21"/>
      <c r="Y68" s="21"/>
      <c r="Z68" s="21"/>
      <c r="AA68" s="21"/>
      <c r="AB68" s="7"/>
      <c r="AC68" s="135" t="s">
        <v>101</v>
      </c>
      <c r="AD68" s="306">
        <v>214.42899456000004</v>
      </c>
      <c r="AE68" s="210">
        <v>42240.625</v>
      </c>
      <c r="AF68" s="15">
        <v>2900</v>
      </c>
      <c r="AG68" s="15">
        <v>2.8000000000000001E-2</v>
      </c>
      <c r="AH68" s="15">
        <v>2</v>
      </c>
      <c r="AI68" s="15">
        <v>5100</v>
      </c>
      <c r="AJ68" s="15">
        <v>2.7</v>
      </c>
      <c r="AK68" s="15">
        <v>97</v>
      </c>
      <c r="AL68" s="15">
        <v>11</v>
      </c>
    </row>
    <row r="69" spans="1:38" x14ac:dyDescent="0.25">
      <c r="A69" s="135" t="s">
        <v>101</v>
      </c>
      <c r="B69" s="3" t="s">
        <v>222</v>
      </c>
      <c r="C69" s="306">
        <v>196.87105152000001</v>
      </c>
      <c r="D69" s="250">
        <v>42289.381944444445</v>
      </c>
      <c r="E69" s="15">
        <v>2200</v>
      </c>
      <c r="F69" s="15">
        <v>2.1999999999999999E-2</v>
      </c>
      <c r="G69" s="15">
        <v>2.2999999999999998</v>
      </c>
      <c r="H69" s="15">
        <v>3600</v>
      </c>
      <c r="I69" s="15">
        <v>4.8</v>
      </c>
      <c r="J69" s="15">
        <v>140</v>
      </c>
      <c r="K69" s="15">
        <v>9.6</v>
      </c>
      <c r="L69" s="15"/>
      <c r="M69" s="253">
        <f t="shared" si="7"/>
        <v>3.3617278360175931</v>
      </c>
      <c r="N69" s="253">
        <f t="shared" si="8"/>
        <v>-1.4559319556497243</v>
      </c>
      <c r="O69" s="253">
        <f t="shared" si="9"/>
        <v>0.23044892137827391</v>
      </c>
      <c r="P69" s="253">
        <f t="shared" si="10"/>
        <v>3.6020599913279625</v>
      </c>
      <c r="Q69" s="253">
        <f t="shared" si="11"/>
        <v>0.3222192947339193</v>
      </c>
      <c r="R69" s="253">
        <f t="shared" si="12"/>
        <v>1.9395192526186185</v>
      </c>
      <c r="S69" s="253">
        <f t="shared" si="13"/>
        <v>0.83884909073725533</v>
      </c>
      <c r="U69" s="21"/>
      <c r="V69" s="21"/>
      <c r="W69" s="21"/>
      <c r="X69" s="21"/>
      <c r="Y69" s="21"/>
      <c r="Z69" s="21"/>
      <c r="AA69" s="21"/>
      <c r="AB69" s="7"/>
      <c r="AC69" s="135" t="s">
        <v>101</v>
      </c>
      <c r="AD69" s="306">
        <v>196.87105152000001</v>
      </c>
      <c r="AE69" s="210">
        <v>42240.661805555559</v>
      </c>
      <c r="AF69" s="15">
        <v>2300</v>
      </c>
      <c r="AG69" s="15">
        <v>3.5000000000000003E-2</v>
      </c>
      <c r="AH69" s="15">
        <v>1.7</v>
      </c>
      <c r="AI69" s="15">
        <v>4000</v>
      </c>
      <c r="AJ69" s="15">
        <v>2.1</v>
      </c>
      <c r="AK69" s="15">
        <v>87</v>
      </c>
      <c r="AL69" s="15">
        <v>6.9</v>
      </c>
    </row>
    <row r="70" spans="1:38" x14ac:dyDescent="0.25">
      <c r="A70" s="135" t="s">
        <v>101</v>
      </c>
      <c r="B70" s="3" t="s">
        <v>222</v>
      </c>
      <c r="C70" s="306">
        <v>196.87105152000001</v>
      </c>
      <c r="D70" s="250">
        <v>42327.381944444445</v>
      </c>
      <c r="E70" s="15">
        <v>2000</v>
      </c>
      <c r="F70" s="15">
        <v>2.9000000000000001E-2</v>
      </c>
      <c r="G70" s="15">
        <v>2.1</v>
      </c>
      <c r="H70" s="15">
        <v>5000</v>
      </c>
      <c r="I70" s="15">
        <v>4.8</v>
      </c>
      <c r="J70" s="15">
        <v>150</v>
      </c>
      <c r="K70" s="15">
        <v>10</v>
      </c>
      <c r="L70" s="15"/>
      <c r="M70" s="253">
        <f t="shared" ref="M70:M101" si="14">LOG(AF70)</f>
        <v>3.7993405494535817</v>
      </c>
      <c r="N70" s="253">
        <f t="shared" ref="N70:N101" si="15">LOG(AG70)</f>
        <v>-1.1426675035687315</v>
      </c>
      <c r="O70" s="253">
        <f t="shared" ref="O70:O101" si="16">LOG(AH70)</f>
        <v>0.64345267648618742</v>
      </c>
      <c r="P70" s="253">
        <f t="shared" ref="P70:P101" si="17">LOG(AI70)</f>
        <v>3.9867717342662448</v>
      </c>
      <c r="Q70" s="253">
        <f t="shared" ref="Q70:Q101" si="18">LOG(AJ70)</f>
        <v>0.9493900066449128</v>
      </c>
      <c r="R70" s="253">
        <f t="shared" ref="R70:R101" si="19">LOG(AK70)</f>
        <v>2</v>
      </c>
      <c r="S70" s="253">
        <f t="shared" ref="S70:S101" si="20">LOG(AL70)</f>
        <v>1.568201724066995</v>
      </c>
      <c r="U70" s="21"/>
      <c r="V70" s="21"/>
      <c r="W70" s="21"/>
      <c r="X70" s="21"/>
      <c r="Y70" s="21"/>
      <c r="Z70" s="21"/>
      <c r="AA70" s="21"/>
      <c r="AC70" s="135" t="s">
        <v>101</v>
      </c>
      <c r="AD70" s="306">
        <v>196.05028608000001</v>
      </c>
      <c r="AE70" s="210">
        <v>42241.440972222219</v>
      </c>
      <c r="AF70" s="15">
        <v>6300</v>
      </c>
      <c r="AG70" s="15">
        <v>7.1999999999999995E-2</v>
      </c>
      <c r="AH70" s="15">
        <v>4.4000000000000004</v>
      </c>
      <c r="AI70" s="15">
        <v>9700</v>
      </c>
      <c r="AJ70" s="15">
        <v>8.9</v>
      </c>
      <c r="AK70" s="15">
        <v>100</v>
      </c>
      <c r="AL70" s="15">
        <v>37</v>
      </c>
    </row>
    <row r="71" spans="1:38" x14ac:dyDescent="0.25">
      <c r="A71" s="135" t="s">
        <v>101</v>
      </c>
      <c r="B71" s="3" t="s">
        <v>223</v>
      </c>
      <c r="C71" s="306">
        <v>204.48324864000003</v>
      </c>
      <c r="D71" s="250">
        <v>42227.482638888891</v>
      </c>
      <c r="E71" s="15">
        <v>2400</v>
      </c>
      <c r="F71" s="15">
        <v>2.8000000000000001E-2</v>
      </c>
      <c r="G71" s="15">
        <v>3.7</v>
      </c>
      <c r="H71" s="15">
        <v>4300</v>
      </c>
      <c r="I71" s="15">
        <v>3.4</v>
      </c>
      <c r="J71" s="15">
        <v>150</v>
      </c>
      <c r="K71" s="15">
        <v>13</v>
      </c>
      <c r="L71" s="15"/>
      <c r="M71" s="253">
        <f t="shared" si="14"/>
        <v>3.5563025007672873</v>
      </c>
      <c r="N71" s="253">
        <f t="shared" si="15"/>
        <v>-1.4436974992327127</v>
      </c>
      <c r="O71" s="253">
        <f t="shared" si="16"/>
        <v>0.66275783168157409</v>
      </c>
      <c r="P71" s="253">
        <f t="shared" si="17"/>
        <v>3.7708520116421442</v>
      </c>
      <c r="Q71" s="253">
        <f t="shared" si="18"/>
        <v>0.74818802700620035</v>
      </c>
      <c r="R71" s="253">
        <f t="shared" si="19"/>
        <v>2.2787536009528289</v>
      </c>
      <c r="S71" s="253">
        <f t="shared" si="20"/>
        <v>1.3617278360175928</v>
      </c>
      <c r="U71" s="21"/>
      <c r="V71" s="21"/>
      <c r="W71" s="21"/>
      <c r="X71" s="21"/>
      <c r="Y71" s="21"/>
      <c r="Z71" s="21"/>
      <c r="AA71" s="21"/>
      <c r="AC71" s="135" t="s">
        <v>101</v>
      </c>
      <c r="AD71" s="306">
        <v>272.47803264000004</v>
      </c>
      <c r="AE71" s="210">
        <v>42241.446527777778</v>
      </c>
      <c r="AF71" s="15">
        <v>3600</v>
      </c>
      <c r="AG71" s="15">
        <v>3.5999999999999997E-2</v>
      </c>
      <c r="AH71" s="15">
        <v>4.5999999999999996</v>
      </c>
      <c r="AI71" s="15">
        <v>5900</v>
      </c>
      <c r="AJ71" s="15">
        <v>5.6</v>
      </c>
      <c r="AK71" s="15">
        <v>190</v>
      </c>
      <c r="AL71" s="15">
        <v>23</v>
      </c>
    </row>
    <row r="72" spans="1:38" x14ac:dyDescent="0.25">
      <c r="A72" s="135" t="s">
        <v>101</v>
      </c>
      <c r="B72" s="3" t="s">
        <v>223</v>
      </c>
      <c r="C72" s="306">
        <v>204.48324864000003</v>
      </c>
      <c r="D72" s="250">
        <v>42228.555555555555</v>
      </c>
      <c r="E72" s="15">
        <v>4100</v>
      </c>
      <c r="F72" s="15">
        <v>4.7E-2</v>
      </c>
      <c r="G72" s="15">
        <v>5.6</v>
      </c>
      <c r="H72" s="15">
        <v>7100</v>
      </c>
      <c r="I72" s="15">
        <v>5.7</v>
      </c>
      <c r="J72" s="15">
        <v>180</v>
      </c>
      <c r="K72" s="15">
        <v>19</v>
      </c>
      <c r="L72" s="15"/>
      <c r="M72" s="253">
        <f t="shared" si="14"/>
        <v>3.6989700043360187</v>
      </c>
      <c r="N72" s="253">
        <f t="shared" si="15"/>
        <v>-0.88605664769316317</v>
      </c>
      <c r="O72" s="253">
        <f t="shared" si="16"/>
        <v>0.82607480270082645</v>
      </c>
      <c r="P72" s="253">
        <f t="shared" si="17"/>
        <v>3.8808135922807914</v>
      </c>
      <c r="Q72" s="253">
        <f t="shared" si="18"/>
        <v>0.83884909073725533</v>
      </c>
      <c r="R72" s="253">
        <f t="shared" si="19"/>
        <v>2.3222192947339191</v>
      </c>
      <c r="S72" s="253">
        <f t="shared" si="20"/>
        <v>1.4771212547196624</v>
      </c>
      <c r="AC72" s="135" t="s">
        <v>101</v>
      </c>
      <c r="AD72" s="306">
        <v>272.47803264000004</v>
      </c>
      <c r="AE72" s="210">
        <v>42241.446527777778</v>
      </c>
      <c r="AF72" s="15">
        <v>5000</v>
      </c>
      <c r="AG72" s="15">
        <v>0.13</v>
      </c>
      <c r="AH72" s="15">
        <v>6.7</v>
      </c>
      <c r="AI72" s="15">
        <v>7600</v>
      </c>
      <c r="AJ72" s="15">
        <v>6.9</v>
      </c>
      <c r="AK72" s="15">
        <v>210</v>
      </c>
      <c r="AL72" s="15">
        <v>30</v>
      </c>
    </row>
    <row r="73" spans="1:38" x14ac:dyDescent="0.25">
      <c r="A73" s="135" t="s">
        <v>101</v>
      </c>
      <c r="B73" s="3" t="s">
        <v>223</v>
      </c>
      <c r="C73" s="306">
        <v>204.48324864000003</v>
      </c>
      <c r="D73" s="250">
        <v>42229.548611111109</v>
      </c>
      <c r="E73" s="15">
        <v>3000</v>
      </c>
      <c r="F73" s="15">
        <v>3.4000000000000002E-2</v>
      </c>
      <c r="G73" s="15">
        <v>3.7</v>
      </c>
      <c r="H73" s="15">
        <v>6100</v>
      </c>
      <c r="I73" s="15">
        <v>6.2</v>
      </c>
      <c r="J73" s="15">
        <v>150</v>
      </c>
      <c r="K73" s="15">
        <v>14</v>
      </c>
      <c r="L73" s="15"/>
      <c r="M73" s="253">
        <f t="shared" si="14"/>
        <v>3.6020599913279625</v>
      </c>
      <c r="N73" s="253">
        <f t="shared" si="15"/>
        <v>-1.6020599913279623</v>
      </c>
      <c r="O73" s="253">
        <f t="shared" si="16"/>
        <v>0.86923171973097624</v>
      </c>
      <c r="P73" s="253">
        <f t="shared" si="17"/>
        <v>3.8195439355418688</v>
      </c>
      <c r="Q73" s="253">
        <f t="shared" si="18"/>
        <v>0.74818802700620035</v>
      </c>
      <c r="R73" s="253">
        <f t="shared" si="19"/>
        <v>2.3010299956639813</v>
      </c>
      <c r="S73" s="253">
        <f t="shared" si="20"/>
        <v>1.3424226808222062</v>
      </c>
      <c r="AC73" s="135" t="s">
        <v>101</v>
      </c>
      <c r="AD73" s="306">
        <v>246.34228608000001</v>
      </c>
      <c r="AE73" s="210">
        <v>42241.479861111111</v>
      </c>
      <c r="AF73" s="15">
        <v>4000</v>
      </c>
      <c r="AG73" s="15">
        <v>2.5000000000000001E-2</v>
      </c>
      <c r="AH73" s="15">
        <v>7.4</v>
      </c>
      <c r="AI73" s="15">
        <v>6600</v>
      </c>
      <c r="AJ73" s="15">
        <v>5.6</v>
      </c>
      <c r="AK73" s="15">
        <v>200</v>
      </c>
      <c r="AL73" s="15">
        <v>22</v>
      </c>
    </row>
    <row r="74" spans="1:38" x14ac:dyDescent="0.25">
      <c r="A74" s="135" t="s">
        <v>101</v>
      </c>
      <c r="B74" s="3" t="s">
        <v>223</v>
      </c>
      <c r="C74" s="306">
        <v>204.48324864000003</v>
      </c>
      <c r="D74" s="250">
        <v>42231.517361111109</v>
      </c>
      <c r="E74" s="15">
        <v>7000</v>
      </c>
      <c r="F74" s="15">
        <v>0.35</v>
      </c>
      <c r="G74" s="15">
        <v>4.2</v>
      </c>
      <c r="H74" s="15">
        <v>8700</v>
      </c>
      <c r="I74" s="15">
        <v>5.3</v>
      </c>
      <c r="J74" s="15">
        <v>170</v>
      </c>
      <c r="K74" s="15">
        <v>21</v>
      </c>
      <c r="L74" s="15"/>
      <c r="M74" s="253">
        <f t="shared" si="14"/>
        <v>3.4313637641589874</v>
      </c>
      <c r="N74" s="253">
        <f t="shared" si="15"/>
        <v>-1.3565473235138126</v>
      </c>
      <c r="O74" s="253">
        <f t="shared" si="16"/>
        <v>0.34242268082220628</v>
      </c>
      <c r="P74" s="253">
        <f t="shared" si="17"/>
        <v>3.716003343634799</v>
      </c>
      <c r="Q74" s="253">
        <f t="shared" si="18"/>
        <v>0.50514997831990605</v>
      </c>
      <c r="R74" s="253">
        <f t="shared" si="19"/>
        <v>1.9912260756924949</v>
      </c>
      <c r="S74" s="253">
        <f t="shared" si="20"/>
        <v>0.99122607569249488</v>
      </c>
      <c r="AC74" s="135" t="s">
        <v>101</v>
      </c>
      <c r="AD74" s="306">
        <v>204.48324864000003</v>
      </c>
      <c r="AE74" s="210">
        <v>42241.489583333336</v>
      </c>
      <c r="AF74" s="15">
        <v>2700</v>
      </c>
      <c r="AG74" s="15">
        <v>4.3999999999999997E-2</v>
      </c>
      <c r="AH74" s="15">
        <v>2.2000000000000002</v>
      </c>
      <c r="AI74" s="15">
        <v>5200</v>
      </c>
      <c r="AJ74" s="15">
        <v>3.2</v>
      </c>
      <c r="AK74" s="15">
        <v>98</v>
      </c>
      <c r="AL74" s="15">
        <v>9.8000000000000007</v>
      </c>
    </row>
    <row r="75" spans="1:38" x14ac:dyDescent="0.25">
      <c r="A75" s="135" t="s">
        <v>101</v>
      </c>
      <c r="B75" s="3" t="s">
        <v>223</v>
      </c>
      <c r="C75" s="306">
        <v>204.48324864000003</v>
      </c>
      <c r="D75" s="250">
        <v>42232.444444444445</v>
      </c>
      <c r="E75" s="15">
        <v>3400</v>
      </c>
      <c r="F75" s="15">
        <v>0.13</v>
      </c>
      <c r="G75" s="15">
        <v>3.4</v>
      </c>
      <c r="H75" s="15">
        <v>5900</v>
      </c>
      <c r="I75" s="15">
        <v>4.8</v>
      </c>
      <c r="J75" s="15">
        <v>160</v>
      </c>
      <c r="K75" s="15">
        <v>15</v>
      </c>
      <c r="L75" s="15"/>
      <c r="M75" s="253">
        <f t="shared" si="14"/>
        <v>3.6127838567197355</v>
      </c>
      <c r="N75" s="253">
        <f t="shared" si="15"/>
        <v>-1.1938200260161129</v>
      </c>
      <c r="O75" s="253">
        <f t="shared" si="16"/>
        <v>0.69897000433601886</v>
      </c>
      <c r="P75" s="253">
        <f t="shared" si="17"/>
        <v>3.8129133566428557</v>
      </c>
      <c r="Q75" s="253">
        <f t="shared" si="18"/>
        <v>0.7323937598229685</v>
      </c>
      <c r="R75" s="253">
        <f t="shared" si="19"/>
        <v>2.2787536009528289</v>
      </c>
      <c r="S75" s="253">
        <f t="shared" si="20"/>
        <v>1.3424226808222062</v>
      </c>
      <c r="AC75" s="135" t="s">
        <v>101</v>
      </c>
      <c r="AD75" s="306">
        <v>227.65780224000002</v>
      </c>
      <c r="AE75" s="210">
        <v>42241.507638888892</v>
      </c>
      <c r="AF75" s="15">
        <v>4100</v>
      </c>
      <c r="AG75" s="15">
        <v>6.4000000000000001E-2</v>
      </c>
      <c r="AH75" s="15">
        <v>5</v>
      </c>
      <c r="AI75" s="15">
        <v>6500</v>
      </c>
      <c r="AJ75" s="15">
        <v>5.4</v>
      </c>
      <c r="AK75" s="15">
        <v>190</v>
      </c>
      <c r="AL75" s="15">
        <v>22</v>
      </c>
    </row>
    <row r="76" spans="1:38" x14ac:dyDescent="0.25">
      <c r="A76" s="135" t="s">
        <v>101</v>
      </c>
      <c r="B76" s="3" t="s">
        <v>223</v>
      </c>
      <c r="C76" s="306">
        <v>204.48324864000003</v>
      </c>
      <c r="D76" s="250">
        <v>42233.420138888891</v>
      </c>
      <c r="E76" s="15">
        <v>3000</v>
      </c>
      <c r="F76" s="15">
        <v>0.11</v>
      </c>
      <c r="G76" s="15">
        <v>3.7</v>
      </c>
      <c r="H76" s="15">
        <v>6200</v>
      </c>
      <c r="I76" s="15">
        <v>6</v>
      </c>
      <c r="J76" s="15">
        <v>170</v>
      </c>
      <c r="K76" s="15">
        <v>15</v>
      </c>
      <c r="L76" s="15"/>
      <c r="M76" s="253">
        <f t="shared" si="14"/>
        <v>3.5797835966168101</v>
      </c>
      <c r="N76" s="253">
        <f t="shared" si="15"/>
        <v>-1.2218487496163564</v>
      </c>
      <c r="O76" s="253">
        <f t="shared" si="16"/>
        <v>0.64345267648618742</v>
      </c>
      <c r="P76" s="253">
        <f t="shared" si="17"/>
        <v>3.7853298350107671</v>
      </c>
      <c r="Q76" s="253">
        <f t="shared" si="18"/>
        <v>0.75587485567249146</v>
      </c>
      <c r="R76" s="253">
        <f t="shared" si="19"/>
        <v>2.3424226808222062</v>
      </c>
      <c r="S76" s="253">
        <f t="shared" si="20"/>
        <v>1.3979400086720377</v>
      </c>
      <c r="AC76" s="135" t="s">
        <v>101</v>
      </c>
      <c r="AD76" s="306">
        <v>295.82961408</v>
      </c>
      <c r="AE76" s="210">
        <v>42241.522916666669</v>
      </c>
      <c r="AF76" s="15">
        <v>3800</v>
      </c>
      <c r="AG76" s="15">
        <v>0.06</v>
      </c>
      <c r="AH76" s="15">
        <v>4.4000000000000004</v>
      </c>
      <c r="AI76" s="15">
        <v>6100</v>
      </c>
      <c r="AJ76" s="15">
        <v>5.7</v>
      </c>
      <c r="AK76" s="15">
        <v>220</v>
      </c>
      <c r="AL76" s="15">
        <v>25</v>
      </c>
    </row>
    <row r="77" spans="1:38" x14ac:dyDescent="0.25">
      <c r="A77" s="135" t="s">
        <v>101</v>
      </c>
      <c r="B77" s="3" t="s">
        <v>223</v>
      </c>
      <c r="C77" s="306">
        <v>204.48324864000003</v>
      </c>
      <c r="D77" s="250">
        <v>42234.59375</v>
      </c>
      <c r="E77" s="15">
        <v>2800</v>
      </c>
      <c r="F77" s="15">
        <v>3.2000000000000001E-2</v>
      </c>
      <c r="G77" s="15">
        <v>3</v>
      </c>
      <c r="H77" s="15">
        <v>6900</v>
      </c>
      <c r="I77" s="15">
        <v>4.5</v>
      </c>
      <c r="J77" s="15">
        <v>160</v>
      </c>
      <c r="K77" s="15">
        <v>13</v>
      </c>
      <c r="L77" s="15"/>
      <c r="M77" s="253">
        <f t="shared" si="14"/>
        <v>3.4313637641589874</v>
      </c>
      <c r="N77" s="253">
        <f t="shared" si="15"/>
        <v>-1.2518119729937995</v>
      </c>
      <c r="O77" s="253">
        <f t="shared" si="16"/>
        <v>0.53147891704225514</v>
      </c>
      <c r="P77" s="253">
        <f t="shared" si="17"/>
        <v>3.6020599913279625</v>
      </c>
      <c r="Q77" s="253">
        <f t="shared" si="18"/>
        <v>0.72427586960078905</v>
      </c>
      <c r="R77" s="253">
        <f t="shared" si="19"/>
        <v>2.3424226808222062</v>
      </c>
      <c r="S77" s="253">
        <f t="shared" si="20"/>
        <v>1.3222192947339193</v>
      </c>
      <c r="AC77" s="135" t="s">
        <v>101</v>
      </c>
      <c r="AD77" s="306">
        <v>214.42899456000004</v>
      </c>
      <c r="AE77" s="210">
        <v>42241.537499999999</v>
      </c>
      <c r="AF77" s="15">
        <v>2700</v>
      </c>
      <c r="AG77" s="15">
        <v>5.6000000000000001E-2</v>
      </c>
      <c r="AH77" s="15">
        <v>3.4</v>
      </c>
      <c r="AI77" s="15">
        <v>4000</v>
      </c>
      <c r="AJ77" s="15">
        <v>5.3</v>
      </c>
      <c r="AK77" s="15">
        <v>220</v>
      </c>
      <c r="AL77" s="15">
        <v>21</v>
      </c>
    </row>
    <row r="78" spans="1:38" x14ac:dyDescent="0.25">
      <c r="A78" s="135" t="s">
        <v>101</v>
      </c>
      <c r="B78" s="3" t="s">
        <v>223</v>
      </c>
      <c r="C78" s="306">
        <v>204.48324864000003</v>
      </c>
      <c r="D78" s="250">
        <v>42235.597222222219</v>
      </c>
      <c r="E78" s="15">
        <v>3200</v>
      </c>
      <c r="F78" s="15">
        <v>4.3999999999999997E-2</v>
      </c>
      <c r="G78" s="15">
        <v>4.5</v>
      </c>
      <c r="H78" s="15">
        <v>6100</v>
      </c>
      <c r="I78" s="15">
        <v>5.9</v>
      </c>
      <c r="J78" s="15">
        <v>160</v>
      </c>
      <c r="K78" s="15">
        <v>14</v>
      </c>
      <c r="L78" s="15"/>
      <c r="M78" s="253">
        <f t="shared" si="14"/>
        <v>3.4313637641589874</v>
      </c>
      <c r="N78" s="253">
        <f t="shared" si="15"/>
        <v>-1.6382721639824072</v>
      </c>
      <c r="O78" s="253">
        <f t="shared" si="16"/>
        <v>0.49136169383427269</v>
      </c>
      <c r="P78" s="253">
        <f t="shared" si="17"/>
        <v>3.6532125137753435</v>
      </c>
      <c r="Q78" s="253">
        <f t="shared" si="18"/>
        <v>0.57978359661681012</v>
      </c>
      <c r="R78" s="253">
        <f t="shared" si="19"/>
        <v>2.1461280356782382</v>
      </c>
      <c r="S78" s="253">
        <f t="shared" si="20"/>
        <v>1.0791812460476249</v>
      </c>
      <c r="AC78" s="135" t="s">
        <v>101</v>
      </c>
      <c r="AD78" s="306">
        <v>196.87105152000001</v>
      </c>
      <c r="AE78" s="210">
        <v>42241.569444444445</v>
      </c>
      <c r="AF78" s="15">
        <v>2700</v>
      </c>
      <c r="AG78" s="15">
        <v>2.3E-2</v>
      </c>
      <c r="AH78" s="15">
        <v>3.1</v>
      </c>
      <c r="AI78" s="15">
        <v>4500</v>
      </c>
      <c r="AJ78" s="15">
        <v>3.8</v>
      </c>
      <c r="AK78" s="15">
        <v>140</v>
      </c>
      <c r="AL78" s="15">
        <v>12</v>
      </c>
    </row>
    <row r="79" spans="1:38" x14ac:dyDescent="0.25">
      <c r="A79" s="135" t="s">
        <v>101</v>
      </c>
      <c r="B79" s="3" t="s">
        <v>223</v>
      </c>
      <c r="C79" s="306">
        <v>204.48324864000003</v>
      </c>
      <c r="D79" s="250">
        <v>42236.510416666664</v>
      </c>
      <c r="E79" s="15">
        <v>3800</v>
      </c>
      <c r="F79" s="15">
        <v>3.5999999999999997E-2</v>
      </c>
      <c r="G79" s="15">
        <v>4</v>
      </c>
      <c r="H79" s="15">
        <v>5400</v>
      </c>
      <c r="I79" s="15">
        <v>4.4000000000000004</v>
      </c>
      <c r="J79" s="15">
        <v>170</v>
      </c>
      <c r="K79" s="15">
        <v>18</v>
      </c>
      <c r="L79" s="15"/>
      <c r="M79" s="253">
        <f t="shared" si="14"/>
        <v>3.7993405494535817</v>
      </c>
      <c r="N79" s="253">
        <f t="shared" si="15"/>
        <v>-0.55284196865778079</v>
      </c>
      <c r="O79" s="253">
        <f t="shared" si="16"/>
        <v>1.1760912590556813</v>
      </c>
      <c r="P79" s="253">
        <f t="shared" si="17"/>
        <v>3.9956351945975501</v>
      </c>
      <c r="Q79" s="253">
        <f t="shared" si="18"/>
        <v>1.4623979978989561</v>
      </c>
      <c r="R79" s="253">
        <f t="shared" si="19"/>
        <v>2.568201724066995</v>
      </c>
      <c r="S79" s="253">
        <f t="shared" si="20"/>
        <v>2.0791812460476247</v>
      </c>
      <c r="AC79" s="135" t="s">
        <v>101</v>
      </c>
      <c r="AD79" s="306">
        <v>196.05028608000001</v>
      </c>
      <c r="AE79" s="210">
        <v>42242</v>
      </c>
      <c r="AF79" s="15">
        <v>6300</v>
      </c>
      <c r="AG79" s="15">
        <v>0.28000000000000003</v>
      </c>
      <c r="AH79" s="15">
        <v>15</v>
      </c>
      <c r="AI79" s="15">
        <v>9900</v>
      </c>
      <c r="AJ79" s="15">
        <v>29</v>
      </c>
      <c r="AK79" s="15">
        <v>370</v>
      </c>
      <c r="AL79" s="15">
        <v>120</v>
      </c>
    </row>
    <row r="80" spans="1:38" x14ac:dyDescent="0.25">
      <c r="A80" s="135" t="s">
        <v>101</v>
      </c>
      <c r="B80" s="3" t="s">
        <v>223</v>
      </c>
      <c r="C80" s="306">
        <v>204.48324864000003</v>
      </c>
      <c r="D80" s="250">
        <v>42237.552083333336</v>
      </c>
      <c r="E80" s="15">
        <v>3000</v>
      </c>
      <c r="F80" s="15">
        <v>2.1000000000000001E-2</v>
      </c>
      <c r="G80" s="15">
        <v>3.4</v>
      </c>
      <c r="H80" s="15">
        <v>4700</v>
      </c>
      <c r="I80" s="15">
        <v>3.8</v>
      </c>
      <c r="J80" s="15">
        <v>150</v>
      </c>
      <c r="K80" s="15">
        <v>13</v>
      </c>
      <c r="L80" s="15"/>
      <c r="M80" s="253">
        <f t="shared" si="14"/>
        <v>3.3802112417116059</v>
      </c>
      <c r="N80" s="253">
        <f t="shared" si="15"/>
        <v>-1.7958800173440752</v>
      </c>
      <c r="O80" s="253">
        <f t="shared" si="16"/>
        <v>0.27875360095282892</v>
      </c>
      <c r="P80" s="253">
        <f t="shared" si="17"/>
        <v>3.6989700043360187</v>
      </c>
      <c r="Q80" s="253">
        <f t="shared" si="18"/>
        <v>0.46239799789895608</v>
      </c>
      <c r="R80" s="253">
        <f t="shared" si="19"/>
        <v>1.919078092376074</v>
      </c>
      <c r="S80" s="253">
        <f t="shared" si="20"/>
        <v>0.88081359228079137</v>
      </c>
      <c r="AC80" s="135" t="s">
        <v>101</v>
      </c>
      <c r="AD80" s="306">
        <v>196.87105152000001</v>
      </c>
      <c r="AE80" s="210">
        <v>42242</v>
      </c>
      <c r="AF80" s="15">
        <v>2400</v>
      </c>
      <c r="AG80" s="15">
        <v>1.6E-2</v>
      </c>
      <c r="AH80" s="15">
        <v>1.9</v>
      </c>
      <c r="AI80" s="15">
        <v>5000</v>
      </c>
      <c r="AJ80" s="15">
        <v>2.9</v>
      </c>
      <c r="AK80" s="15">
        <v>83</v>
      </c>
      <c r="AL80" s="15">
        <v>7.6</v>
      </c>
    </row>
    <row r="81" spans="1:38" x14ac:dyDescent="0.25">
      <c r="A81" s="135" t="s">
        <v>101</v>
      </c>
      <c r="B81" s="3" t="s">
        <v>223</v>
      </c>
      <c r="C81" s="306">
        <v>204.48324864000003</v>
      </c>
      <c r="D81" s="250">
        <v>42238.534722222219</v>
      </c>
      <c r="E81" s="15">
        <v>2700</v>
      </c>
      <c r="F81" s="15">
        <v>3.1E-2</v>
      </c>
      <c r="G81" s="15">
        <v>3.8</v>
      </c>
      <c r="H81" s="15">
        <v>5500</v>
      </c>
      <c r="I81" s="15">
        <v>5.0999999999999996</v>
      </c>
      <c r="J81" s="15">
        <v>140</v>
      </c>
      <c r="K81" s="15">
        <v>14</v>
      </c>
      <c r="L81" s="15"/>
      <c r="M81" s="253">
        <f t="shared" si="14"/>
        <v>3.4149733479708178</v>
      </c>
      <c r="N81" s="253">
        <f t="shared" si="15"/>
        <v>-1.4814860601221125</v>
      </c>
      <c r="O81" s="253">
        <f t="shared" si="16"/>
        <v>0.54406804435027567</v>
      </c>
      <c r="P81" s="253">
        <f t="shared" si="17"/>
        <v>3.6989700043360187</v>
      </c>
      <c r="Q81" s="253">
        <f t="shared" si="18"/>
        <v>0.69019608002851374</v>
      </c>
      <c r="R81" s="253">
        <f t="shared" si="19"/>
        <v>2.2041199826559246</v>
      </c>
      <c r="S81" s="253">
        <f t="shared" si="20"/>
        <v>1.146128035678238</v>
      </c>
      <c r="AC81" s="135" t="s">
        <v>101</v>
      </c>
      <c r="AD81" s="306">
        <v>204.48324864000003</v>
      </c>
      <c r="AE81" s="210">
        <v>42242</v>
      </c>
      <c r="AF81" s="15">
        <v>2600</v>
      </c>
      <c r="AG81" s="15">
        <v>3.3000000000000002E-2</v>
      </c>
      <c r="AH81" s="15">
        <v>3.5</v>
      </c>
      <c r="AI81" s="15">
        <v>5000</v>
      </c>
      <c r="AJ81" s="15">
        <v>4.9000000000000004</v>
      </c>
      <c r="AK81" s="15">
        <v>160</v>
      </c>
      <c r="AL81" s="15">
        <v>14</v>
      </c>
    </row>
    <row r="82" spans="1:38" x14ac:dyDescent="0.25">
      <c r="A82" s="135" t="s">
        <v>101</v>
      </c>
      <c r="B82" s="3" t="s">
        <v>223</v>
      </c>
      <c r="C82" s="306">
        <v>204.48324864000003</v>
      </c>
      <c r="D82" s="250">
        <v>42239.534722222219</v>
      </c>
      <c r="E82" s="15">
        <v>2500</v>
      </c>
      <c r="F82" s="15">
        <v>3.4000000000000002E-2</v>
      </c>
      <c r="G82" s="15">
        <v>3.2</v>
      </c>
      <c r="H82" s="15">
        <v>4800</v>
      </c>
      <c r="I82" s="15">
        <v>4.5999999999999996</v>
      </c>
      <c r="J82" s="15">
        <v>140</v>
      </c>
      <c r="K82" s="15">
        <v>13</v>
      </c>
      <c r="L82" s="15"/>
      <c r="M82" s="253">
        <f t="shared" si="14"/>
        <v>3.4771212547196626</v>
      </c>
      <c r="N82" s="253">
        <f t="shared" si="15"/>
        <v>-1.3467874862246563</v>
      </c>
      <c r="O82" s="253">
        <f t="shared" si="16"/>
        <v>0.43136376415898736</v>
      </c>
      <c r="P82" s="253">
        <f t="shared" si="17"/>
        <v>3.6901960800285138</v>
      </c>
      <c r="Q82" s="253">
        <f t="shared" si="18"/>
        <v>0.55630250076728727</v>
      </c>
      <c r="R82" s="253">
        <f t="shared" si="19"/>
        <v>2.1760912590556813</v>
      </c>
      <c r="S82" s="253">
        <f t="shared" si="20"/>
        <v>1.2041199826559248</v>
      </c>
      <c r="AC82" s="135" t="s">
        <v>101</v>
      </c>
      <c r="AD82" s="306">
        <v>214.42899456000004</v>
      </c>
      <c r="AE82" s="210">
        <v>42242</v>
      </c>
      <c r="AF82" s="15">
        <v>3000</v>
      </c>
      <c r="AG82" s="15">
        <v>4.4999999999999998E-2</v>
      </c>
      <c r="AH82" s="15">
        <v>2.7</v>
      </c>
      <c r="AI82" s="15">
        <v>4900</v>
      </c>
      <c r="AJ82" s="15">
        <v>3.6</v>
      </c>
      <c r="AK82" s="15">
        <v>150</v>
      </c>
      <c r="AL82" s="15">
        <v>16</v>
      </c>
    </row>
    <row r="83" spans="1:38" x14ac:dyDescent="0.25">
      <c r="A83" s="135" t="s">
        <v>101</v>
      </c>
      <c r="B83" s="3" t="s">
        <v>223</v>
      </c>
      <c r="C83" s="306">
        <v>204.48324864000003</v>
      </c>
      <c r="D83" s="250">
        <v>42240.527777777781</v>
      </c>
      <c r="E83" s="15">
        <v>2300</v>
      </c>
      <c r="F83" s="15">
        <v>2.1999999999999999E-2</v>
      </c>
      <c r="G83" s="15">
        <v>4.8</v>
      </c>
      <c r="H83" s="15">
        <v>5400</v>
      </c>
      <c r="I83" s="15">
        <v>5.2</v>
      </c>
      <c r="J83" s="15">
        <v>130</v>
      </c>
      <c r="K83" s="15">
        <v>13</v>
      </c>
      <c r="L83" s="15"/>
      <c r="M83" s="253">
        <f t="shared" si="14"/>
        <v>3.6127838567197355</v>
      </c>
      <c r="N83" s="253">
        <f t="shared" si="15"/>
        <v>-1.431798275933005</v>
      </c>
      <c r="O83" s="253">
        <f t="shared" si="16"/>
        <v>0.56820172406699498</v>
      </c>
      <c r="P83" s="253">
        <f t="shared" si="17"/>
        <v>3.7993405494535817</v>
      </c>
      <c r="Q83" s="253">
        <f t="shared" si="18"/>
        <v>0.65321251377534373</v>
      </c>
      <c r="R83" s="253">
        <f t="shared" si="19"/>
        <v>2.1139433523068369</v>
      </c>
      <c r="S83" s="253">
        <f t="shared" si="20"/>
        <v>1.1760912590556813</v>
      </c>
      <c r="AC83" s="135" t="s">
        <v>101</v>
      </c>
      <c r="AD83" s="306">
        <v>227.65780224000002</v>
      </c>
      <c r="AE83" s="210">
        <v>42242</v>
      </c>
      <c r="AF83" s="15">
        <v>4100</v>
      </c>
      <c r="AG83" s="15">
        <v>3.6999999999999998E-2</v>
      </c>
      <c r="AH83" s="15">
        <v>3.7</v>
      </c>
      <c r="AI83" s="15">
        <v>6300</v>
      </c>
      <c r="AJ83" s="15">
        <v>4.5</v>
      </c>
      <c r="AK83" s="15">
        <v>130</v>
      </c>
      <c r="AL83" s="15">
        <v>15</v>
      </c>
    </row>
    <row r="84" spans="1:38" x14ac:dyDescent="0.25">
      <c r="A84" s="135" t="s">
        <v>101</v>
      </c>
      <c r="B84" s="3" t="s">
        <v>223</v>
      </c>
      <c r="C84" s="306">
        <v>204.48324864000003</v>
      </c>
      <c r="D84" s="250">
        <v>42241.489583333336</v>
      </c>
      <c r="E84" s="15">
        <v>2700</v>
      </c>
      <c r="F84" s="15">
        <v>4.3999999999999997E-2</v>
      </c>
      <c r="G84" s="15">
        <v>2.2000000000000002</v>
      </c>
      <c r="H84" s="15">
        <v>5200</v>
      </c>
      <c r="I84" s="15">
        <v>3.2</v>
      </c>
      <c r="J84" s="15">
        <v>98</v>
      </c>
      <c r="K84" s="15">
        <v>9.8000000000000007</v>
      </c>
      <c r="L84" s="15"/>
      <c r="M84" s="253">
        <f t="shared" si="14"/>
        <v>3.4913616938342726</v>
      </c>
      <c r="N84" s="253">
        <f t="shared" si="15"/>
        <v>-1.3372421683184259</v>
      </c>
      <c r="O84" s="253">
        <f t="shared" si="16"/>
        <v>0.55630250076728727</v>
      </c>
      <c r="P84" s="253">
        <f t="shared" si="17"/>
        <v>3.7323937598229686</v>
      </c>
      <c r="Q84" s="253">
        <f t="shared" si="18"/>
        <v>0.66275783168157409</v>
      </c>
      <c r="R84" s="253">
        <f t="shared" si="19"/>
        <v>2.2041199826559246</v>
      </c>
      <c r="S84" s="253">
        <f t="shared" si="20"/>
        <v>1.2041199826559248</v>
      </c>
      <c r="AC84" s="135" t="s">
        <v>101</v>
      </c>
      <c r="AD84" s="306">
        <v>246.34228608000001</v>
      </c>
      <c r="AE84" s="210">
        <v>42242</v>
      </c>
      <c r="AF84" s="15">
        <v>3100</v>
      </c>
      <c r="AG84" s="15">
        <v>4.5999999999999999E-2</v>
      </c>
      <c r="AH84" s="15">
        <v>3.6</v>
      </c>
      <c r="AI84" s="15">
        <v>5400</v>
      </c>
      <c r="AJ84" s="15">
        <v>4.5999999999999996</v>
      </c>
      <c r="AK84" s="15">
        <v>160</v>
      </c>
      <c r="AL84" s="15">
        <v>16</v>
      </c>
    </row>
    <row r="85" spans="1:38" x14ac:dyDescent="0.25">
      <c r="A85" s="135" t="s">
        <v>101</v>
      </c>
      <c r="B85" s="3" t="s">
        <v>223</v>
      </c>
      <c r="C85" s="306">
        <v>204.48324864000003</v>
      </c>
      <c r="D85" s="250">
        <v>42242</v>
      </c>
      <c r="E85" s="15">
        <v>2600</v>
      </c>
      <c r="F85" s="15">
        <v>3.3000000000000002E-2</v>
      </c>
      <c r="G85" s="15">
        <v>3.5</v>
      </c>
      <c r="H85" s="15">
        <v>5000</v>
      </c>
      <c r="I85" s="15">
        <v>4.9000000000000004</v>
      </c>
      <c r="J85" s="15">
        <v>160</v>
      </c>
      <c r="K85" s="15">
        <v>14</v>
      </c>
      <c r="L85" s="15"/>
      <c r="M85" s="253">
        <f t="shared" si="14"/>
        <v>3.5797835966168101</v>
      </c>
      <c r="N85" s="253">
        <f t="shared" si="15"/>
        <v>-1.1249387366082999</v>
      </c>
      <c r="O85" s="253">
        <f t="shared" si="16"/>
        <v>0.62324929039790045</v>
      </c>
      <c r="P85" s="253">
        <f t="shared" si="17"/>
        <v>3.7781512503836434</v>
      </c>
      <c r="Q85" s="253">
        <f t="shared" si="18"/>
        <v>0.77815125038364363</v>
      </c>
      <c r="R85" s="253">
        <f t="shared" si="19"/>
        <v>2.2304489213782741</v>
      </c>
      <c r="S85" s="253">
        <f t="shared" si="20"/>
        <v>1.3424226808222062</v>
      </c>
      <c r="AC85" s="135" t="s">
        <v>101</v>
      </c>
      <c r="AD85" s="306">
        <v>295.82961408</v>
      </c>
      <c r="AE85" s="210">
        <v>42242</v>
      </c>
      <c r="AF85" s="15">
        <v>3800</v>
      </c>
      <c r="AG85" s="15">
        <v>7.4999999999999997E-2</v>
      </c>
      <c r="AH85" s="15">
        <v>4.2</v>
      </c>
      <c r="AI85" s="15">
        <v>6000</v>
      </c>
      <c r="AJ85" s="15">
        <v>6</v>
      </c>
      <c r="AK85" s="15">
        <v>170</v>
      </c>
      <c r="AL85" s="15">
        <v>22</v>
      </c>
    </row>
    <row r="86" spans="1:38" x14ac:dyDescent="0.25">
      <c r="A86" s="135" t="s">
        <v>101</v>
      </c>
      <c r="B86" s="3" t="s">
        <v>223</v>
      </c>
      <c r="C86" s="306">
        <v>204.48324864000003</v>
      </c>
      <c r="D86" s="250">
        <v>42243.559027777781</v>
      </c>
      <c r="E86" s="15">
        <v>4200</v>
      </c>
      <c r="F86" s="15">
        <v>0.05</v>
      </c>
      <c r="G86" s="15">
        <v>4.0999999999999996</v>
      </c>
      <c r="H86" s="15">
        <v>4900</v>
      </c>
      <c r="I86" s="15">
        <v>5.8</v>
      </c>
      <c r="J86" s="15">
        <v>210</v>
      </c>
      <c r="K86" s="15">
        <v>20</v>
      </c>
      <c r="L86" s="15"/>
      <c r="M86" s="253">
        <f t="shared" si="14"/>
        <v>3.6434526764861874</v>
      </c>
      <c r="N86" s="253">
        <f t="shared" si="15"/>
        <v>-1.2596373105057561</v>
      </c>
      <c r="O86" s="253">
        <f t="shared" si="16"/>
        <v>0.74818802700620035</v>
      </c>
      <c r="P86" s="253">
        <f t="shared" si="17"/>
        <v>3.8325089127062362</v>
      </c>
      <c r="Q86" s="253">
        <f t="shared" si="18"/>
        <v>0.79239168949825389</v>
      </c>
      <c r="R86" s="253">
        <f t="shared" si="19"/>
        <v>2.3010299956639813</v>
      </c>
      <c r="S86" s="253">
        <f t="shared" si="20"/>
        <v>1.3424226808222062</v>
      </c>
      <c r="AC86" s="135" t="s">
        <v>101</v>
      </c>
      <c r="AD86" s="306">
        <v>227.65780224000002</v>
      </c>
      <c r="AE86" s="210">
        <v>42243.444444444445</v>
      </c>
      <c r="AF86" s="15">
        <v>4400</v>
      </c>
      <c r="AG86" s="15">
        <v>5.5E-2</v>
      </c>
      <c r="AH86" s="15">
        <v>5.6</v>
      </c>
      <c r="AI86" s="15">
        <v>6800</v>
      </c>
      <c r="AJ86" s="15">
        <v>6.2</v>
      </c>
      <c r="AK86" s="15">
        <v>200</v>
      </c>
      <c r="AL86" s="15">
        <v>22</v>
      </c>
    </row>
    <row r="87" spans="1:38" x14ac:dyDescent="0.25">
      <c r="A87" s="135" t="s">
        <v>101</v>
      </c>
      <c r="B87" s="3" t="s">
        <v>223</v>
      </c>
      <c r="C87" s="306">
        <v>204.48324864000003</v>
      </c>
      <c r="D87" s="250">
        <v>42244.489583333336</v>
      </c>
      <c r="E87" s="15">
        <v>4500</v>
      </c>
      <c r="F87" s="15">
        <v>3.5999999999999997E-2</v>
      </c>
      <c r="G87" s="15">
        <v>5</v>
      </c>
      <c r="H87" s="15">
        <v>7300</v>
      </c>
      <c r="I87" s="15">
        <v>5.0999999999999996</v>
      </c>
      <c r="J87" s="15">
        <v>210</v>
      </c>
      <c r="K87" s="15">
        <v>20</v>
      </c>
      <c r="L87" s="15"/>
      <c r="M87" s="253">
        <f t="shared" si="14"/>
        <v>3.6020599913279625</v>
      </c>
      <c r="N87" s="253">
        <f t="shared" si="15"/>
        <v>-1.2218487496163564</v>
      </c>
      <c r="O87" s="253">
        <f t="shared" si="16"/>
        <v>0.90848501887864974</v>
      </c>
      <c r="P87" s="253">
        <f t="shared" si="17"/>
        <v>3.7853298350107671</v>
      </c>
      <c r="Q87" s="253">
        <f t="shared" si="18"/>
        <v>0.91381385238371671</v>
      </c>
      <c r="R87" s="253">
        <f t="shared" si="19"/>
        <v>2.4313637641589874</v>
      </c>
      <c r="S87" s="253">
        <f t="shared" si="20"/>
        <v>1.5185139398778875</v>
      </c>
      <c r="AC87" s="135" t="s">
        <v>101</v>
      </c>
      <c r="AD87" s="306">
        <v>196.05028608000001</v>
      </c>
      <c r="AE87" s="210">
        <v>42243.475694444445</v>
      </c>
      <c r="AF87" s="15">
        <v>4000</v>
      </c>
      <c r="AG87" s="15">
        <v>0.06</v>
      </c>
      <c r="AH87" s="15">
        <v>8.1</v>
      </c>
      <c r="AI87" s="15">
        <v>6100</v>
      </c>
      <c r="AJ87" s="15">
        <v>8.1999999999999993</v>
      </c>
      <c r="AK87" s="15">
        <v>270</v>
      </c>
      <c r="AL87" s="15">
        <v>33</v>
      </c>
    </row>
    <row r="88" spans="1:38" x14ac:dyDescent="0.25">
      <c r="A88" s="135" t="s">
        <v>101</v>
      </c>
      <c r="B88" s="3" t="s">
        <v>223</v>
      </c>
      <c r="C88" s="306">
        <v>204.48324864000003</v>
      </c>
      <c r="D88" s="250">
        <v>42245.489583333336</v>
      </c>
      <c r="E88" s="15">
        <v>5000</v>
      </c>
      <c r="F88" s="15">
        <v>5.0999999999999997E-2</v>
      </c>
      <c r="G88" s="15">
        <v>6.5</v>
      </c>
      <c r="H88" s="15">
        <v>8000</v>
      </c>
      <c r="I88" s="15">
        <v>5.7</v>
      </c>
      <c r="J88" s="15">
        <v>250</v>
      </c>
      <c r="K88" s="15">
        <v>23</v>
      </c>
      <c r="L88" s="15"/>
      <c r="M88" s="253">
        <f t="shared" si="14"/>
        <v>3.5563025007672873</v>
      </c>
      <c r="N88" s="253">
        <f t="shared" si="15"/>
        <v>-1.4559319556497243</v>
      </c>
      <c r="O88" s="253">
        <f t="shared" si="16"/>
        <v>0.57978359661681012</v>
      </c>
      <c r="P88" s="253">
        <f t="shared" si="17"/>
        <v>3.7481880270062002</v>
      </c>
      <c r="Q88" s="253">
        <f t="shared" si="18"/>
        <v>0.62324929039790045</v>
      </c>
      <c r="R88" s="253">
        <f t="shared" si="19"/>
        <v>2.2041199826559246</v>
      </c>
      <c r="S88" s="253">
        <f t="shared" si="20"/>
        <v>1.146128035678238</v>
      </c>
      <c r="AC88" s="135" t="s">
        <v>101</v>
      </c>
      <c r="AD88" s="306">
        <v>196.87105152000001</v>
      </c>
      <c r="AE88" s="210">
        <v>42243.510416666664</v>
      </c>
      <c r="AF88" s="15">
        <v>3600</v>
      </c>
      <c r="AG88" s="15">
        <v>3.5000000000000003E-2</v>
      </c>
      <c r="AH88" s="15">
        <v>3.8</v>
      </c>
      <c r="AI88" s="15">
        <v>5600</v>
      </c>
      <c r="AJ88" s="15">
        <v>4.2</v>
      </c>
      <c r="AK88" s="15">
        <v>160</v>
      </c>
      <c r="AL88" s="15">
        <v>14</v>
      </c>
    </row>
    <row r="89" spans="1:38" x14ac:dyDescent="0.25">
      <c r="A89" s="135" t="s">
        <v>101</v>
      </c>
      <c r="B89" s="3" t="s">
        <v>223</v>
      </c>
      <c r="C89" s="306">
        <v>204.48324864000003</v>
      </c>
      <c r="D89" s="250">
        <v>42246.503472222219</v>
      </c>
      <c r="E89" s="15">
        <v>3100</v>
      </c>
      <c r="F89" s="15">
        <v>0.03</v>
      </c>
      <c r="G89" s="15">
        <v>2.9</v>
      </c>
      <c r="H89" s="15">
        <v>6200</v>
      </c>
      <c r="I89" s="15">
        <v>3.5</v>
      </c>
      <c r="J89" s="15">
        <v>150</v>
      </c>
      <c r="K89" s="15">
        <v>12</v>
      </c>
      <c r="L89" s="15"/>
      <c r="M89" s="253">
        <f t="shared" si="14"/>
        <v>3.7708520116421442</v>
      </c>
      <c r="N89" s="253">
        <f t="shared" si="15"/>
        <v>-1.3010299956639813</v>
      </c>
      <c r="O89" s="253">
        <f t="shared" si="16"/>
        <v>0.77085201164214423</v>
      </c>
      <c r="P89" s="253">
        <f t="shared" si="17"/>
        <v>3.9242792860618816</v>
      </c>
      <c r="Q89" s="253">
        <f t="shared" si="18"/>
        <v>0.70757017609793638</v>
      </c>
      <c r="R89" s="253">
        <f t="shared" si="19"/>
        <v>2.255272505103306</v>
      </c>
      <c r="S89" s="253">
        <f t="shared" si="20"/>
        <v>1.3222192947339193</v>
      </c>
      <c r="AC89" s="135" t="s">
        <v>101</v>
      </c>
      <c r="AD89" s="306">
        <v>295.82961408</v>
      </c>
      <c r="AE89" s="210">
        <v>42243.519444444442</v>
      </c>
      <c r="AF89" s="15">
        <v>5900</v>
      </c>
      <c r="AG89" s="15">
        <v>0.05</v>
      </c>
      <c r="AH89" s="15">
        <v>5.9</v>
      </c>
      <c r="AI89" s="15">
        <v>8400</v>
      </c>
      <c r="AJ89" s="15">
        <v>5.0999999999999996</v>
      </c>
      <c r="AK89" s="15">
        <v>180</v>
      </c>
      <c r="AL89" s="15">
        <v>21</v>
      </c>
    </row>
    <row r="90" spans="1:38" x14ac:dyDescent="0.25">
      <c r="A90" s="135" t="s">
        <v>101</v>
      </c>
      <c r="B90" s="3" t="s">
        <v>223</v>
      </c>
      <c r="C90" s="306">
        <v>204.48324864000003</v>
      </c>
      <c r="D90" s="250">
        <v>42247.465277777781</v>
      </c>
      <c r="E90" s="15">
        <v>3000</v>
      </c>
      <c r="F90" s="15">
        <v>3.3000000000000002E-2</v>
      </c>
      <c r="G90" s="15">
        <v>3.7</v>
      </c>
      <c r="H90" s="15">
        <v>5100</v>
      </c>
      <c r="I90" s="15">
        <v>4.2</v>
      </c>
      <c r="J90" s="15">
        <v>150</v>
      </c>
      <c r="K90" s="15">
        <v>14</v>
      </c>
      <c r="L90" s="15"/>
      <c r="M90" s="253">
        <f t="shared" si="14"/>
        <v>3.6232492903979003</v>
      </c>
      <c r="N90" s="253">
        <f t="shared" si="15"/>
        <v>-1.3010299956639813</v>
      </c>
      <c r="O90" s="253">
        <f t="shared" si="16"/>
        <v>0.61278385671973545</v>
      </c>
      <c r="P90" s="253">
        <f t="shared" si="17"/>
        <v>3.6901960800285138</v>
      </c>
      <c r="Q90" s="253">
        <f t="shared" si="18"/>
        <v>0.76342799356293722</v>
      </c>
      <c r="R90" s="253">
        <f t="shared" si="19"/>
        <v>2.3222192947339191</v>
      </c>
      <c r="S90" s="253">
        <f t="shared" si="20"/>
        <v>1.3010299956639813</v>
      </c>
      <c r="AC90" s="135" t="s">
        <v>101</v>
      </c>
      <c r="AD90" s="306">
        <v>204.48324864000003</v>
      </c>
      <c r="AE90" s="210">
        <v>42243.559027777781</v>
      </c>
      <c r="AF90" s="15">
        <v>4200</v>
      </c>
      <c r="AG90" s="15">
        <v>0.05</v>
      </c>
      <c r="AH90" s="15">
        <v>4.0999999999999996</v>
      </c>
      <c r="AI90" s="15">
        <v>4900</v>
      </c>
      <c r="AJ90" s="15">
        <v>5.8</v>
      </c>
      <c r="AK90" s="15">
        <v>210</v>
      </c>
      <c r="AL90" s="15">
        <v>20</v>
      </c>
    </row>
    <row r="91" spans="1:38" x14ac:dyDescent="0.25">
      <c r="A91" s="135" t="s">
        <v>101</v>
      </c>
      <c r="B91" s="3" t="s">
        <v>223</v>
      </c>
      <c r="C91" s="306">
        <v>204.48324864000003</v>
      </c>
      <c r="D91" s="250">
        <v>42248.479166666664</v>
      </c>
      <c r="E91" s="15">
        <v>4100</v>
      </c>
      <c r="F91" s="15">
        <v>6.6000000000000003E-2</v>
      </c>
      <c r="G91" s="15">
        <v>5.6</v>
      </c>
      <c r="H91" s="15">
        <v>6700</v>
      </c>
      <c r="I91" s="15">
        <v>5.8</v>
      </c>
      <c r="J91" s="15">
        <v>210</v>
      </c>
      <c r="K91" s="15">
        <v>22</v>
      </c>
      <c r="L91" s="15"/>
      <c r="M91" s="253">
        <f t="shared" si="14"/>
        <v>3.3424226808222062</v>
      </c>
      <c r="N91" s="253">
        <f t="shared" si="15"/>
        <v>-1.2218487496163564</v>
      </c>
      <c r="O91" s="253">
        <f t="shared" si="16"/>
        <v>0.54406804435027567</v>
      </c>
      <c r="P91" s="253">
        <f t="shared" si="17"/>
        <v>3.7923916894982539</v>
      </c>
      <c r="Q91" s="253">
        <f t="shared" si="18"/>
        <v>0.79239168949825389</v>
      </c>
      <c r="R91" s="253">
        <f t="shared" si="19"/>
        <v>2.3424226808222062</v>
      </c>
      <c r="S91" s="253">
        <f t="shared" si="20"/>
        <v>1.4771212547196624</v>
      </c>
      <c r="AC91" s="135" t="s">
        <v>101</v>
      </c>
      <c r="AD91" s="306">
        <v>246.34228608000001</v>
      </c>
      <c r="AE91" s="210">
        <v>42243.559027777781</v>
      </c>
      <c r="AF91" s="15">
        <v>2200</v>
      </c>
      <c r="AG91" s="15">
        <v>0.06</v>
      </c>
      <c r="AH91" s="15">
        <v>3.5</v>
      </c>
      <c r="AI91" s="15">
        <v>6200</v>
      </c>
      <c r="AJ91" s="15">
        <v>6.2</v>
      </c>
      <c r="AK91" s="15">
        <v>220</v>
      </c>
      <c r="AL91" s="15">
        <v>30</v>
      </c>
    </row>
    <row r="92" spans="1:38" x14ac:dyDescent="0.25">
      <c r="A92" s="135" t="s">
        <v>101</v>
      </c>
      <c r="B92" s="3" t="s">
        <v>223</v>
      </c>
      <c r="C92" s="306">
        <v>204.48324864000003</v>
      </c>
      <c r="D92" s="250">
        <v>42252.402777777781</v>
      </c>
      <c r="E92" s="15">
        <v>2500</v>
      </c>
      <c r="F92" s="15">
        <v>3.1E-2</v>
      </c>
      <c r="G92" s="15">
        <v>3.3</v>
      </c>
      <c r="H92" s="15">
        <v>5100</v>
      </c>
      <c r="I92" s="15">
        <v>4.0999999999999996</v>
      </c>
      <c r="J92" s="15">
        <v>140</v>
      </c>
      <c r="K92" s="15">
        <v>13</v>
      </c>
      <c r="L92" s="15"/>
      <c r="M92" s="253">
        <f t="shared" si="14"/>
        <v>3.6434526764861874</v>
      </c>
      <c r="N92" s="253">
        <f t="shared" si="15"/>
        <v>-1.431798275933005</v>
      </c>
      <c r="O92" s="253">
        <f t="shared" si="16"/>
        <v>0.6020599913279624</v>
      </c>
      <c r="P92" s="253">
        <f t="shared" si="17"/>
        <v>3.8512583487190755</v>
      </c>
      <c r="Q92" s="253">
        <f t="shared" si="18"/>
        <v>0.71600334363479923</v>
      </c>
      <c r="R92" s="253">
        <f t="shared" si="19"/>
        <v>2.3802112417116059</v>
      </c>
      <c r="S92" s="253">
        <f t="shared" si="20"/>
        <v>1.2787536009528289</v>
      </c>
      <c r="AC92" s="135" t="s">
        <v>101</v>
      </c>
      <c r="AD92" s="306">
        <v>196.05028608000001</v>
      </c>
      <c r="AE92" s="210">
        <v>42244.451388888891</v>
      </c>
      <c r="AF92" s="15">
        <v>4400</v>
      </c>
      <c r="AG92" s="15">
        <v>3.6999999999999998E-2</v>
      </c>
      <c r="AH92" s="15">
        <v>4</v>
      </c>
      <c r="AI92" s="15">
        <v>7100</v>
      </c>
      <c r="AJ92" s="15">
        <v>5.2</v>
      </c>
      <c r="AK92" s="15">
        <v>240</v>
      </c>
      <c r="AL92" s="15">
        <v>19</v>
      </c>
    </row>
    <row r="93" spans="1:38" x14ac:dyDescent="0.25">
      <c r="A93" s="135" t="s">
        <v>101</v>
      </c>
      <c r="B93" s="3" t="s">
        <v>223</v>
      </c>
      <c r="C93" s="306">
        <v>204.48324864000003</v>
      </c>
      <c r="D93" s="250">
        <v>42253.375</v>
      </c>
      <c r="E93" s="15">
        <v>3300</v>
      </c>
      <c r="F93" s="15">
        <v>3.6999999999999998E-2</v>
      </c>
      <c r="G93" s="15">
        <v>5.7</v>
      </c>
      <c r="H93" s="15">
        <v>5800</v>
      </c>
      <c r="I93" s="15">
        <v>5.3</v>
      </c>
      <c r="J93" s="15">
        <v>200</v>
      </c>
      <c r="K93" s="15">
        <v>17</v>
      </c>
      <c r="L93" s="15"/>
      <c r="M93" s="253">
        <f t="shared" si="14"/>
        <v>3.6532125137753435</v>
      </c>
      <c r="N93" s="253">
        <f t="shared" si="15"/>
        <v>-1.4436974992327127</v>
      </c>
      <c r="O93" s="253">
        <f t="shared" si="16"/>
        <v>0.69897000433601886</v>
      </c>
      <c r="P93" s="253">
        <f t="shared" si="17"/>
        <v>3.8633228601204559</v>
      </c>
      <c r="Q93" s="253">
        <f t="shared" si="18"/>
        <v>0.70757017609793638</v>
      </c>
      <c r="R93" s="253">
        <f t="shared" si="19"/>
        <v>2.3222192947339191</v>
      </c>
      <c r="S93" s="253">
        <f t="shared" si="20"/>
        <v>1.3010299956639813</v>
      </c>
      <c r="AC93" s="135" t="s">
        <v>101</v>
      </c>
      <c r="AD93" s="306">
        <v>204.48324864000003</v>
      </c>
      <c r="AE93" s="210">
        <v>42244.489583333336</v>
      </c>
      <c r="AF93" s="15">
        <v>4500</v>
      </c>
      <c r="AG93" s="15">
        <v>3.5999999999999997E-2</v>
      </c>
      <c r="AH93" s="15">
        <v>5</v>
      </c>
      <c r="AI93" s="15">
        <v>7300</v>
      </c>
      <c r="AJ93" s="15">
        <v>5.0999999999999996</v>
      </c>
      <c r="AK93" s="15">
        <v>210</v>
      </c>
      <c r="AL93" s="15">
        <v>20</v>
      </c>
    </row>
    <row r="94" spans="1:38" x14ac:dyDescent="0.25">
      <c r="A94" s="135" t="s">
        <v>101</v>
      </c>
      <c r="B94" s="3" t="s">
        <v>223</v>
      </c>
      <c r="C94" s="306">
        <v>204.48324864000003</v>
      </c>
      <c r="D94" s="250">
        <v>42254.486111111109</v>
      </c>
      <c r="E94" s="15">
        <v>4100</v>
      </c>
      <c r="F94" s="15">
        <v>4.9000000000000002E-2</v>
      </c>
      <c r="G94" s="15">
        <v>6.4</v>
      </c>
      <c r="H94" s="15">
        <v>8600</v>
      </c>
      <c r="I94" s="15">
        <v>7.6</v>
      </c>
      <c r="J94" s="15">
        <v>220</v>
      </c>
      <c r="K94" s="15">
        <v>23</v>
      </c>
      <c r="L94" s="15"/>
      <c r="M94" s="253">
        <f t="shared" si="14"/>
        <v>3.9444826721501687</v>
      </c>
      <c r="N94" s="253">
        <f t="shared" si="15"/>
        <v>-1.0268721464003014</v>
      </c>
      <c r="O94" s="253">
        <f t="shared" si="16"/>
        <v>1.0791812460476249</v>
      </c>
      <c r="P94" s="253">
        <f t="shared" si="17"/>
        <v>4.1461280356782382</v>
      </c>
      <c r="Q94" s="253">
        <f t="shared" si="18"/>
        <v>0.89209460269048035</v>
      </c>
      <c r="R94" s="253">
        <f t="shared" si="19"/>
        <v>2.5440680443502757</v>
      </c>
      <c r="S94" s="253">
        <f t="shared" si="20"/>
        <v>1.5910646070264991</v>
      </c>
      <c r="AC94" s="135" t="s">
        <v>101</v>
      </c>
      <c r="AD94" s="306">
        <v>196.05028608000001</v>
      </c>
      <c r="AE94" s="210">
        <v>42245.451388888891</v>
      </c>
      <c r="AF94" s="15">
        <v>8800</v>
      </c>
      <c r="AG94" s="15">
        <v>9.4E-2</v>
      </c>
      <c r="AH94" s="15">
        <v>12</v>
      </c>
      <c r="AI94" s="15">
        <v>14000</v>
      </c>
      <c r="AJ94" s="15">
        <v>7.8</v>
      </c>
      <c r="AK94" s="15">
        <v>350</v>
      </c>
      <c r="AL94" s="15">
        <v>39</v>
      </c>
    </row>
    <row r="95" spans="1:38" x14ac:dyDescent="0.25">
      <c r="A95" s="135" t="s">
        <v>101</v>
      </c>
      <c r="B95" s="3" t="s">
        <v>223</v>
      </c>
      <c r="C95" s="306">
        <v>204.48324864000003</v>
      </c>
      <c r="D95" s="250">
        <v>42255.511111111111</v>
      </c>
      <c r="E95" s="15">
        <v>3300</v>
      </c>
      <c r="F95" s="15">
        <v>2.1999999999999999E-2</v>
      </c>
      <c r="G95" s="15">
        <v>4.3</v>
      </c>
      <c r="H95" s="15">
        <v>4800</v>
      </c>
      <c r="I95" s="15">
        <v>4.8</v>
      </c>
      <c r="J95" s="15">
        <v>160</v>
      </c>
      <c r="K95" s="15">
        <v>17</v>
      </c>
      <c r="L95" s="15"/>
      <c r="M95" s="253">
        <f t="shared" si="14"/>
        <v>3.6989700043360187</v>
      </c>
      <c r="N95" s="253">
        <f t="shared" si="15"/>
        <v>-1.2924298239020637</v>
      </c>
      <c r="O95" s="253">
        <f t="shared" si="16"/>
        <v>0.81291335664285558</v>
      </c>
      <c r="P95" s="253">
        <f t="shared" si="17"/>
        <v>3.9030899869919438</v>
      </c>
      <c r="Q95" s="253">
        <f t="shared" si="18"/>
        <v>0.75587485567249146</v>
      </c>
      <c r="R95" s="253">
        <f t="shared" si="19"/>
        <v>2.3979400086720375</v>
      </c>
      <c r="S95" s="253">
        <f t="shared" si="20"/>
        <v>1.3617278360175928</v>
      </c>
      <c r="AC95" s="135" t="s">
        <v>101</v>
      </c>
      <c r="AD95" s="306">
        <v>204.48324864000003</v>
      </c>
      <c r="AE95" s="210">
        <v>42245.489583333336</v>
      </c>
      <c r="AF95" s="15">
        <v>5000</v>
      </c>
      <c r="AG95" s="15">
        <v>5.0999999999999997E-2</v>
      </c>
      <c r="AH95" s="15">
        <v>6.5</v>
      </c>
      <c r="AI95" s="15">
        <v>8000</v>
      </c>
      <c r="AJ95" s="15">
        <v>5.7</v>
      </c>
      <c r="AK95" s="15">
        <v>250</v>
      </c>
      <c r="AL95" s="15">
        <v>23</v>
      </c>
    </row>
    <row r="96" spans="1:38" x14ac:dyDescent="0.25">
      <c r="A96" s="135" t="s">
        <v>101</v>
      </c>
      <c r="B96" s="3" t="s">
        <v>223</v>
      </c>
      <c r="C96" s="306">
        <v>204.48324864000003</v>
      </c>
      <c r="D96" s="250">
        <v>42256.520833333336</v>
      </c>
      <c r="E96" s="15">
        <v>3500</v>
      </c>
      <c r="F96" s="15">
        <v>3.6999999999999998E-2</v>
      </c>
      <c r="G96" s="15">
        <v>4.5</v>
      </c>
      <c r="H96" s="15">
        <v>5500</v>
      </c>
      <c r="I96" s="15">
        <v>5</v>
      </c>
      <c r="J96" s="15">
        <v>150</v>
      </c>
      <c r="K96" s="15">
        <v>17</v>
      </c>
      <c r="L96" s="15"/>
      <c r="M96" s="253">
        <f t="shared" si="14"/>
        <v>3.8325089127062362</v>
      </c>
      <c r="N96" s="253">
        <f t="shared" si="15"/>
        <v>-1.2518119729937995</v>
      </c>
      <c r="O96" s="253">
        <f t="shared" si="16"/>
        <v>0.79239168949825389</v>
      </c>
      <c r="P96" s="253">
        <f t="shared" si="17"/>
        <v>4.0413926851582254</v>
      </c>
      <c r="Q96" s="253">
        <f t="shared" si="18"/>
        <v>0.86332286012045589</v>
      </c>
      <c r="R96" s="253">
        <f t="shared" si="19"/>
        <v>2.4313637641589874</v>
      </c>
      <c r="S96" s="253">
        <f t="shared" si="20"/>
        <v>1.505149978319906</v>
      </c>
      <c r="AC96" s="135" t="s">
        <v>101</v>
      </c>
      <c r="AD96" s="306">
        <v>196.05028608000001</v>
      </c>
      <c r="AE96" s="210">
        <v>42246.46875</v>
      </c>
      <c r="AF96" s="15">
        <v>6800</v>
      </c>
      <c r="AG96" s="15">
        <v>5.6000000000000001E-2</v>
      </c>
      <c r="AH96" s="15">
        <v>6.2</v>
      </c>
      <c r="AI96" s="15">
        <v>11000</v>
      </c>
      <c r="AJ96" s="15">
        <v>7.3</v>
      </c>
      <c r="AK96" s="15">
        <v>270</v>
      </c>
      <c r="AL96" s="15">
        <v>32</v>
      </c>
    </row>
    <row r="97" spans="1:38" x14ac:dyDescent="0.25">
      <c r="A97" s="135" t="s">
        <v>101</v>
      </c>
      <c r="B97" s="3" t="s">
        <v>223</v>
      </c>
      <c r="C97" s="306">
        <v>204.48324864000003</v>
      </c>
      <c r="D97" s="250">
        <v>42257.510416666664</v>
      </c>
      <c r="E97" s="15">
        <v>4300</v>
      </c>
      <c r="F97" s="15">
        <v>0.04</v>
      </c>
      <c r="G97" s="15">
        <v>4.5999999999999996</v>
      </c>
      <c r="H97" s="15">
        <v>6100</v>
      </c>
      <c r="I97" s="15">
        <v>5.5</v>
      </c>
      <c r="J97" s="15">
        <v>190</v>
      </c>
      <c r="K97" s="15">
        <v>19</v>
      </c>
      <c r="L97" s="15"/>
      <c r="M97" s="253">
        <f t="shared" si="14"/>
        <v>3.4913616938342726</v>
      </c>
      <c r="N97" s="253">
        <f t="shared" si="15"/>
        <v>-1.5228787452803376</v>
      </c>
      <c r="O97" s="253">
        <f t="shared" si="16"/>
        <v>0.46239799789895608</v>
      </c>
      <c r="P97" s="253">
        <f t="shared" si="17"/>
        <v>3.7923916894982539</v>
      </c>
      <c r="Q97" s="253">
        <f t="shared" si="18"/>
        <v>0.54406804435027567</v>
      </c>
      <c r="R97" s="253">
        <f t="shared" si="19"/>
        <v>2.1760912590556813</v>
      </c>
      <c r="S97" s="253">
        <f t="shared" si="20"/>
        <v>1.0791812460476249</v>
      </c>
      <c r="AC97" s="135" t="s">
        <v>101</v>
      </c>
      <c r="AD97" s="306">
        <v>204.48324864000003</v>
      </c>
      <c r="AE97" s="210">
        <v>42246.503472222219</v>
      </c>
      <c r="AF97" s="15">
        <v>3100</v>
      </c>
      <c r="AG97" s="15">
        <v>0.03</v>
      </c>
      <c r="AH97" s="15">
        <v>2.9</v>
      </c>
      <c r="AI97" s="15">
        <v>6200</v>
      </c>
      <c r="AJ97" s="15">
        <v>3.5</v>
      </c>
      <c r="AK97" s="15">
        <v>150</v>
      </c>
      <c r="AL97" s="15">
        <v>12</v>
      </c>
    </row>
    <row r="98" spans="1:38" x14ac:dyDescent="0.25">
      <c r="A98" s="135" t="s">
        <v>101</v>
      </c>
      <c r="B98" s="3" t="s">
        <v>223</v>
      </c>
      <c r="C98" s="306">
        <v>204.48324864000003</v>
      </c>
      <c r="D98" s="250">
        <v>42258.37777777778</v>
      </c>
      <c r="E98" s="15">
        <v>2300</v>
      </c>
      <c r="F98" s="15">
        <v>3.2000000000000001E-2</v>
      </c>
      <c r="G98" s="15">
        <v>2.9</v>
      </c>
      <c r="H98" s="15">
        <v>5200</v>
      </c>
      <c r="I98" s="15">
        <v>5</v>
      </c>
      <c r="J98" s="15">
        <v>150</v>
      </c>
      <c r="K98" s="15">
        <v>13</v>
      </c>
      <c r="L98" s="15"/>
      <c r="M98" s="253">
        <f t="shared" si="14"/>
        <v>3.7708520116421442</v>
      </c>
      <c r="N98" s="253">
        <f t="shared" si="15"/>
        <v>-1.1307682802690238</v>
      </c>
      <c r="O98" s="253">
        <f t="shared" si="16"/>
        <v>0.95424250943932487</v>
      </c>
      <c r="P98" s="253">
        <f t="shared" si="17"/>
        <v>3.9542425094393248</v>
      </c>
      <c r="Q98" s="253">
        <f t="shared" si="18"/>
        <v>0.84509804001425681</v>
      </c>
      <c r="R98" s="253">
        <f t="shared" si="19"/>
        <v>2.4471580313422194</v>
      </c>
      <c r="S98" s="253">
        <f t="shared" si="20"/>
        <v>1.4771212547196624</v>
      </c>
      <c r="AC98" s="135" t="s">
        <v>101</v>
      </c>
      <c r="AD98" s="306">
        <v>196.05028608000001</v>
      </c>
      <c r="AE98" s="210">
        <v>42247.434027777781</v>
      </c>
      <c r="AF98" s="15">
        <v>5900</v>
      </c>
      <c r="AG98" s="15">
        <v>7.3999999999999996E-2</v>
      </c>
      <c r="AH98" s="15">
        <v>9</v>
      </c>
      <c r="AI98" s="15">
        <v>9000</v>
      </c>
      <c r="AJ98" s="15">
        <v>7</v>
      </c>
      <c r="AK98" s="15">
        <v>280</v>
      </c>
      <c r="AL98" s="15">
        <v>30</v>
      </c>
    </row>
    <row r="99" spans="1:38" x14ac:dyDescent="0.25">
      <c r="A99" s="135" t="s">
        <v>101</v>
      </c>
      <c r="B99" s="3" t="s">
        <v>223</v>
      </c>
      <c r="C99" s="306">
        <v>204.48324864000003</v>
      </c>
      <c r="D99" s="250">
        <v>42259.489583333336</v>
      </c>
      <c r="E99" s="15">
        <v>2300</v>
      </c>
      <c r="F99" s="15">
        <v>2.3E-2</v>
      </c>
      <c r="G99" s="15">
        <v>2.8</v>
      </c>
      <c r="H99" s="15">
        <v>4300</v>
      </c>
      <c r="I99" s="15">
        <v>3.2</v>
      </c>
      <c r="J99" s="15">
        <v>130</v>
      </c>
      <c r="K99" s="15">
        <v>11</v>
      </c>
      <c r="L99" s="15"/>
      <c r="M99" s="253">
        <f t="shared" si="14"/>
        <v>3.4771212547196626</v>
      </c>
      <c r="N99" s="253">
        <f t="shared" si="15"/>
        <v>-1.4814860601221125</v>
      </c>
      <c r="O99" s="253">
        <f t="shared" si="16"/>
        <v>0.56820172406699498</v>
      </c>
      <c r="P99" s="253">
        <f t="shared" si="17"/>
        <v>3.7075701760979363</v>
      </c>
      <c r="Q99" s="253">
        <f t="shared" si="18"/>
        <v>0.62324929039790045</v>
      </c>
      <c r="R99" s="253">
        <f t="shared" si="19"/>
        <v>2.1760912590556813</v>
      </c>
      <c r="S99" s="253">
        <f t="shared" si="20"/>
        <v>1.146128035678238</v>
      </c>
      <c r="AC99" s="135" t="s">
        <v>101</v>
      </c>
      <c r="AD99" s="306">
        <v>204.48324864000003</v>
      </c>
      <c r="AE99" s="210">
        <v>42247.465277777781</v>
      </c>
      <c r="AF99" s="15">
        <v>3000</v>
      </c>
      <c r="AG99" s="15">
        <v>3.3000000000000002E-2</v>
      </c>
      <c r="AH99" s="15">
        <v>3.7</v>
      </c>
      <c r="AI99" s="15">
        <v>5100</v>
      </c>
      <c r="AJ99" s="15">
        <v>4.2</v>
      </c>
      <c r="AK99" s="15">
        <v>150</v>
      </c>
      <c r="AL99" s="15">
        <v>14</v>
      </c>
    </row>
    <row r="100" spans="1:38" x14ac:dyDescent="0.25">
      <c r="A100" s="135" t="s">
        <v>101</v>
      </c>
      <c r="B100" s="3" t="s">
        <v>223</v>
      </c>
      <c r="C100" s="306">
        <v>204.48324864000003</v>
      </c>
      <c r="D100" s="250">
        <v>42260.50277777778</v>
      </c>
      <c r="E100" s="15">
        <v>2200</v>
      </c>
      <c r="F100" s="15">
        <v>2.1000000000000001E-2</v>
      </c>
      <c r="G100" s="15">
        <v>2.2999999999999998</v>
      </c>
      <c r="H100" s="15">
        <v>3900</v>
      </c>
      <c r="I100" s="15">
        <v>3.3</v>
      </c>
      <c r="J100" s="15">
        <v>120</v>
      </c>
      <c r="K100" s="15">
        <v>11</v>
      </c>
      <c r="L100" s="15"/>
      <c r="M100" s="253">
        <f t="shared" si="14"/>
        <v>3.255272505103306</v>
      </c>
      <c r="N100" s="253">
        <f t="shared" si="15"/>
        <v>-1.744727494896694</v>
      </c>
      <c r="O100" s="253">
        <f t="shared" si="16"/>
        <v>0.34242268082220628</v>
      </c>
      <c r="P100" s="253">
        <f t="shared" si="17"/>
        <v>3.5440680443502757</v>
      </c>
      <c r="Q100" s="253">
        <f t="shared" si="18"/>
        <v>0.55630250076728727</v>
      </c>
      <c r="R100" s="253">
        <f t="shared" si="19"/>
        <v>2.1760912590556813</v>
      </c>
      <c r="S100" s="253">
        <f t="shared" si="20"/>
        <v>1.1139433523068367</v>
      </c>
      <c r="AC100" s="135" t="s">
        <v>101</v>
      </c>
      <c r="AD100" s="306">
        <v>196.05028608000001</v>
      </c>
      <c r="AE100" s="210">
        <v>42248.440972222219</v>
      </c>
      <c r="AF100" s="15">
        <v>1800</v>
      </c>
      <c r="AG100" s="15">
        <v>1.7999999999999999E-2</v>
      </c>
      <c r="AH100" s="15">
        <v>2.2000000000000002</v>
      </c>
      <c r="AI100" s="15">
        <v>3500</v>
      </c>
      <c r="AJ100" s="15">
        <v>3.6</v>
      </c>
      <c r="AK100" s="15">
        <v>150</v>
      </c>
      <c r="AL100" s="15">
        <v>13</v>
      </c>
    </row>
    <row r="101" spans="1:38" x14ac:dyDescent="0.25">
      <c r="A101" s="135" t="s">
        <v>101</v>
      </c>
      <c r="B101" s="3" t="s">
        <v>223</v>
      </c>
      <c r="C101" s="306">
        <v>204.48324864000003</v>
      </c>
      <c r="D101" s="250">
        <v>42261.525694444441</v>
      </c>
      <c r="E101" s="15">
        <v>2000</v>
      </c>
      <c r="F101" s="15">
        <v>0.03</v>
      </c>
      <c r="G101" s="15">
        <v>2.2000000000000002</v>
      </c>
      <c r="H101" s="15">
        <v>4100</v>
      </c>
      <c r="I101" s="15">
        <v>3.6</v>
      </c>
      <c r="J101" s="15">
        <v>110</v>
      </c>
      <c r="K101" s="15">
        <v>11</v>
      </c>
      <c r="L101" s="15"/>
      <c r="M101" s="253">
        <f t="shared" si="14"/>
        <v>3.6127838567197355</v>
      </c>
      <c r="N101" s="253">
        <f t="shared" si="15"/>
        <v>-1.1804560644581312</v>
      </c>
      <c r="O101" s="253">
        <f t="shared" si="16"/>
        <v>0.74818802700620035</v>
      </c>
      <c r="P101" s="253">
        <f t="shared" si="17"/>
        <v>3.8260748027008264</v>
      </c>
      <c r="Q101" s="253">
        <f t="shared" si="18"/>
        <v>0.76342799356293722</v>
      </c>
      <c r="R101" s="253">
        <f t="shared" si="19"/>
        <v>2.3222192947339191</v>
      </c>
      <c r="S101" s="253">
        <f t="shared" si="20"/>
        <v>1.3424226808222062</v>
      </c>
      <c r="AC101" s="135" t="s">
        <v>101</v>
      </c>
      <c r="AD101" s="306">
        <v>204.48324864000003</v>
      </c>
      <c r="AE101" s="210">
        <v>42248.479166666664</v>
      </c>
      <c r="AF101" s="15">
        <v>4100</v>
      </c>
      <c r="AG101" s="15">
        <v>6.6000000000000003E-2</v>
      </c>
      <c r="AH101" s="15">
        <v>5.6</v>
      </c>
      <c r="AI101" s="15">
        <v>6700</v>
      </c>
      <c r="AJ101" s="15">
        <v>5.8</v>
      </c>
      <c r="AK101" s="15">
        <v>210</v>
      </c>
      <c r="AL101" s="15">
        <v>22</v>
      </c>
    </row>
    <row r="102" spans="1:38" x14ac:dyDescent="0.25">
      <c r="A102" s="135" t="s">
        <v>101</v>
      </c>
      <c r="B102" s="3" t="s">
        <v>223</v>
      </c>
      <c r="C102" s="306">
        <v>204.48324864000003</v>
      </c>
      <c r="D102" s="250">
        <v>42262.402777777781</v>
      </c>
      <c r="E102" s="15">
        <v>3600</v>
      </c>
      <c r="F102" s="15">
        <v>4.2000000000000003E-2</v>
      </c>
      <c r="G102" s="15">
        <v>3.4</v>
      </c>
      <c r="H102" s="15">
        <v>5000</v>
      </c>
      <c r="I102" s="15">
        <v>4.2</v>
      </c>
      <c r="J102" s="15">
        <v>210</v>
      </c>
      <c r="K102" s="15">
        <v>19</v>
      </c>
      <c r="L102" s="15"/>
      <c r="M102" s="253">
        <f t="shared" ref="M102:M133" si="21">LOG(AF102)</f>
        <v>3.3979400086720375</v>
      </c>
      <c r="N102" s="253">
        <f t="shared" ref="N102:N133" si="22">LOG(AG102)</f>
        <v>-1.5086383061657274</v>
      </c>
      <c r="O102" s="253">
        <f t="shared" ref="O102:O133" si="23">LOG(AH102)</f>
        <v>0.51851393987788741</v>
      </c>
      <c r="P102" s="253">
        <f t="shared" ref="P102:P133" si="24">LOG(AI102)</f>
        <v>3.7075701760979363</v>
      </c>
      <c r="Q102" s="253">
        <f t="shared" ref="Q102:Q133" si="25">LOG(AJ102)</f>
        <v>0.61278385671973545</v>
      </c>
      <c r="R102" s="253">
        <f t="shared" ref="R102:R133" si="26">LOG(AK102)</f>
        <v>2.1461280356782382</v>
      </c>
      <c r="S102" s="253">
        <f t="shared" ref="S102:S133" si="27">LOG(AL102)</f>
        <v>1.1139433523068367</v>
      </c>
      <c r="AC102" s="135" t="s">
        <v>101</v>
      </c>
      <c r="AD102" s="306">
        <v>204.48324864000003</v>
      </c>
      <c r="AE102" s="210">
        <v>42252.402777777781</v>
      </c>
      <c r="AF102" s="15">
        <v>2500</v>
      </c>
      <c r="AG102" s="15">
        <v>3.1E-2</v>
      </c>
      <c r="AH102" s="15">
        <v>3.3</v>
      </c>
      <c r="AI102" s="15">
        <v>5100</v>
      </c>
      <c r="AJ102" s="15">
        <v>4.0999999999999996</v>
      </c>
      <c r="AK102" s="15">
        <v>140</v>
      </c>
      <c r="AL102" s="15">
        <v>13</v>
      </c>
    </row>
    <row r="103" spans="1:38" x14ac:dyDescent="0.25">
      <c r="A103" s="135" t="s">
        <v>101</v>
      </c>
      <c r="B103" s="3" t="s">
        <v>223</v>
      </c>
      <c r="C103" s="306">
        <v>204.48324864000003</v>
      </c>
      <c r="D103" s="250">
        <v>42263.496527777781</v>
      </c>
      <c r="E103" s="15">
        <v>3200</v>
      </c>
      <c r="F103" s="15">
        <v>2.5999999999999999E-2</v>
      </c>
      <c r="G103" s="15">
        <v>3.8</v>
      </c>
      <c r="H103" s="15">
        <v>5300</v>
      </c>
      <c r="I103" s="15">
        <v>4.8</v>
      </c>
      <c r="J103" s="15">
        <v>170</v>
      </c>
      <c r="K103" s="15">
        <v>17</v>
      </c>
      <c r="L103" s="15"/>
      <c r="M103" s="253">
        <f t="shared" si="21"/>
        <v>3.2041199826559246</v>
      </c>
      <c r="N103" s="253">
        <f t="shared" si="22"/>
        <v>-1.585026652029182</v>
      </c>
      <c r="O103" s="253">
        <f t="shared" si="23"/>
        <v>0.36172783601759284</v>
      </c>
      <c r="P103" s="253">
        <f t="shared" si="24"/>
        <v>3.5563025007672873</v>
      </c>
      <c r="Q103" s="253">
        <f t="shared" si="25"/>
        <v>0.64345267648618742</v>
      </c>
      <c r="R103" s="253">
        <f t="shared" si="26"/>
        <v>2.1760912590556813</v>
      </c>
      <c r="S103" s="253">
        <f t="shared" si="27"/>
        <v>1.2041199826559248</v>
      </c>
      <c r="AC103" s="135" t="s">
        <v>101</v>
      </c>
      <c r="AD103" s="306">
        <v>196.05028608000001</v>
      </c>
      <c r="AE103" s="210">
        <v>42252.427083333336</v>
      </c>
      <c r="AF103" s="15">
        <v>1600</v>
      </c>
      <c r="AG103" s="15">
        <v>2.5999999999999999E-2</v>
      </c>
      <c r="AH103" s="15">
        <v>2.2999999999999998</v>
      </c>
      <c r="AI103" s="15">
        <v>3600</v>
      </c>
      <c r="AJ103" s="15">
        <v>4.4000000000000004</v>
      </c>
      <c r="AK103" s="15">
        <v>150</v>
      </c>
      <c r="AL103" s="15">
        <v>16</v>
      </c>
    </row>
    <row r="104" spans="1:38" x14ac:dyDescent="0.25">
      <c r="A104" s="135" t="s">
        <v>101</v>
      </c>
      <c r="B104" s="3" t="s">
        <v>223</v>
      </c>
      <c r="C104" s="306">
        <v>204.48324864000003</v>
      </c>
      <c r="D104" s="250">
        <v>42264.482638888891</v>
      </c>
      <c r="E104" s="15">
        <v>4600</v>
      </c>
      <c r="F104" s="15">
        <v>4.5999999999999999E-2</v>
      </c>
      <c r="G104" s="15">
        <v>4.5999999999999996</v>
      </c>
      <c r="H104" s="15">
        <v>6800</v>
      </c>
      <c r="I104" s="15">
        <v>5.4</v>
      </c>
      <c r="J104" s="15">
        <v>210</v>
      </c>
      <c r="K104" s="15">
        <v>20</v>
      </c>
      <c r="L104" s="15"/>
      <c r="M104" s="253">
        <f t="shared" si="21"/>
        <v>3.5185139398778875</v>
      </c>
      <c r="N104" s="253">
        <f t="shared" si="22"/>
        <v>-1.431798275933005</v>
      </c>
      <c r="O104" s="253">
        <f t="shared" si="23"/>
        <v>0.75587485567249146</v>
      </c>
      <c r="P104" s="253">
        <f t="shared" si="24"/>
        <v>3.7634279935629373</v>
      </c>
      <c r="Q104" s="253">
        <f t="shared" si="25"/>
        <v>0.72427586960078905</v>
      </c>
      <c r="R104" s="253">
        <f t="shared" si="26"/>
        <v>2.3010299956639813</v>
      </c>
      <c r="S104" s="253">
        <f t="shared" si="27"/>
        <v>1.2304489213782739</v>
      </c>
      <c r="AC104" s="135" t="s">
        <v>101</v>
      </c>
      <c r="AD104" s="306">
        <v>204.48324864000003</v>
      </c>
      <c r="AE104" s="210">
        <v>42253.375</v>
      </c>
      <c r="AF104" s="15">
        <v>3300</v>
      </c>
      <c r="AG104" s="15">
        <v>3.6999999999999998E-2</v>
      </c>
      <c r="AH104" s="15">
        <v>5.7</v>
      </c>
      <c r="AI104" s="15">
        <v>5800</v>
      </c>
      <c r="AJ104" s="15">
        <v>5.3</v>
      </c>
      <c r="AK104" s="15">
        <v>200</v>
      </c>
      <c r="AL104" s="15">
        <v>17</v>
      </c>
    </row>
    <row r="105" spans="1:38" x14ac:dyDescent="0.25">
      <c r="A105" s="135" t="s">
        <v>101</v>
      </c>
      <c r="B105" s="3" t="s">
        <v>223</v>
      </c>
      <c r="C105" s="306">
        <v>204.48324864000003</v>
      </c>
      <c r="D105" s="250">
        <v>42265.618055555555</v>
      </c>
      <c r="E105" s="15">
        <v>5200</v>
      </c>
      <c r="F105" s="15">
        <v>0.04</v>
      </c>
      <c r="G105" s="15">
        <v>5.2</v>
      </c>
      <c r="H105" s="15">
        <v>7600</v>
      </c>
      <c r="I105" s="15">
        <v>6.1</v>
      </c>
      <c r="J105" s="15">
        <v>190</v>
      </c>
      <c r="K105" s="15">
        <v>21</v>
      </c>
      <c r="L105" s="15"/>
      <c r="M105" s="253">
        <f t="shared" si="21"/>
        <v>3.1139433523068369</v>
      </c>
      <c r="N105" s="253">
        <f t="shared" si="22"/>
        <v>-1.585026652029182</v>
      </c>
      <c r="O105" s="253">
        <f t="shared" si="23"/>
        <v>0.44715803134221921</v>
      </c>
      <c r="P105" s="253">
        <f t="shared" si="24"/>
        <v>3.4771212547196626</v>
      </c>
      <c r="Q105" s="253">
        <f t="shared" si="25"/>
        <v>0.62324929039790045</v>
      </c>
      <c r="R105" s="253">
        <f t="shared" si="26"/>
        <v>2.1139433523068369</v>
      </c>
      <c r="S105" s="253">
        <f t="shared" si="27"/>
        <v>1.146128035678238</v>
      </c>
      <c r="AC105" s="135" t="s">
        <v>101</v>
      </c>
      <c r="AD105" s="306">
        <v>196.05028608000001</v>
      </c>
      <c r="AE105" s="210">
        <v>42253.413194444445</v>
      </c>
      <c r="AF105" s="15">
        <v>1300</v>
      </c>
      <c r="AG105" s="15">
        <v>2.5999999999999999E-2</v>
      </c>
      <c r="AH105" s="15">
        <v>2.8</v>
      </c>
      <c r="AI105" s="15">
        <v>3000</v>
      </c>
      <c r="AJ105" s="15">
        <v>4.2</v>
      </c>
      <c r="AK105" s="15">
        <v>130</v>
      </c>
      <c r="AL105" s="15">
        <v>14</v>
      </c>
    </row>
    <row r="106" spans="1:38" x14ac:dyDescent="0.25">
      <c r="A106" s="135" t="s">
        <v>101</v>
      </c>
      <c r="B106" s="3" t="s">
        <v>223</v>
      </c>
      <c r="C106" s="306">
        <v>204.48324864000003</v>
      </c>
      <c r="D106" s="250">
        <v>42266.475694444445</v>
      </c>
      <c r="E106" s="15">
        <v>2600</v>
      </c>
      <c r="F106" s="15">
        <v>2.1000000000000001E-2</v>
      </c>
      <c r="G106" s="15">
        <v>2.9</v>
      </c>
      <c r="H106" s="15">
        <v>4200</v>
      </c>
      <c r="I106" s="15">
        <v>4.2</v>
      </c>
      <c r="J106" s="15">
        <v>130</v>
      </c>
      <c r="K106" s="15">
        <v>12</v>
      </c>
      <c r="L106" s="15"/>
      <c r="M106" s="253">
        <f t="shared" si="21"/>
        <v>3.3222192947339191</v>
      </c>
      <c r="N106" s="253">
        <f t="shared" si="22"/>
        <v>-1.5086383061657274</v>
      </c>
      <c r="O106" s="253">
        <f t="shared" si="23"/>
        <v>0.47712125471966244</v>
      </c>
      <c r="P106" s="253">
        <f t="shared" si="24"/>
        <v>3.6232492903979003</v>
      </c>
      <c r="Q106" s="253">
        <f t="shared" si="25"/>
        <v>0.69019608002851374</v>
      </c>
      <c r="R106" s="253">
        <f t="shared" si="26"/>
        <v>2.255272505103306</v>
      </c>
      <c r="S106" s="253">
        <f t="shared" si="27"/>
        <v>1.2787536009528289</v>
      </c>
      <c r="AC106" s="135" t="s">
        <v>101</v>
      </c>
      <c r="AD106" s="306">
        <v>196.05028608000001</v>
      </c>
      <c r="AE106" s="210">
        <v>42254.451388888891</v>
      </c>
      <c r="AF106" s="15">
        <v>2100</v>
      </c>
      <c r="AG106" s="15">
        <v>3.1E-2</v>
      </c>
      <c r="AH106" s="15">
        <v>3</v>
      </c>
      <c r="AI106" s="15">
        <v>4200</v>
      </c>
      <c r="AJ106" s="15">
        <v>4.9000000000000004</v>
      </c>
      <c r="AK106" s="15">
        <v>180</v>
      </c>
      <c r="AL106" s="15">
        <v>19</v>
      </c>
    </row>
    <row r="107" spans="1:38" x14ac:dyDescent="0.25">
      <c r="A107" s="135" t="s">
        <v>101</v>
      </c>
      <c r="B107" s="3" t="s">
        <v>223</v>
      </c>
      <c r="C107" s="306">
        <v>204.48324864000003</v>
      </c>
      <c r="D107" s="250">
        <v>42267.46875</v>
      </c>
      <c r="E107" s="15">
        <v>2900</v>
      </c>
      <c r="F107" s="15">
        <v>2.1999999999999999E-2</v>
      </c>
      <c r="G107" s="15">
        <v>3.4</v>
      </c>
      <c r="H107" s="15">
        <v>4900</v>
      </c>
      <c r="I107" s="15">
        <v>5.3</v>
      </c>
      <c r="J107" s="15">
        <v>150</v>
      </c>
      <c r="K107" s="15">
        <v>14</v>
      </c>
      <c r="L107" s="15"/>
      <c r="M107" s="253">
        <f t="shared" si="21"/>
        <v>3.6127838567197355</v>
      </c>
      <c r="N107" s="253">
        <f t="shared" si="22"/>
        <v>-1.3098039199714864</v>
      </c>
      <c r="O107" s="253">
        <f t="shared" si="23"/>
        <v>0.80617997398388719</v>
      </c>
      <c r="P107" s="253">
        <f t="shared" si="24"/>
        <v>3.9344984512435679</v>
      </c>
      <c r="Q107" s="253">
        <f t="shared" si="25"/>
        <v>0.88081359228079137</v>
      </c>
      <c r="R107" s="253">
        <f t="shared" si="26"/>
        <v>2.3424226808222062</v>
      </c>
      <c r="S107" s="253">
        <f t="shared" si="27"/>
        <v>1.3617278360175928</v>
      </c>
      <c r="AC107" s="135" t="s">
        <v>101</v>
      </c>
      <c r="AD107" s="306">
        <v>204.48324864000003</v>
      </c>
      <c r="AE107" s="210">
        <v>42254.486111111109</v>
      </c>
      <c r="AF107" s="15">
        <v>4100</v>
      </c>
      <c r="AG107" s="15">
        <v>4.9000000000000002E-2</v>
      </c>
      <c r="AH107" s="15">
        <v>6.4</v>
      </c>
      <c r="AI107" s="15">
        <v>8600</v>
      </c>
      <c r="AJ107" s="15">
        <v>7.6</v>
      </c>
      <c r="AK107" s="15">
        <v>220</v>
      </c>
      <c r="AL107" s="15">
        <v>23</v>
      </c>
    </row>
    <row r="108" spans="1:38" x14ac:dyDescent="0.25">
      <c r="A108" s="135" t="s">
        <v>101</v>
      </c>
      <c r="B108" s="3" t="s">
        <v>223</v>
      </c>
      <c r="C108" s="306">
        <v>204.48324864000003</v>
      </c>
      <c r="D108" s="250">
        <v>42268.520833333336</v>
      </c>
      <c r="E108" s="15">
        <v>3100</v>
      </c>
      <c r="F108" s="15">
        <v>2.8000000000000001E-2</v>
      </c>
      <c r="G108" s="15">
        <v>3.6</v>
      </c>
      <c r="H108" s="15">
        <v>5300</v>
      </c>
      <c r="I108" s="15">
        <v>4.7</v>
      </c>
      <c r="J108" s="15">
        <v>150</v>
      </c>
      <c r="K108" s="15">
        <v>14</v>
      </c>
      <c r="L108" s="15"/>
      <c r="M108" s="253">
        <f t="shared" si="21"/>
        <v>3.2787536009528289</v>
      </c>
      <c r="N108" s="253">
        <f t="shared" si="22"/>
        <v>-1.3872161432802645</v>
      </c>
      <c r="O108" s="253">
        <f t="shared" si="23"/>
        <v>0.38021124171160603</v>
      </c>
      <c r="P108" s="253">
        <f t="shared" si="24"/>
        <v>3.5440680443502757</v>
      </c>
      <c r="Q108" s="253">
        <f t="shared" si="25"/>
        <v>0.62324929039790045</v>
      </c>
      <c r="R108" s="253">
        <f t="shared" si="26"/>
        <v>2.1760912590556813</v>
      </c>
      <c r="S108" s="253">
        <f t="shared" si="27"/>
        <v>1.2041199826559248</v>
      </c>
      <c r="AC108" s="135" t="s">
        <v>101</v>
      </c>
      <c r="AD108" s="306">
        <v>196.05028608000001</v>
      </c>
      <c r="AE108" s="210">
        <v>42255.477083333331</v>
      </c>
      <c r="AF108" s="15">
        <v>1900</v>
      </c>
      <c r="AG108" s="15">
        <v>4.1000000000000002E-2</v>
      </c>
      <c r="AH108" s="15">
        <v>2.4</v>
      </c>
      <c r="AI108" s="15">
        <v>3500</v>
      </c>
      <c r="AJ108" s="15">
        <v>4.2</v>
      </c>
      <c r="AK108" s="15">
        <v>150</v>
      </c>
      <c r="AL108" s="15">
        <v>16</v>
      </c>
    </row>
    <row r="109" spans="1:38" x14ac:dyDescent="0.25">
      <c r="A109" s="135" t="s">
        <v>101</v>
      </c>
      <c r="B109" s="3" t="s">
        <v>223</v>
      </c>
      <c r="C109" s="306">
        <v>204.48324864000003</v>
      </c>
      <c r="D109" s="250">
        <v>42269.552083333336</v>
      </c>
      <c r="E109" s="15">
        <v>3000</v>
      </c>
      <c r="F109" s="15">
        <v>2.1999999999999999E-2</v>
      </c>
      <c r="G109" s="15">
        <v>2.9</v>
      </c>
      <c r="H109" s="15">
        <v>4900</v>
      </c>
      <c r="I109" s="15">
        <v>3.6</v>
      </c>
      <c r="J109" s="15">
        <v>120</v>
      </c>
      <c r="K109" s="15">
        <v>12</v>
      </c>
      <c r="L109" s="15"/>
      <c r="M109" s="253">
        <f t="shared" si="21"/>
        <v>3.5185139398778875</v>
      </c>
      <c r="N109" s="253">
        <f t="shared" si="22"/>
        <v>-1.6575773191777938</v>
      </c>
      <c r="O109" s="253">
        <f t="shared" si="23"/>
        <v>0.63346845557958653</v>
      </c>
      <c r="P109" s="253">
        <f t="shared" si="24"/>
        <v>3.6812412373755872</v>
      </c>
      <c r="Q109" s="253">
        <f t="shared" si="25"/>
        <v>0.68124123737558717</v>
      </c>
      <c r="R109" s="253">
        <f t="shared" si="26"/>
        <v>2.2041199826559246</v>
      </c>
      <c r="S109" s="253">
        <f t="shared" si="27"/>
        <v>1.2304489213782739</v>
      </c>
      <c r="AC109" s="135" t="s">
        <v>101</v>
      </c>
      <c r="AD109" s="306">
        <v>204.48324864000003</v>
      </c>
      <c r="AE109" s="210">
        <v>42255.511111111111</v>
      </c>
      <c r="AF109" s="15">
        <v>3300</v>
      </c>
      <c r="AG109" s="15">
        <v>2.1999999999999999E-2</v>
      </c>
      <c r="AH109" s="15">
        <v>4.3</v>
      </c>
      <c r="AI109" s="15">
        <v>4800</v>
      </c>
      <c r="AJ109" s="15">
        <v>4.8</v>
      </c>
      <c r="AK109" s="15">
        <v>160</v>
      </c>
      <c r="AL109" s="15">
        <v>17</v>
      </c>
    </row>
    <row r="110" spans="1:38" x14ac:dyDescent="0.25">
      <c r="A110" s="135" t="s">
        <v>101</v>
      </c>
      <c r="B110" s="3" t="s">
        <v>223</v>
      </c>
      <c r="C110" s="306">
        <v>204.48324864000003</v>
      </c>
      <c r="D110" s="250">
        <v>42271.458333333336</v>
      </c>
      <c r="E110" s="15">
        <v>7400</v>
      </c>
      <c r="F110" s="15">
        <v>5.6000000000000001E-2</v>
      </c>
      <c r="G110" s="15">
        <v>7.4</v>
      </c>
      <c r="H110" s="15">
        <v>10000</v>
      </c>
      <c r="I110" s="15">
        <v>6.1</v>
      </c>
      <c r="J110" s="15">
        <v>230</v>
      </c>
      <c r="K110" s="15">
        <v>24</v>
      </c>
      <c r="L110" s="15"/>
      <c r="M110" s="253">
        <f t="shared" si="21"/>
        <v>3.2041199826559246</v>
      </c>
      <c r="N110" s="253">
        <f t="shared" si="22"/>
        <v>-1.853871964321762</v>
      </c>
      <c r="O110" s="253">
        <f t="shared" si="23"/>
        <v>0.3010299956639812</v>
      </c>
      <c r="P110" s="253">
        <f t="shared" si="24"/>
        <v>3.4471580313422194</v>
      </c>
      <c r="Q110" s="253">
        <f t="shared" si="25"/>
        <v>0.55630250076728727</v>
      </c>
      <c r="R110" s="253">
        <f t="shared" si="26"/>
        <v>2.1139433523068369</v>
      </c>
      <c r="S110" s="253">
        <f t="shared" si="27"/>
        <v>1.146128035678238</v>
      </c>
      <c r="AC110" s="135" t="s">
        <v>101</v>
      </c>
      <c r="AD110" s="306">
        <v>196.05028608000001</v>
      </c>
      <c r="AE110" s="210">
        <v>42256.489583333336</v>
      </c>
      <c r="AF110" s="15">
        <v>1600</v>
      </c>
      <c r="AG110" s="15">
        <v>1.4E-2</v>
      </c>
      <c r="AH110" s="15">
        <v>2</v>
      </c>
      <c r="AI110" s="15">
        <v>2800</v>
      </c>
      <c r="AJ110" s="15">
        <v>3.6</v>
      </c>
      <c r="AK110" s="15">
        <v>130</v>
      </c>
      <c r="AL110" s="15">
        <v>14</v>
      </c>
    </row>
    <row r="111" spans="1:38" x14ac:dyDescent="0.25">
      <c r="A111" s="135" t="s">
        <v>101</v>
      </c>
      <c r="B111" s="3" t="s">
        <v>223</v>
      </c>
      <c r="C111" s="306">
        <v>204.48324864000003</v>
      </c>
      <c r="D111" s="250">
        <v>42275.454861111109</v>
      </c>
      <c r="E111" s="15">
        <v>5500</v>
      </c>
      <c r="F111" s="15">
        <v>5.1999999999999998E-2</v>
      </c>
      <c r="G111" s="15">
        <v>5.7</v>
      </c>
      <c r="H111" s="15">
        <v>7500</v>
      </c>
      <c r="I111" s="15">
        <v>5.5</v>
      </c>
      <c r="J111" s="15">
        <v>200</v>
      </c>
      <c r="K111" s="15">
        <v>20</v>
      </c>
      <c r="L111" s="15"/>
      <c r="M111" s="253">
        <f t="shared" si="21"/>
        <v>3.5440680443502757</v>
      </c>
      <c r="N111" s="253">
        <f t="shared" si="22"/>
        <v>-1.431798275933005</v>
      </c>
      <c r="O111" s="253">
        <f t="shared" si="23"/>
        <v>0.65321251377534373</v>
      </c>
      <c r="P111" s="253">
        <f t="shared" si="24"/>
        <v>3.7403626894942437</v>
      </c>
      <c r="Q111" s="253">
        <f t="shared" si="25"/>
        <v>0.69897000433601886</v>
      </c>
      <c r="R111" s="253">
        <f t="shared" si="26"/>
        <v>2.1760912590556813</v>
      </c>
      <c r="S111" s="253">
        <f t="shared" si="27"/>
        <v>1.2304489213782739</v>
      </c>
      <c r="AC111" s="135" t="s">
        <v>101</v>
      </c>
      <c r="AD111" s="306">
        <v>204.48324864000003</v>
      </c>
      <c r="AE111" s="210">
        <v>42256.520833333336</v>
      </c>
      <c r="AF111" s="15">
        <v>3500</v>
      </c>
      <c r="AG111" s="15">
        <v>3.6999999999999998E-2</v>
      </c>
      <c r="AH111" s="15">
        <v>4.5</v>
      </c>
      <c r="AI111" s="15">
        <v>5500</v>
      </c>
      <c r="AJ111" s="15">
        <v>5</v>
      </c>
      <c r="AK111" s="15">
        <v>150</v>
      </c>
      <c r="AL111" s="15">
        <v>17</v>
      </c>
    </row>
    <row r="112" spans="1:38" x14ac:dyDescent="0.25">
      <c r="A112" s="135" t="s">
        <v>101</v>
      </c>
      <c r="B112" s="3" t="s">
        <v>223</v>
      </c>
      <c r="C112" s="306">
        <v>204.48324864000003</v>
      </c>
      <c r="D112" s="250">
        <v>42277.440972222219</v>
      </c>
      <c r="E112" s="15">
        <v>4500</v>
      </c>
      <c r="F112" s="15">
        <v>0.04</v>
      </c>
      <c r="G112" s="15">
        <v>4.5999999999999996</v>
      </c>
      <c r="H112" s="15">
        <v>6200</v>
      </c>
      <c r="I112" s="15">
        <v>4.5999999999999996</v>
      </c>
      <c r="J112" s="15">
        <v>200</v>
      </c>
      <c r="K112" s="15">
        <v>18</v>
      </c>
      <c r="L112" s="15"/>
      <c r="M112" s="253">
        <f t="shared" si="21"/>
        <v>3.5563025007672873</v>
      </c>
      <c r="N112" s="253">
        <f t="shared" si="22"/>
        <v>-1.3372421683184259</v>
      </c>
      <c r="O112" s="253">
        <f t="shared" si="23"/>
        <v>0.61278385671973545</v>
      </c>
      <c r="P112" s="253">
        <f t="shared" si="24"/>
        <v>3.6989700043360187</v>
      </c>
      <c r="Q112" s="253">
        <f t="shared" si="25"/>
        <v>0.70757017609793638</v>
      </c>
      <c r="R112" s="253">
        <f t="shared" si="26"/>
        <v>2.3617278360175931</v>
      </c>
      <c r="S112" s="253">
        <f t="shared" si="27"/>
        <v>1.3222192947339193</v>
      </c>
      <c r="AC112" s="135" t="s">
        <v>101</v>
      </c>
      <c r="AD112" s="306">
        <v>196.05028608000001</v>
      </c>
      <c r="AE112" s="210">
        <v>42257.475694444445</v>
      </c>
      <c r="AF112" s="15">
        <v>3600</v>
      </c>
      <c r="AG112" s="15">
        <v>4.5999999999999999E-2</v>
      </c>
      <c r="AH112" s="15">
        <v>4.0999999999999996</v>
      </c>
      <c r="AI112" s="15">
        <v>5000</v>
      </c>
      <c r="AJ112" s="15">
        <v>5.0999999999999996</v>
      </c>
      <c r="AK112" s="15">
        <v>230</v>
      </c>
      <c r="AL112" s="15">
        <v>21</v>
      </c>
    </row>
    <row r="113" spans="1:38" x14ac:dyDescent="0.25">
      <c r="A113" s="135" t="s">
        <v>101</v>
      </c>
      <c r="B113" s="3" t="s">
        <v>223</v>
      </c>
      <c r="C113" s="306">
        <v>204.48324864000003</v>
      </c>
      <c r="D113" s="250">
        <v>42285.493055555555</v>
      </c>
      <c r="E113" s="15">
        <v>7600</v>
      </c>
      <c r="F113" s="15">
        <v>4.8000000000000001E-2</v>
      </c>
      <c r="G113" s="15">
        <v>5.6</v>
      </c>
      <c r="H113" s="15">
        <v>9900</v>
      </c>
      <c r="I113" s="15">
        <v>4.8</v>
      </c>
      <c r="J113" s="15">
        <v>210</v>
      </c>
      <c r="K113" s="15">
        <v>20</v>
      </c>
      <c r="L113" s="15"/>
      <c r="M113" s="253">
        <f t="shared" si="21"/>
        <v>3.6334684555795866</v>
      </c>
      <c r="N113" s="253">
        <f t="shared" si="22"/>
        <v>-1.3979400086720375</v>
      </c>
      <c r="O113" s="253">
        <f t="shared" si="23"/>
        <v>0.66275783168157409</v>
      </c>
      <c r="P113" s="253">
        <f t="shared" si="24"/>
        <v>3.7853298350107671</v>
      </c>
      <c r="Q113" s="253">
        <f t="shared" si="25"/>
        <v>0.74036268949424389</v>
      </c>
      <c r="R113" s="253">
        <f t="shared" si="26"/>
        <v>2.2787536009528289</v>
      </c>
      <c r="S113" s="253">
        <f t="shared" si="27"/>
        <v>1.2787536009528289</v>
      </c>
      <c r="AC113" s="135" t="s">
        <v>101</v>
      </c>
      <c r="AD113" s="306">
        <v>204.48324864000003</v>
      </c>
      <c r="AE113" s="210">
        <v>42257.510416666664</v>
      </c>
      <c r="AF113" s="15">
        <v>4300</v>
      </c>
      <c r="AG113" s="15">
        <v>0.04</v>
      </c>
      <c r="AH113" s="15">
        <v>4.5999999999999996</v>
      </c>
      <c r="AI113" s="15">
        <v>6100</v>
      </c>
      <c r="AJ113" s="15">
        <v>5.5</v>
      </c>
      <c r="AK113" s="15">
        <v>190</v>
      </c>
      <c r="AL113" s="15">
        <v>19</v>
      </c>
    </row>
    <row r="114" spans="1:38" x14ac:dyDescent="0.25">
      <c r="A114" s="135" t="s">
        <v>101</v>
      </c>
      <c r="B114" s="3" t="s">
        <v>223</v>
      </c>
      <c r="C114" s="306">
        <v>204.48324864000003</v>
      </c>
      <c r="D114" s="250">
        <v>42291.506944444445</v>
      </c>
      <c r="E114" s="15">
        <v>4500</v>
      </c>
      <c r="F114" s="15">
        <v>3.7999999999999999E-2</v>
      </c>
      <c r="G114" s="15">
        <v>4.2</v>
      </c>
      <c r="H114" s="15">
        <v>7600</v>
      </c>
      <c r="I114" s="15">
        <v>4.8</v>
      </c>
      <c r="J114" s="15">
        <v>160</v>
      </c>
      <c r="K114" s="15">
        <v>16</v>
      </c>
      <c r="L114" s="15"/>
      <c r="M114" s="253">
        <f t="shared" si="21"/>
        <v>3.7403626894942437</v>
      </c>
      <c r="N114" s="253">
        <f t="shared" si="22"/>
        <v>-0.95860731484177497</v>
      </c>
      <c r="O114" s="253">
        <f t="shared" si="23"/>
        <v>0.85125834871907524</v>
      </c>
      <c r="P114" s="253">
        <f t="shared" si="24"/>
        <v>3.8061799739838871</v>
      </c>
      <c r="Q114" s="253">
        <f t="shared" si="25"/>
        <v>0.86332286012045589</v>
      </c>
      <c r="R114" s="253">
        <f t="shared" si="26"/>
        <v>2.4149733479708178</v>
      </c>
      <c r="S114" s="253">
        <f t="shared" si="27"/>
        <v>1.4313637641589874</v>
      </c>
      <c r="AC114" s="135" t="s">
        <v>101</v>
      </c>
      <c r="AD114" s="306">
        <v>295.82961408</v>
      </c>
      <c r="AE114" s="210">
        <v>42257.565972222219</v>
      </c>
      <c r="AF114" s="15">
        <v>5500</v>
      </c>
      <c r="AG114" s="15">
        <v>0.11</v>
      </c>
      <c r="AH114" s="15">
        <v>7.1</v>
      </c>
      <c r="AI114" s="15">
        <v>6400</v>
      </c>
      <c r="AJ114" s="15">
        <v>7.3</v>
      </c>
      <c r="AK114" s="15">
        <v>260</v>
      </c>
      <c r="AL114" s="15">
        <v>27</v>
      </c>
    </row>
    <row r="115" spans="1:38" x14ac:dyDescent="0.25">
      <c r="A115" s="135" t="s">
        <v>101</v>
      </c>
      <c r="B115" s="223" t="s">
        <v>224</v>
      </c>
      <c r="C115" s="306">
        <v>213.07714560000002</v>
      </c>
      <c r="D115" s="250">
        <v>42231.715277777781</v>
      </c>
      <c r="E115" s="15">
        <v>12000</v>
      </c>
      <c r="F115" s="15">
        <v>0.25</v>
      </c>
      <c r="G115" s="15">
        <v>10</v>
      </c>
      <c r="H115" s="15">
        <v>13000</v>
      </c>
      <c r="I115" s="15">
        <v>20</v>
      </c>
      <c r="J115" s="15">
        <v>260</v>
      </c>
      <c r="K115" s="15">
        <v>76</v>
      </c>
      <c r="L115" s="15"/>
      <c r="M115" s="253">
        <f t="shared" si="21"/>
        <v>3.6232492903979003</v>
      </c>
      <c r="N115" s="253">
        <f t="shared" si="22"/>
        <v>-1.0457574905606752</v>
      </c>
      <c r="O115" s="253">
        <f t="shared" si="23"/>
        <v>0.90308998699194354</v>
      </c>
      <c r="P115" s="253">
        <f t="shared" si="24"/>
        <v>3.7923916894982539</v>
      </c>
      <c r="Q115" s="253">
        <f t="shared" si="25"/>
        <v>0.91907809237607396</v>
      </c>
      <c r="R115" s="253">
        <f t="shared" si="26"/>
        <v>2.4313637641589874</v>
      </c>
      <c r="S115" s="253">
        <f t="shared" si="27"/>
        <v>1.505149978319906</v>
      </c>
      <c r="AC115" s="135" t="s">
        <v>101</v>
      </c>
      <c r="AD115" s="306">
        <v>246.34228608000001</v>
      </c>
      <c r="AE115" s="210">
        <v>42257.600694444445</v>
      </c>
      <c r="AF115" s="15">
        <v>4200</v>
      </c>
      <c r="AG115" s="15">
        <v>0.09</v>
      </c>
      <c r="AH115" s="15">
        <v>8</v>
      </c>
      <c r="AI115" s="15">
        <v>6200</v>
      </c>
      <c r="AJ115" s="15">
        <v>8.3000000000000007</v>
      </c>
      <c r="AK115" s="15">
        <v>270</v>
      </c>
      <c r="AL115" s="15">
        <v>32</v>
      </c>
    </row>
    <row r="116" spans="1:38" x14ac:dyDescent="0.25">
      <c r="A116" s="135" t="s">
        <v>101</v>
      </c>
      <c r="B116" s="223" t="s">
        <v>225</v>
      </c>
      <c r="C116" s="306">
        <v>213.10933248000001</v>
      </c>
      <c r="D116" s="250">
        <v>42231.711805555555</v>
      </c>
      <c r="E116" s="15">
        <v>12000</v>
      </c>
      <c r="F116" s="15">
        <v>0.36</v>
      </c>
      <c r="G116" s="15">
        <v>6.3</v>
      </c>
      <c r="H116" s="15">
        <v>12000</v>
      </c>
      <c r="I116" s="15">
        <v>6.8</v>
      </c>
      <c r="J116" s="15">
        <v>230</v>
      </c>
      <c r="K116" s="15">
        <v>28</v>
      </c>
      <c r="L116" s="15"/>
      <c r="M116" s="253">
        <f t="shared" si="21"/>
        <v>3.4313637641589874</v>
      </c>
      <c r="N116" s="253">
        <f t="shared" si="22"/>
        <v>-1.5376020021010439</v>
      </c>
      <c r="O116" s="253">
        <f t="shared" si="23"/>
        <v>0.57978359661681012</v>
      </c>
      <c r="P116" s="253">
        <f t="shared" si="24"/>
        <v>3.7242758696007892</v>
      </c>
      <c r="Q116" s="253">
        <f t="shared" si="25"/>
        <v>0.94448267215016868</v>
      </c>
      <c r="R116" s="253">
        <f t="shared" si="26"/>
        <v>2.2304489213782741</v>
      </c>
      <c r="S116" s="253">
        <f t="shared" si="27"/>
        <v>1.2304489213782739</v>
      </c>
      <c r="AC116" s="135" t="s">
        <v>101</v>
      </c>
      <c r="AD116" s="306">
        <v>196.87105152000001</v>
      </c>
      <c r="AE116" s="210">
        <v>42257.644444444442</v>
      </c>
      <c r="AF116" s="15">
        <v>2700</v>
      </c>
      <c r="AG116" s="15">
        <v>2.9000000000000001E-2</v>
      </c>
      <c r="AH116" s="15">
        <v>3.8</v>
      </c>
      <c r="AI116" s="15">
        <v>5300</v>
      </c>
      <c r="AJ116" s="15">
        <v>8.8000000000000007</v>
      </c>
      <c r="AK116" s="15">
        <v>170</v>
      </c>
      <c r="AL116" s="15">
        <v>17</v>
      </c>
    </row>
    <row r="117" spans="1:38" x14ac:dyDescent="0.25">
      <c r="A117" s="135" t="s">
        <v>101</v>
      </c>
      <c r="B117" s="223" t="s">
        <v>226</v>
      </c>
      <c r="C117" s="306">
        <v>213.38292096000001</v>
      </c>
      <c r="D117" s="250">
        <v>42231.511805555558</v>
      </c>
      <c r="E117" s="15">
        <v>17000</v>
      </c>
      <c r="F117" s="15">
        <v>0.39</v>
      </c>
      <c r="G117" s="15">
        <v>12</v>
      </c>
      <c r="H117" s="15">
        <v>16000</v>
      </c>
      <c r="I117" s="15">
        <v>17</v>
      </c>
      <c r="J117" s="15">
        <v>420</v>
      </c>
      <c r="K117" s="15">
        <v>74</v>
      </c>
      <c r="L117" s="15"/>
      <c r="M117" s="253">
        <f t="shared" si="21"/>
        <v>3.4623979978989561</v>
      </c>
      <c r="N117" s="253">
        <f t="shared" si="22"/>
        <v>-1.6020599913279623</v>
      </c>
      <c r="O117" s="253">
        <f t="shared" si="23"/>
        <v>0.66275783168157409</v>
      </c>
      <c r="P117" s="253">
        <f t="shared" si="24"/>
        <v>3.6627578316815739</v>
      </c>
      <c r="Q117" s="253">
        <f t="shared" si="25"/>
        <v>0.66275783168157409</v>
      </c>
      <c r="R117" s="253">
        <f t="shared" si="26"/>
        <v>2.3010299956639813</v>
      </c>
      <c r="S117" s="253">
        <f t="shared" si="27"/>
        <v>1.1760912590556813</v>
      </c>
      <c r="AC117" s="135" t="s">
        <v>101</v>
      </c>
      <c r="AD117" s="306">
        <v>196.87105152000001</v>
      </c>
      <c r="AE117" s="210">
        <v>42257.645833333336</v>
      </c>
      <c r="AF117" s="15">
        <v>2900</v>
      </c>
      <c r="AG117" s="15">
        <v>2.5000000000000001E-2</v>
      </c>
      <c r="AH117" s="15">
        <v>4.5999999999999996</v>
      </c>
      <c r="AI117" s="15">
        <v>4600</v>
      </c>
      <c r="AJ117" s="15">
        <v>4.5999999999999996</v>
      </c>
      <c r="AK117" s="15">
        <v>200</v>
      </c>
      <c r="AL117" s="15">
        <v>15</v>
      </c>
    </row>
    <row r="118" spans="1:38" x14ac:dyDescent="0.25">
      <c r="A118" s="135" t="s">
        <v>101</v>
      </c>
      <c r="B118" s="223" t="s">
        <v>227</v>
      </c>
      <c r="C118" s="306">
        <v>213.43120128000001</v>
      </c>
      <c r="D118" s="250">
        <v>42231.51666666667</v>
      </c>
      <c r="E118" s="15">
        <v>14000</v>
      </c>
      <c r="F118" s="15">
        <v>0.37</v>
      </c>
      <c r="G118" s="15">
        <v>10</v>
      </c>
      <c r="H118" s="15">
        <v>15000</v>
      </c>
      <c r="I118" s="15">
        <v>11</v>
      </c>
      <c r="J118" s="15">
        <v>540</v>
      </c>
      <c r="K118" s="15">
        <v>51</v>
      </c>
      <c r="L118" s="15"/>
      <c r="M118" s="253">
        <f t="shared" si="21"/>
        <v>3.3617278360175931</v>
      </c>
      <c r="N118" s="253">
        <f t="shared" si="22"/>
        <v>-1.494850021680094</v>
      </c>
      <c r="O118" s="253">
        <f t="shared" si="23"/>
        <v>0.46239799789895608</v>
      </c>
      <c r="P118" s="253">
        <f t="shared" si="24"/>
        <v>3.716003343634799</v>
      </c>
      <c r="Q118" s="253">
        <f t="shared" si="25"/>
        <v>0.69897000433601886</v>
      </c>
      <c r="R118" s="253">
        <f t="shared" si="26"/>
        <v>2.1760912590556813</v>
      </c>
      <c r="S118" s="253">
        <f t="shared" si="27"/>
        <v>1.1139433523068367</v>
      </c>
      <c r="AC118" s="135" t="s">
        <v>101</v>
      </c>
      <c r="AD118" s="306">
        <v>204.48324864000003</v>
      </c>
      <c r="AE118" s="210">
        <v>42258.37777777778</v>
      </c>
      <c r="AF118" s="15">
        <v>2300</v>
      </c>
      <c r="AG118" s="15">
        <v>3.2000000000000001E-2</v>
      </c>
      <c r="AH118" s="15">
        <v>2.9</v>
      </c>
      <c r="AI118" s="15">
        <v>5200</v>
      </c>
      <c r="AJ118" s="15">
        <v>5</v>
      </c>
      <c r="AK118" s="15">
        <v>150</v>
      </c>
      <c r="AL118" s="15">
        <v>13</v>
      </c>
    </row>
    <row r="119" spans="1:38" x14ac:dyDescent="0.25">
      <c r="A119" s="135" t="s">
        <v>101</v>
      </c>
      <c r="B119" s="223" t="s">
        <v>228</v>
      </c>
      <c r="C119" s="306">
        <v>214.42899456000004</v>
      </c>
      <c r="D119" s="250">
        <v>42230.654861111114</v>
      </c>
      <c r="E119" s="15">
        <v>4700</v>
      </c>
      <c r="F119" s="15">
        <v>0.32</v>
      </c>
      <c r="G119" s="15">
        <v>4.0999999999999996</v>
      </c>
      <c r="H119" s="15">
        <v>6200</v>
      </c>
      <c r="I119" s="15">
        <v>5.6</v>
      </c>
      <c r="J119" s="15">
        <v>180</v>
      </c>
      <c r="K119" s="15">
        <v>20</v>
      </c>
      <c r="L119" s="15"/>
      <c r="M119" s="253">
        <f t="shared" si="21"/>
        <v>3.3802112417116059</v>
      </c>
      <c r="N119" s="253">
        <f t="shared" si="22"/>
        <v>-1.4436974992327127</v>
      </c>
      <c r="O119" s="253">
        <f t="shared" si="23"/>
        <v>0.46239799789895608</v>
      </c>
      <c r="P119" s="253">
        <f t="shared" si="24"/>
        <v>3.5910646070264991</v>
      </c>
      <c r="Q119" s="253">
        <f t="shared" si="25"/>
        <v>0.86923171973097624</v>
      </c>
      <c r="R119" s="253">
        <f t="shared" si="26"/>
        <v>2.3617278360175931</v>
      </c>
      <c r="S119" s="253">
        <f t="shared" si="27"/>
        <v>1.2041199826559248</v>
      </c>
      <c r="AC119" s="135" t="s">
        <v>101</v>
      </c>
      <c r="AD119" s="306">
        <v>196.05028608000001</v>
      </c>
      <c r="AE119" s="210">
        <v>42258.401388888888</v>
      </c>
      <c r="AF119" s="15">
        <v>2400</v>
      </c>
      <c r="AG119" s="15">
        <v>3.5999999999999997E-2</v>
      </c>
      <c r="AH119" s="15">
        <v>2.9</v>
      </c>
      <c r="AI119" s="15">
        <v>3900</v>
      </c>
      <c r="AJ119" s="15">
        <v>7.4</v>
      </c>
      <c r="AK119" s="15">
        <v>230</v>
      </c>
      <c r="AL119" s="15">
        <v>16</v>
      </c>
    </row>
    <row r="120" spans="1:38" x14ac:dyDescent="0.25">
      <c r="A120" s="135" t="s">
        <v>101</v>
      </c>
      <c r="B120" s="3" t="s">
        <v>229</v>
      </c>
      <c r="C120" s="306">
        <v>214.42899456000004</v>
      </c>
      <c r="D120" s="250">
        <v>42231.4375</v>
      </c>
      <c r="E120" s="15">
        <v>6300</v>
      </c>
      <c r="F120" s="15">
        <v>0.33</v>
      </c>
      <c r="G120" s="15">
        <v>6.7</v>
      </c>
      <c r="H120" s="15">
        <v>7600</v>
      </c>
      <c r="I120" s="15">
        <v>8</v>
      </c>
      <c r="J120" s="15">
        <v>210</v>
      </c>
      <c r="K120" s="15">
        <v>28</v>
      </c>
      <c r="L120" s="15"/>
      <c r="M120" s="253">
        <f t="shared" si="21"/>
        <v>3.3617278360175931</v>
      </c>
      <c r="N120" s="253">
        <f t="shared" si="22"/>
        <v>-1.6382721639824072</v>
      </c>
      <c r="O120" s="253">
        <f t="shared" si="23"/>
        <v>0.44715803134221921</v>
      </c>
      <c r="P120" s="253">
        <f t="shared" si="24"/>
        <v>3.6334684555795866</v>
      </c>
      <c r="Q120" s="253">
        <f t="shared" si="25"/>
        <v>0.50514997831990605</v>
      </c>
      <c r="R120" s="253">
        <f t="shared" si="26"/>
        <v>2.1139433523068369</v>
      </c>
      <c r="S120" s="253">
        <f t="shared" si="27"/>
        <v>1.0413926851582251</v>
      </c>
      <c r="AC120" s="135" t="s">
        <v>101</v>
      </c>
      <c r="AD120" s="306">
        <v>204.48324864000003</v>
      </c>
      <c r="AE120" s="210">
        <v>42259.489583333336</v>
      </c>
      <c r="AF120" s="15">
        <v>2300</v>
      </c>
      <c r="AG120" s="15">
        <v>2.3E-2</v>
      </c>
      <c r="AH120" s="15">
        <v>2.8</v>
      </c>
      <c r="AI120" s="15">
        <v>4300</v>
      </c>
      <c r="AJ120" s="15">
        <v>3.2</v>
      </c>
      <c r="AK120" s="15">
        <v>130</v>
      </c>
      <c r="AL120" s="15">
        <v>11</v>
      </c>
    </row>
    <row r="121" spans="1:38" x14ac:dyDescent="0.25">
      <c r="A121" s="135" t="s">
        <v>101</v>
      </c>
      <c r="B121" s="3" t="s">
        <v>229</v>
      </c>
      <c r="C121" s="306">
        <v>214.42899456000004</v>
      </c>
      <c r="D121" s="250">
        <v>42233.409722222219</v>
      </c>
      <c r="E121" s="15">
        <v>4200</v>
      </c>
      <c r="F121" s="15">
        <v>0.05</v>
      </c>
      <c r="G121" s="15">
        <v>4.3</v>
      </c>
      <c r="H121" s="15">
        <v>6200</v>
      </c>
      <c r="I121" s="15">
        <v>4.2</v>
      </c>
      <c r="J121" s="15">
        <v>150</v>
      </c>
      <c r="K121" s="15">
        <v>16</v>
      </c>
      <c r="L121" s="15"/>
      <c r="M121" s="253">
        <f t="shared" si="21"/>
        <v>3.3979400086720375</v>
      </c>
      <c r="N121" s="253">
        <f t="shared" si="22"/>
        <v>-1.6382721639824072</v>
      </c>
      <c r="O121" s="253">
        <f t="shared" si="23"/>
        <v>0.46239799789895608</v>
      </c>
      <c r="P121" s="253">
        <f t="shared" si="24"/>
        <v>3.6434526764861874</v>
      </c>
      <c r="Q121" s="253">
        <f t="shared" si="25"/>
        <v>0.62324929039790045</v>
      </c>
      <c r="R121" s="253">
        <f t="shared" si="26"/>
        <v>2.2304489213782741</v>
      </c>
      <c r="S121" s="253">
        <f t="shared" si="27"/>
        <v>1.2041199826559248</v>
      </c>
      <c r="AC121" s="135" t="s">
        <v>101</v>
      </c>
      <c r="AD121" s="306">
        <v>196.05028608000001</v>
      </c>
      <c r="AE121" s="210">
        <v>42259.512499999997</v>
      </c>
      <c r="AF121" s="15">
        <v>2500</v>
      </c>
      <c r="AG121" s="15">
        <v>2.3E-2</v>
      </c>
      <c r="AH121" s="15">
        <v>2.9</v>
      </c>
      <c r="AI121" s="15">
        <v>4400</v>
      </c>
      <c r="AJ121" s="15">
        <v>4.2</v>
      </c>
      <c r="AK121" s="15">
        <v>170</v>
      </c>
      <c r="AL121" s="15">
        <v>16</v>
      </c>
    </row>
    <row r="122" spans="1:38" x14ac:dyDescent="0.25">
      <c r="A122" s="135" t="s">
        <v>101</v>
      </c>
      <c r="B122" s="3" t="s">
        <v>229</v>
      </c>
      <c r="C122" s="306">
        <v>214.42899456000004</v>
      </c>
      <c r="D122" s="250">
        <v>42234.486111111109</v>
      </c>
      <c r="E122" s="15">
        <v>3600</v>
      </c>
      <c r="F122" s="15">
        <v>3.6999999999999998E-2</v>
      </c>
      <c r="G122" s="15">
        <v>3.4</v>
      </c>
      <c r="H122" s="15">
        <v>6100</v>
      </c>
      <c r="I122" s="15">
        <v>4.2</v>
      </c>
      <c r="J122" s="15">
        <v>140</v>
      </c>
      <c r="K122" s="15">
        <v>15</v>
      </c>
      <c r="L122" s="15"/>
      <c r="M122" s="253">
        <f t="shared" si="21"/>
        <v>3.3424226808222062</v>
      </c>
      <c r="N122" s="253">
        <f t="shared" si="22"/>
        <v>-1.6777807052660807</v>
      </c>
      <c r="O122" s="253">
        <f t="shared" si="23"/>
        <v>0.36172783601759284</v>
      </c>
      <c r="P122" s="253">
        <f t="shared" si="24"/>
        <v>3.5910646070264991</v>
      </c>
      <c r="Q122" s="253">
        <f t="shared" si="25"/>
        <v>0.51851393987788741</v>
      </c>
      <c r="R122" s="253">
        <f t="shared" si="26"/>
        <v>2.0791812460476247</v>
      </c>
      <c r="S122" s="253">
        <f t="shared" si="27"/>
        <v>1.0413926851582251</v>
      </c>
      <c r="AC122" s="135" t="s">
        <v>101</v>
      </c>
      <c r="AD122" s="306">
        <v>204.48324864000003</v>
      </c>
      <c r="AE122" s="210">
        <v>42260.50277777778</v>
      </c>
      <c r="AF122" s="15">
        <v>2200</v>
      </c>
      <c r="AG122" s="15">
        <v>2.1000000000000001E-2</v>
      </c>
      <c r="AH122" s="15">
        <v>2.2999999999999998</v>
      </c>
      <c r="AI122" s="15">
        <v>3900</v>
      </c>
      <c r="AJ122" s="15">
        <v>3.3</v>
      </c>
      <c r="AK122" s="15">
        <v>120</v>
      </c>
      <c r="AL122" s="15">
        <v>11</v>
      </c>
    </row>
    <row r="123" spans="1:38" x14ac:dyDescent="0.25">
      <c r="A123" s="135" t="s">
        <v>101</v>
      </c>
      <c r="B123" s="3" t="s">
        <v>229</v>
      </c>
      <c r="C123" s="306">
        <v>214.42899456000004</v>
      </c>
      <c r="D123" s="250">
        <v>42235.413194444445</v>
      </c>
      <c r="E123" s="15">
        <v>4000</v>
      </c>
      <c r="F123" s="15">
        <v>5.0999999999999997E-2</v>
      </c>
      <c r="G123" s="15">
        <v>4.5999999999999996</v>
      </c>
      <c r="H123" s="15">
        <v>5500</v>
      </c>
      <c r="I123" s="15">
        <v>5.3</v>
      </c>
      <c r="J123" s="15">
        <v>170</v>
      </c>
      <c r="K123" s="15">
        <v>21</v>
      </c>
      <c r="L123" s="15"/>
      <c r="M123" s="253">
        <f t="shared" si="21"/>
        <v>3.3222192947339191</v>
      </c>
      <c r="N123" s="253">
        <f t="shared" si="22"/>
        <v>-1.4089353929735009</v>
      </c>
      <c r="O123" s="253">
        <f t="shared" si="23"/>
        <v>0.44715803134221921</v>
      </c>
      <c r="P123" s="253">
        <f t="shared" si="24"/>
        <v>3.6127838567197355</v>
      </c>
      <c r="Q123" s="253">
        <f t="shared" si="25"/>
        <v>0.63346845557958653</v>
      </c>
      <c r="R123" s="253">
        <f t="shared" si="26"/>
        <v>2.2041199826559246</v>
      </c>
      <c r="S123" s="253">
        <f t="shared" si="27"/>
        <v>1.1760912590556813</v>
      </c>
      <c r="AC123" s="135" t="s">
        <v>101</v>
      </c>
      <c r="AD123" s="306">
        <v>196.05028608000001</v>
      </c>
      <c r="AE123" s="210">
        <v>42260.518055555556</v>
      </c>
      <c r="AF123" s="15">
        <v>2100</v>
      </c>
      <c r="AG123" s="15">
        <v>3.9E-2</v>
      </c>
      <c r="AH123" s="15">
        <v>2.8</v>
      </c>
      <c r="AI123" s="15">
        <v>4100</v>
      </c>
      <c r="AJ123" s="15">
        <v>4.3</v>
      </c>
      <c r="AK123" s="15">
        <v>160</v>
      </c>
      <c r="AL123" s="15">
        <v>15</v>
      </c>
    </row>
    <row r="124" spans="1:38" x14ac:dyDescent="0.25">
      <c r="A124" s="135" t="s">
        <v>101</v>
      </c>
      <c r="B124" s="3" t="s">
        <v>229</v>
      </c>
      <c r="C124" s="306">
        <v>214.42899456000004</v>
      </c>
      <c r="D124" s="250">
        <v>42240.625</v>
      </c>
      <c r="E124" s="15">
        <v>2900</v>
      </c>
      <c r="F124" s="15">
        <v>2.8000000000000001E-2</v>
      </c>
      <c r="G124" s="15">
        <v>2</v>
      </c>
      <c r="H124" s="15">
        <v>5100</v>
      </c>
      <c r="I124" s="15">
        <v>2.7</v>
      </c>
      <c r="J124" s="15">
        <v>97</v>
      </c>
      <c r="K124" s="15">
        <v>11</v>
      </c>
      <c r="L124" s="15"/>
      <c r="M124" s="253">
        <f t="shared" si="21"/>
        <v>3.3010299956639813</v>
      </c>
      <c r="N124" s="253">
        <f t="shared" si="22"/>
        <v>-1.5228787452803376</v>
      </c>
      <c r="O124" s="253">
        <f t="shared" si="23"/>
        <v>0.34242268082220628</v>
      </c>
      <c r="P124" s="253">
        <f t="shared" si="24"/>
        <v>3.6127838567197355</v>
      </c>
      <c r="Q124" s="253">
        <f t="shared" si="25"/>
        <v>0.55630250076728727</v>
      </c>
      <c r="R124" s="253">
        <f t="shared" si="26"/>
        <v>2.0413926851582249</v>
      </c>
      <c r="S124" s="253">
        <f t="shared" si="27"/>
        <v>1.0413926851582251</v>
      </c>
      <c r="AC124" s="135" t="s">
        <v>101</v>
      </c>
      <c r="AD124" s="306">
        <v>204.48324864000003</v>
      </c>
      <c r="AE124" s="210">
        <v>42261.525694444441</v>
      </c>
      <c r="AF124" s="15">
        <v>2000</v>
      </c>
      <c r="AG124" s="15">
        <v>0.03</v>
      </c>
      <c r="AH124" s="15">
        <v>2.2000000000000002</v>
      </c>
      <c r="AI124" s="15">
        <v>4100</v>
      </c>
      <c r="AJ124" s="15">
        <v>3.6</v>
      </c>
      <c r="AK124" s="15">
        <v>110</v>
      </c>
      <c r="AL124" s="15">
        <v>11</v>
      </c>
    </row>
    <row r="125" spans="1:38" x14ac:dyDescent="0.25">
      <c r="A125" s="135" t="s">
        <v>101</v>
      </c>
      <c r="B125" s="3" t="s">
        <v>229</v>
      </c>
      <c r="C125" s="306">
        <v>214.42899456000004</v>
      </c>
      <c r="D125" s="250">
        <v>42241.537499999999</v>
      </c>
      <c r="E125" s="15">
        <v>2700</v>
      </c>
      <c r="F125" s="15">
        <v>5.6000000000000001E-2</v>
      </c>
      <c r="G125" s="15">
        <v>3.4</v>
      </c>
      <c r="H125" s="15">
        <v>4000</v>
      </c>
      <c r="I125" s="15">
        <v>5.3</v>
      </c>
      <c r="J125" s="15">
        <v>220</v>
      </c>
      <c r="K125" s="15">
        <v>21</v>
      </c>
      <c r="L125" s="15"/>
      <c r="M125" s="253">
        <f t="shared" si="21"/>
        <v>3.255272505103306</v>
      </c>
      <c r="N125" s="253">
        <f t="shared" si="22"/>
        <v>-1.6989700043360187</v>
      </c>
      <c r="O125" s="253">
        <f t="shared" si="23"/>
        <v>0.36172783601759284</v>
      </c>
      <c r="P125" s="253">
        <f t="shared" si="24"/>
        <v>3.5440680443502757</v>
      </c>
      <c r="Q125" s="253">
        <f t="shared" si="25"/>
        <v>0.6020599913279624</v>
      </c>
      <c r="R125" s="253">
        <f t="shared" si="26"/>
        <v>2.1760912590556813</v>
      </c>
      <c r="S125" s="253">
        <f t="shared" si="27"/>
        <v>1.1760912590556813</v>
      </c>
      <c r="AC125" s="135" t="s">
        <v>101</v>
      </c>
      <c r="AD125" s="306">
        <v>196.05028608000001</v>
      </c>
      <c r="AE125" s="210">
        <v>42261.544444444444</v>
      </c>
      <c r="AF125" s="15">
        <v>1800</v>
      </c>
      <c r="AG125" s="15">
        <v>0.02</v>
      </c>
      <c r="AH125" s="15">
        <v>2.2999999999999998</v>
      </c>
      <c r="AI125" s="15">
        <v>3500</v>
      </c>
      <c r="AJ125" s="15">
        <v>4</v>
      </c>
      <c r="AK125" s="15">
        <v>150</v>
      </c>
      <c r="AL125" s="15">
        <v>15</v>
      </c>
    </row>
    <row r="126" spans="1:38" x14ac:dyDescent="0.25">
      <c r="A126" s="135" t="s">
        <v>101</v>
      </c>
      <c r="B126" s="3" t="s">
        <v>229</v>
      </c>
      <c r="C126" s="306">
        <v>214.42899456000004</v>
      </c>
      <c r="D126" s="250">
        <v>42242</v>
      </c>
      <c r="E126" s="15">
        <v>3000</v>
      </c>
      <c r="F126" s="15">
        <v>4.4999999999999998E-2</v>
      </c>
      <c r="G126" s="15">
        <v>2.7</v>
      </c>
      <c r="H126" s="15">
        <v>4900</v>
      </c>
      <c r="I126" s="15">
        <v>3.6</v>
      </c>
      <c r="J126" s="15">
        <v>150</v>
      </c>
      <c r="K126" s="15">
        <v>16</v>
      </c>
      <c r="L126" s="15"/>
      <c r="M126" s="253">
        <f t="shared" si="21"/>
        <v>3.5563025007672873</v>
      </c>
      <c r="N126" s="253">
        <f t="shared" si="22"/>
        <v>-1.3767507096020994</v>
      </c>
      <c r="O126" s="253">
        <f t="shared" si="23"/>
        <v>0.53147891704225514</v>
      </c>
      <c r="P126" s="253">
        <f t="shared" si="24"/>
        <v>3.6989700043360187</v>
      </c>
      <c r="Q126" s="253">
        <f t="shared" si="25"/>
        <v>0.62324929039790045</v>
      </c>
      <c r="R126" s="253">
        <f t="shared" si="26"/>
        <v>2.3222192947339191</v>
      </c>
      <c r="S126" s="253">
        <f t="shared" si="27"/>
        <v>1.2787536009528289</v>
      </c>
      <c r="AC126" s="135" t="s">
        <v>101</v>
      </c>
      <c r="AD126" s="306">
        <v>204.48324864000003</v>
      </c>
      <c r="AE126" s="210">
        <v>42262.402777777781</v>
      </c>
      <c r="AF126" s="15">
        <v>3600</v>
      </c>
      <c r="AG126" s="15">
        <v>4.2000000000000003E-2</v>
      </c>
      <c r="AH126" s="15">
        <v>3.4</v>
      </c>
      <c r="AI126" s="15">
        <v>5000</v>
      </c>
      <c r="AJ126" s="15">
        <v>4.2</v>
      </c>
      <c r="AK126" s="15">
        <v>210</v>
      </c>
      <c r="AL126" s="15">
        <v>19</v>
      </c>
    </row>
    <row r="127" spans="1:38" x14ac:dyDescent="0.25">
      <c r="A127" s="135" t="s">
        <v>101</v>
      </c>
      <c r="B127" s="3" t="s">
        <v>229</v>
      </c>
      <c r="C127" s="306">
        <v>214.42899456000004</v>
      </c>
      <c r="D127" s="250">
        <v>42327.416666666664</v>
      </c>
      <c r="E127" s="15">
        <v>5800</v>
      </c>
      <c r="F127" s="15">
        <v>5.8999999999999997E-2</v>
      </c>
      <c r="G127" s="15">
        <v>6.8</v>
      </c>
      <c r="H127" s="15">
        <v>9400</v>
      </c>
      <c r="I127" s="15">
        <v>4.8</v>
      </c>
      <c r="J127" s="15">
        <v>230</v>
      </c>
      <c r="K127" s="15">
        <v>25</v>
      </c>
      <c r="L127" s="15"/>
      <c r="M127" s="253">
        <f t="shared" si="21"/>
        <v>3.3979400086720375</v>
      </c>
      <c r="N127" s="253">
        <f t="shared" si="22"/>
        <v>-1.5086383061657274</v>
      </c>
      <c r="O127" s="253">
        <f t="shared" si="23"/>
        <v>0.41497334797081797</v>
      </c>
      <c r="P127" s="253">
        <f t="shared" si="24"/>
        <v>3.5563025007672873</v>
      </c>
      <c r="Q127" s="253">
        <f t="shared" si="25"/>
        <v>0.54406804435027567</v>
      </c>
      <c r="R127" s="253">
        <f t="shared" si="26"/>
        <v>2.2041199826559246</v>
      </c>
      <c r="S127" s="253">
        <f t="shared" si="27"/>
        <v>1.146128035678238</v>
      </c>
      <c r="AC127" s="135" t="s">
        <v>101</v>
      </c>
      <c r="AD127" s="306">
        <v>196.05028608000001</v>
      </c>
      <c r="AE127" s="210">
        <v>42262.427083333336</v>
      </c>
      <c r="AF127" s="15">
        <v>2500</v>
      </c>
      <c r="AG127" s="15">
        <v>3.1E-2</v>
      </c>
      <c r="AH127" s="15">
        <v>2.6</v>
      </c>
      <c r="AI127" s="15">
        <v>3600</v>
      </c>
      <c r="AJ127" s="15">
        <v>3.5</v>
      </c>
      <c r="AK127" s="15">
        <v>160</v>
      </c>
      <c r="AL127" s="15">
        <v>14</v>
      </c>
    </row>
    <row r="128" spans="1:38" x14ac:dyDescent="0.25">
      <c r="A128" s="135" t="s">
        <v>101</v>
      </c>
      <c r="B128" s="3" t="s">
        <v>230</v>
      </c>
      <c r="C128" s="306">
        <v>227.65780224000002</v>
      </c>
      <c r="D128" s="250">
        <v>42230.700694444444</v>
      </c>
      <c r="E128" s="15">
        <v>3400</v>
      </c>
      <c r="F128" s="15">
        <v>0.33</v>
      </c>
      <c r="G128" s="15">
        <v>4.2</v>
      </c>
      <c r="H128" s="15">
        <v>5200</v>
      </c>
      <c r="I128" s="15">
        <v>6.9</v>
      </c>
      <c r="J128" s="15">
        <v>230</v>
      </c>
      <c r="K128" s="15">
        <v>32</v>
      </c>
      <c r="L128" s="15"/>
      <c r="M128" s="253">
        <f t="shared" si="21"/>
        <v>3.8388490907372552</v>
      </c>
      <c r="N128" s="253">
        <f t="shared" si="22"/>
        <v>-1</v>
      </c>
      <c r="O128" s="253">
        <f t="shared" si="23"/>
        <v>0.93449845124356767</v>
      </c>
      <c r="P128" s="253">
        <f t="shared" si="24"/>
        <v>3.9493900066449128</v>
      </c>
      <c r="Q128" s="253">
        <f t="shared" si="25"/>
        <v>0.87506126339170009</v>
      </c>
      <c r="R128" s="253">
        <f t="shared" si="26"/>
        <v>2.3979400086720375</v>
      </c>
      <c r="S128" s="253">
        <f t="shared" si="27"/>
        <v>1.505149978319906</v>
      </c>
      <c r="AC128" s="135" t="s">
        <v>101</v>
      </c>
      <c r="AD128" s="306">
        <v>295.82961408</v>
      </c>
      <c r="AE128" s="210">
        <v>42262.506944444445</v>
      </c>
      <c r="AF128" s="15">
        <v>6900</v>
      </c>
      <c r="AG128" s="15">
        <v>0.1</v>
      </c>
      <c r="AH128" s="15">
        <v>8.6</v>
      </c>
      <c r="AI128" s="15">
        <v>8900</v>
      </c>
      <c r="AJ128" s="15">
        <v>7.5</v>
      </c>
      <c r="AK128" s="15">
        <v>250</v>
      </c>
      <c r="AL128" s="15">
        <v>32</v>
      </c>
    </row>
    <row r="129" spans="1:38" x14ac:dyDescent="0.25">
      <c r="A129" s="135" t="s">
        <v>101</v>
      </c>
      <c r="B129" s="3" t="s">
        <v>230</v>
      </c>
      <c r="C129" s="306">
        <v>227.65780224000002</v>
      </c>
      <c r="D129" s="250">
        <v>42231.496527777781</v>
      </c>
      <c r="E129" s="15">
        <v>2800</v>
      </c>
      <c r="F129" s="15">
        <v>0.31</v>
      </c>
      <c r="G129" s="15">
        <v>3.8</v>
      </c>
      <c r="H129" s="15">
        <v>5800</v>
      </c>
      <c r="I129" s="15">
        <v>13</v>
      </c>
      <c r="J129" s="15">
        <v>220</v>
      </c>
      <c r="K129" s="15">
        <v>28</v>
      </c>
      <c r="L129" s="15"/>
      <c r="M129" s="253">
        <f t="shared" si="21"/>
        <v>3.6627578316815739</v>
      </c>
      <c r="N129" s="253">
        <f t="shared" si="22"/>
        <v>-1.2441251443275085</v>
      </c>
      <c r="O129" s="253">
        <f t="shared" si="23"/>
        <v>0.74036268949424389</v>
      </c>
      <c r="P129" s="253">
        <f t="shared" si="24"/>
        <v>3.8388490907372552</v>
      </c>
      <c r="Q129" s="253">
        <f t="shared" si="25"/>
        <v>0.79934054945358168</v>
      </c>
      <c r="R129" s="253">
        <f t="shared" si="26"/>
        <v>2.3222192947339191</v>
      </c>
      <c r="S129" s="253">
        <f t="shared" si="27"/>
        <v>1.3979400086720377</v>
      </c>
      <c r="AC129" s="135" t="s">
        <v>101</v>
      </c>
      <c r="AD129" s="306">
        <v>246.34228608000001</v>
      </c>
      <c r="AE129" s="210">
        <v>42262.552083333336</v>
      </c>
      <c r="AF129" s="15">
        <v>4600</v>
      </c>
      <c r="AG129" s="15">
        <v>5.7000000000000002E-2</v>
      </c>
      <c r="AH129" s="15">
        <v>5.5</v>
      </c>
      <c r="AI129" s="15">
        <v>6900</v>
      </c>
      <c r="AJ129" s="15">
        <v>6.3</v>
      </c>
      <c r="AK129" s="15">
        <v>210</v>
      </c>
      <c r="AL129" s="15">
        <v>25</v>
      </c>
    </row>
    <row r="130" spans="1:38" x14ac:dyDescent="0.25">
      <c r="A130" s="135" t="s">
        <v>101</v>
      </c>
      <c r="B130" s="3" t="s">
        <v>230</v>
      </c>
      <c r="C130" s="306">
        <v>227.65780224000002</v>
      </c>
      <c r="D130" s="250">
        <v>42233.381944444445</v>
      </c>
      <c r="E130" s="15">
        <v>4900</v>
      </c>
      <c r="F130" s="15">
        <v>5.1999999999999998E-2</v>
      </c>
      <c r="G130" s="15">
        <v>5.7</v>
      </c>
      <c r="H130" s="15">
        <v>7100</v>
      </c>
      <c r="I130" s="15">
        <v>6</v>
      </c>
      <c r="J130" s="15">
        <v>190</v>
      </c>
      <c r="K130" s="15">
        <v>23</v>
      </c>
      <c r="L130" s="15"/>
      <c r="M130" s="253">
        <f t="shared" si="21"/>
        <v>3.4313637641589874</v>
      </c>
      <c r="N130" s="253">
        <f t="shared" si="22"/>
        <v>-1.5528419686577808</v>
      </c>
      <c r="O130" s="253">
        <f t="shared" si="23"/>
        <v>0.53147891704225514</v>
      </c>
      <c r="P130" s="253">
        <f t="shared" si="24"/>
        <v>3.6720978579357175</v>
      </c>
      <c r="Q130" s="253">
        <f t="shared" si="25"/>
        <v>0.64345267648618742</v>
      </c>
      <c r="R130" s="253">
        <f t="shared" si="26"/>
        <v>2.1760912590556813</v>
      </c>
      <c r="S130" s="253">
        <f t="shared" si="27"/>
        <v>1.1139433523068367</v>
      </c>
      <c r="AC130" s="135" t="s">
        <v>101</v>
      </c>
      <c r="AD130" s="306">
        <v>196.87105152000001</v>
      </c>
      <c r="AE130" s="210">
        <v>42262.583333333336</v>
      </c>
      <c r="AF130" s="15">
        <v>2700</v>
      </c>
      <c r="AG130" s="15">
        <v>2.8000000000000001E-2</v>
      </c>
      <c r="AH130" s="15">
        <v>3.4</v>
      </c>
      <c r="AI130" s="15">
        <v>4700</v>
      </c>
      <c r="AJ130" s="15">
        <v>4.4000000000000004</v>
      </c>
      <c r="AK130" s="15">
        <v>150</v>
      </c>
      <c r="AL130" s="15">
        <v>13</v>
      </c>
    </row>
    <row r="131" spans="1:38" x14ac:dyDescent="0.25">
      <c r="A131" s="135" t="s">
        <v>101</v>
      </c>
      <c r="B131" s="3" t="s">
        <v>230</v>
      </c>
      <c r="C131" s="306">
        <v>227.65780224000002</v>
      </c>
      <c r="D131" s="250">
        <v>42234.461111111108</v>
      </c>
      <c r="E131" s="15">
        <v>5200</v>
      </c>
      <c r="F131" s="15">
        <v>4.1000000000000002E-2</v>
      </c>
      <c r="G131" s="15">
        <v>5.9</v>
      </c>
      <c r="H131" s="15">
        <v>8000</v>
      </c>
      <c r="I131" s="15">
        <v>6.2</v>
      </c>
      <c r="J131" s="15">
        <v>200</v>
      </c>
      <c r="K131" s="15">
        <v>24</v>
      </c>
      <c r="L131" s="15"/>
      <c r="M131" s="253">
        <f t="shared" si="21"/>
        <v>3.4313637641589874</v>
      </c>
      <c r="N131" s="253">
        <f t="shared" si="22"/>
        <v>-1.6777807052660807</v>
      </c>
      <c r="O131" s="253">
        <f t="shared" si="23"/>
        <v>0.50514997831990605</v>
      </c>
      <c r="P131" s="253">
        <f t="shared" si="24"/>
        <v>3.5797835966168101</v>
      </c>
      <c r="Q131" s="253">
        <f t="shared" si="25"/>
        <v>0.67209785793571752</v>
      </c>
      <c r="R131" s="253">
        <f t="shared" si="26"/>
        <v>2.3424226808222062</v>
      </c>
      <c r="S131" s="253">
        <f t="shared" si="27"/>
        <v>1.3222192947339193</v>
      </c>
      <c r="AC131" s="135" t="s">
        <v>101</v>
      </c>
      <c r="AD131" s="306">
        <v>196.05028608000001</v>
      </c>
      <c r="AE131" s="210">
        <v>42263.472222222219</v>
      </c>
      <c r="AF131" s="15">
        <v>2700</v>
      </c>
      <c r="AG131" s="15">
        <v>2.1000000000000001E-2</v>
      </c>
      <c r="AH131" s="15">
        <v>3.2</v>
      </c>
      <c r="AI131" s="15">
        <v>3800</v>
      </c>
      <c r="AJ131" s="15">
        <v>4.7</v>
      </c>
      <c r="AK131" s="15">
        <v>220</v>
      </c>
      <c r="AL131" s="15">
        <v>21</v>
      </c>
    </row>
    <row r="132" spans="1:38" x14ac:dyDescent="0.25">
      <c r="A132" s="135" t="s">
        <v>101</v>
      </c>
      <c r="B132" s="3" t="s">
        <v>230</v>
      </c>
      <c r="C132" s="306">
        <v>227.65780224000002</v>
      </c>
      <c r="D132" s="250">
        <v>42235.385416666664</v>
      </c>
      <c r="E132" s="15">
        <v>3800</v>
      </c>
      <c r="F132" s="15">
        <v>4.9000000000000002E-2</v>
      </c>
      <c r="G132" s="15">
        <v>4.7</v>
      </c>
      <c r="H132" s="15">
        <v>5500</v>
      </c>
      <c r="I132" s="15">
        <v>5.5</v>
      </c>
      <c r="J132" s="15">
        <v>170</v>
      </c>
      <c r="K132" s="15">
        <v>20</v>
      </c>
      <c r="L132" s="15"/>
      <c r="M132" s="253">
        <f t="shared" si="21"/>
        <v>3.5051499783199058</v>
      </c>
      <c r="N132" s="253">
        <f t="shared" si="22"/>
        <v>-1.585026652029182</v>
      </c>
      <c r="O132" s="253">
        <f t="shared" si="23"/>
        <v>0.57978359661681012</v>
      </c>
      <c r="P132" s="253">
        <f t="shared" si="24"/>
        <v>3.7242758696007892</v>
      </c>
      <c r="Q132" s="253">
        <f t="shared" si="25"/>
        <v>0.68124123737558717</v>
      </c>
      <c r="R132" s="253">
        <f t="shared" si="26"/>
        <v>2.2304489213782741</v>
      </c>
      <c r="S132" s="253">
        <f t="shared" si="27"/>
        <v>1.2304489213782739</v>
      </c>
      <c r="AC132" s="135" t="s">
        <v>101</v>
      </c>
      <c r="AD132" s="306">
        <v>204.48324864000003</v>
      </c>
      <c r="AE132" s="210">
        <v>42263.496527777781</v>
      </c>
      <c r="AF132" s="15">
        <v>3200</v>
      </c>
      <c r="AG132" s="15">
        <v>2.5999999999999999E-2</v>
      </c>
      <c r="AH132" s="15">
        <v>3.8</v>
      </c>
      <c r="AI132" s="15">
        <v>5300</v>
      </c>
      <c r="AJ132" s="15">
        <v>4.8</v>
      </c>
      <c r="AK132" s="15">
        <v>170</v>
      </c>
      <c r="AL132" s="15">
        <v>17</v>
      </c>
    </row>
    <row r="133" spans="1:38" x14ac:dyDescent="0.25">
      <c r="A133" s="135" t="s">
        <v>101</v>
      </c>
      <c r="B133" s="3" t="s">
        <v>230</v>
      </c>
      <c r="C133" s="306">
        <v>227.65780224000002</v>
      </c>
      <c r="D133" s="250">
        <v>42240.588194444441</v>
      </c>
      <c r="E133" s="15">
        <v>3300</v>
      </c>
      <c r="F133" s="15">
        <v>1.7000000000000001E-2</v>
      </c>
      <c r="G133" s="15">
        <v>3.4</v>
      </c>
      <c r="H133" s="15">
        <v>5000</v>
      </c>
      <c r="I133" s="15">
        <v>3.9</v>
      </c>
      <c r="J133" s="15">
        <v>130</v>
      </c>
      <c r="K133" s="15">
        <v>15</v>
      </c>
      <c r="L133" s="15"/>
      <c r="M133" s="253">
        <f t="shared" si="21"/>
        <v>3.4149733479708178</v>
      </c>
      <c r="N133" s="253">
        <f t="shared" si="22"/>
        <v>-1.8239087409443189</v>
      </c>
      <c r="O133" s="253">
        <f t="shared" si="23"/>
        <v>0.38021124171160603</v>
      </c>
      <c r="P133" s="253">
        <f t="shared" si="24"/>
        <v>3.5910646070264991</v>
      </c>
      <c r="Q133" s="253">
        <f t="shared" si="25"/>
        <v>0.53147891704225514</v>
      </c>
      <c r="R133" s="253">
        <f t="shared" si="26"/>
        <v>2.1461280356782382</v>
      </c>
      <c r="S133" s="253">
        <f t="shared" si="27"/>
        <v>1.0413926851582251</v>
      </c>
      <c r="AC133" s="135" t="s">
        <v>101</v>
      </c>
      <c r="AD133" s="306">
        <v>196.87105152000001</v>
      </c>
      <c r="AE133" s="210">
        <v>42264.378472222219</v>
      </c>
      <c r="AF133" s="15">
        <v>2600</v>
      </c>
      <c r="AG133" s="15">
        <v>1.4999999999999999E-2</v>
      </c>
      <c r="AH133" s="15">
        <v>2.4</v>
      </c>
      <c r="AI133" s="15">
        <v>3900</v>
      </c>
      <c r="AJ133" s="15">
        <v>3.4</v>
      </c>
      <c r="AK133" s="15">
        <v>140</v>
      </c>
      <c r="AL133" s="15">
        <v>11</v>
      </c>
    </row>
    <row r="134" spans="1:38" x14ac:dyDescent="0.25">
      <c r="A134" s="135" t="s">
        <v>101</v>
      </c>
      <c r="B134" s="3" t="s">
        <v>230</v>
      </c>
      <c r="C134" s="306">
        <v>227.65780224000002</v>
      </c>
      <c r="D134" s="250">
        <v>42241.507638888892</v>
      </c>
      <c r="E134" s="15">
        <v>4100</v>
      </c>
      <c r="F134" s="15">
        <v>6.4000000000000001E-2</v>
      </c>
      <c r="G134" s="15">
        <v>5</v>
      </c>
      <c r="H134" s="15">
        <v>6500</v>
      </c>
      <c r="I134" s="15">
        <v>5.4</v>
      </c>
      <c r="J134" s="15">
        <v>190</v>
      </c>
      <c r="K134" s="15">
        <v>22</v>
      </c>
      <c r="L134" s="15"/>
      <c r="M134" s="253">
        <f t="shared" ref="M134:M165" si="28">LOG(AF134)</f>
        <v>3.6720978579357175</v>
      </c>
      <c r="N134" s="253">
        <f t="shared" ref="N134:N165" si="29">LOG(AG134)</f>
        <v>-1.2518119729937995</v>
      </c>
      <c r="O134" s="253">
        <f t="shared" ref="O134:O165" si="30">LOG(AH134)</f>
        <v>0.77085201164214423</v>
      </c>
      <c r="P134" s="253">
        <f t="shared" ref="P134:P165" si="31">LOG(AI134)</f>
        <v>3.8325089127062362</v>
      </c>
      <c r="Q134" s="253">
        <f t="shared" ref="Q134:Q165" si="32">LOG(AJ134)</f>
        <v>0.77815125038364363</v>
      </c>
      <c r="R134" s="253">
        <f t="shared" ref="R134:R165" si="33">LOG(AK134)</f>
        <v>2.3979400086720375</v>
      </c>
      <c r="S134" s="253">
        <f t="shared" ref="S134:S165" si="34">LOG(AL134)</f>
        <v>1.3424226808222062</v>
      </c>
      <c r="AC134" s="135" t="s">
        <v>101</v>
      </c>
      <c r="AD134" s="306">
        <v>246.34228608000001</v>
      </c>
      <c r="AE134" s="210">
        <v>42264.420138888891</v>
      </c>
      <c r="AF134" s="15">
        <v>4700</v>
      </c>
      <c r="AG134" s="15">
        <v>5.6000000000000001E-2</v>
      </c>
      <c r="AH134" s="15">
        <v>5.9</v>
      </c>
      <c r="AI134" s="15">
        <v>6800</v>
      </c>
      <c r="AJ134" s="15">
        <v>6</v>
      </c>
      <c r="AK134" s="15">
        <v>250</v>
      </c>
      <c r="AL134" s="15">
        <v>22</v>
      </c>
    </row>
    <row r="135" spans="1:38" x14ac:dyDescent="0.25">
      <c r="A135" s="135" t="s">
        <v>101</v>
      </c>
      <c r="B135" s="3" t="s">
        <v>230</v>
      </c>
      <c r="C135" s="306">
        <v>227.65780224000002</v>
      </c>
      <c r="D135" s="250">
        <v>42242</v>
      </c>
      <c r="E135" s="15">
        <v>4100</v>
      </c>
      <c r="F135" s="15">
        <v>3.6999999999999998E-2</v>
      </c>
      <c r="G135" s="15">
        <v>3.7</v>
      </c>
      <c r="H135" s="15">
        <v>6300</v>
      </c>
      <c r="I135" s="15">
        <v>4.5</v>
      </c>
      <c r="J135" s="15">
        <v>130</v>
      </c>
      <c r="K135" s="15">
        <v>15</v>
      </c>
      <c r="L135" s="15"/>
      <c r="M135" s="253">
        <f t="shared" si="28"/>
        <v>3.3424226808222062</v>
      </c>
      <c r="N135" s="253">
        <f t="shared" si="29"/>
        <v>-1.4202164033831899</v>
      </c>
      <c r="O135" s="253">
        <f t="shared" si="30"/>
        <v>0.43136376415898736</v>
      </c>
      <c r="P135" s="253">
        <f t="shared" si="31"/>
        <v>3.5910646070264991</v>
      </c>
      <c r="Q135" s="253">
        <f t="shared" si="32"/>
        <v>0.6020599913279624</v>
      </c>
      <c r="R135" s="253">
        <f t="shared" si="33"/>
        <v>2.3222192947339191</v>
      </c>
      <c r="S135" s="253">
        <f t="shared" si="34"/>
        <v>1.255272505103306</v>
      </c>
      <c r="AC135" s="135" t="s">
        <v>101</v>
      </c>
      <c r="AD135" s="306">
        <v>196.05028608000001</v>
      </c>
      <c r="AE135" s="210">
        <v>42264.458333333336</v>
      </c>
      <c r="AF135" s="15">
        <v>2200</v>
      </c>
      <c r="AG135" s="15">
        <v>3.7999999999999999E-2</v>
      </c>
      <c r="AH135" s="15">
        <v>2.7</v>
      </c>
      <c r="AI135" s="15">
        <v>3900</v>
      </c>
      <c r="AJ135" s="15">
        <v>4</v>
      </c>
      <c r="AK135" s="15">
        <v>210</v>
      </c>
      <c r="AL135" s="15">
        <v>18</v>
      </c>
    </row>
    <row r="136" spans="1:38" x14ac:dyDescent="0.25">
      <c r="A136" s="135" t="s">
        <v>101</v>
      </c>
      <c r="B136" s="3" t="s">
        <v>230</v>
      </c>
      <c r="C136" s="306">
        <v>227.65780224000002</v>
      </c>
      <c r="D136" s="250">
        <v>42243.444444444445</v>
      </c>
      <c r="E136" s="15">
        <v>4400</v>
      </c>
      <c r="F136" s="15">
        <v>5.5E-2</v>
      </c>
      <c r="G136" s="15">
        <v>5.6</v>
      </c>
      <c r="H136" s="15">
        <v>6800</v>
      </c>
      <c r="I136" s="15">
        <v>6.2</v>
      </c>
      <c r="J136" s="15">
        <v>200</v>
      </c>
      <c r="K136" s="15">
        <v>22</v>
      </c>
      <c r="L136" s="15"/>
      <c r="M136" s="253">
        <f t="shared" si="28"/>
        <v>3.6627578316815739</v>
      </c>
      <c r="N136" s="253">
        <f t="shared" si="29"/>
        <v>-1.3372421683184259</v>
      </c>
      <c r="O136" s="253">
        <f t="shared" si="30"/>
        <v>0.66275783168157409</v>
      </c>
      <c r="P136" s="253">
        <f t="shared" si="31"/>
        <v>3.8325089127062362</v>
      </c>
      <c r="Q136" s="253">
        <f t="shared" si="32"/>
        <v>0.7323937598229685</v>
      </c>
      <c r="R136" s="253">
        <f t="shared" si="33"/>
        <v>2.3222192947339191</v>
      </c>
      <c r="S136" s="253">
        <f t="shared" si="34"/>
        <v>1.3010299956639813</v>
      </c>
      <c r="AC136" s="135" t="s">
        <v>101</v>
      </c>
      <c r="AD136" s="306">
        <v>204.48324864000003</v>
      </c>
      <c r="AE136" s="210">
        <v>42264.482638888891</v>
      </c>
      <c r="AF136" s="15">
        <v>4600</v>
      </c>
      <c r="AG136" s="15">
        <v>4.5999999999999999E-2</v>
      </c>
      <c r="AH136" s="15">
        <v>4.5999999999999996</v>
      </c>
      <c r="AI136" s="15">
        <v>6800</v>
      </c>
      <c r="AJ136" s="15">
        <v>5.4</v>
      </c>
      <c r="AK136" s="15">
        <v>210</v>
      </c>
      <c r="AL136" s="15">
        <v>20</v>
      </c>
    </row>
    <row r="137" spans="1:38" x14ac:dyDescent="0.25">
      <c r="A137" s="135" t="s">
        <v>101</v>
      </c>
      <c r="B137" s="3" t="s">
        <v>231</v>
      </c>
      <c r="C137" s="306">
        <v>246.34228608000001</v>
      </c>
      <c r="D137" s="250">
        <v>42230.381944444445</v>
      </c>
      <c r="E137" s="15">
        <v>4100</v>
      </c>
      <c r="F137" s="15">
        <v>0.32</v>
      </c>
      <c r="G137" s="15">
        <v>5.5</v>
      </c>
      <c r="H137" s="15">
        <v>14000</v>
      </c>
      <c r="I137" s="15">
        <v>12</v>
      </c>
      <c r="J137" s="15">
        <v>260</v>
      </c>
      <c r="K137" s="15">
        <v>37</v>
      </c>
      <c r="L137" s="15"/>
      <c r="M137" s="253">
        <f t="shared" si="28"/>
        <v>3.7853298350107671</v>
      </c>
      <c r="N137" s="253">
        <f t="shared" si="29"/>
        <v>-1.1804560644581312</v>
      </c>
      <c r="O137" s="253">
        <f t="shared" si="30"/>
        <v>0.79934054945358168</v>
      </c>
      <c r="P137" s="253">
        <f t="shared" si="31"/>
        <v>3.9190780923760737</v>
      </c>
      <c r="Q137" s="253">
        <f t="shared" si="32"/>
        <v>0.84509804001425681</v>
      </c>
      <c r="R137" s="253">
        <f t="shared" si="33"/>
        <v>2.3802112417116059</v>
      </c>
      <c r="S137" s="253">
        <f t="shared" si="34"/>
        <v>1.4471580313422192</v>
      </c>
      <c r="AC137" s="135" t="s">
        <v>101</v>
      </c>
      <c r="AD137" s="306">
        <v>295.82961408</v>
      </c>
      <c r="AE137" s="210">
        <v>42264.503472222219</v>
      </c>
      <c r="AF137" s="15">
        <v>6100</v>
      </c>
      <c r="AG137" s="15">
        <v>6.6000000000000003E-2</v>
      </c>
      <c r="AH137" s="15">
        <v>6.3</v>
      </c>
      <c r="AI137" s="15">
        <v>8300</v>
      </c>
      <c r="AJ137" s="15">
        <v>7</v>
      </c>
      <c r="AK137" s="15">
        <v>240</v>
      </c>
      <c r="AL137" s="15">
        <v>28</v>
      </c>
    </row>
    <row r="138" spans="1:38" x14ac:dyDescent="0.25">
      <c r="A138" s="135" t="s">
        <v>101</v>
      </c>
      <c r="B138" s="3" t="s">
        <v>231</v>
      </c>
      <c r="C138" s="306">
        <v>246.34228608000001</v>
      </c>
      <c r="D138" s="250">
        <v>42231.378472222219</v>
      </c>
      <c r="E138" s="15">
        <v>4800</v>
      </c>
      <c r="F138" s="15">
        <v>0.33</v>
      </c>
      <c r="G138" s="15">
        <v>4.9000000000000004</v>
      </c>
      <c r="H138" s="15">
        <v>6700</v>
      </c>
      <c r="I138" s="15">
        <v>6.6</v>
      </c>
      <c r="J138" s="15">
        <v>200</v>
      </c>
      <c r="K138" s="15">
        <v>26</v>
      </c>
      <c r="L138" s="15"/>
      <c r="M138" s="253">
        <f t="shared" si="28"/>
        <v>3.4313637641589874</v>
      </c>
      <c r="N138" s="253">
        <f t="shared" si="29"/>
        <v>-1.2839966563652008</v>
      </c>
      <c r="O138" s="253">
        <f t="shared" si="30"/>
        <v>0.47712125471966244</v>
      </c>
      <c r="P138" s="253">
        <f t="shared" si="31"/>
        <v>3.5910646070264991</v>
      </c>
      <c r="Q138" s="253">
        <f t="shared" si="32"/>
        <v>0.69019608002851374</v>
      </c>
      <c r="R138" s="253">
        <f t="shared" si="33"/>
        <v>2.2787536009528289</v>
      </c>
      <c r="S138" s="253">
        <f t="shared" si="34"/>
        <v>1.3424226808222062</v>
      </c>
      <c r="AC138" s="135" t="s">
        <v>101</v>
      </c>
      <c r="AD138" s="306">
        <v>196.05028608000001</v>
      </c>
      <c r="AE138" s="210">
        <v>42265.59375</v>
      </c>
      <c r="AF138" s="15">
        <v>2700</v>
      </c>
      <c r="AG138" s="15">
        <v>5.1999999999999998E-2</v>
      </c>
      <c r="AH138" s="15">
        <v>3</v>
      </c>
      <c r="AI138" s="15">
        <v>3900</v>
      </c>
      <c r="AJ138" s="15">
        <v>4.9000000000000004</v>
      </c>
      <c r="AK138" s="15">
        <v>190</v>
      </c>
      <c r="AL138" s="15">
        <v>22</v>
      </c>
    </row>
    <row r="139" spans="1:38" x14ac:dyDescent="0.25">
      <c r="A139" s="135" t="s">
        <v>101</v>
      </c>
      <c r="B139" s="3" t="s">
        <v>231</v>
      </c>
      <c r="C139" s="306">
        <v>246.34228608000001</v>
      </c>
      <c r="D139" s="250">
        <v>42231.378472222219</v>
      </c>
      <c r="E139" s="15">
        <v>6600</v>
      </c>
      <c r="F139" s="15">
        <v>0.33</v>
      </c>
      <c r="G139" s="15">
        <v>5.9</v>
      </c>
      <c r="H139" s="15">
        <v>7600</v>
      </c>
      <c r="I139" s="15">
        <v>6.7</v>
      </c>
      <c r="J139" s="15">
        <v>200</v>
      </c>
      <c r="K139" s="15">
        <v>30</v>
      </c>
      <c r="L139" s="15"/>
      <c r="M139" s="253">
        <f t="shared" si="28"/>
        <v>3.716003343634799</v>
      </c>
      <c r="N139" s="253">
        <f t="shared" si="29"/>
        <v>-1.3979400086720375</v>
      </c>
      <c r="O139" s="253">
        <f t="shared" si="30"/>
        <v>0.71600334363479923</v>
      </c>
      <c r="P139" s="253">
        <f t="shared" si="31"/>
        <v>3.8808135922807914</v>
      </c>
      <c r="Q139" s="253">
        <f t="shared" si="32"/>
        <v>0.78532983501076703</v>
      </c>
      <c r="R139" s="253">
        <f t="shared" si="33"/>
        <v>2.2787536009528289</v>
      </c>
      <c r="S139" s="253">
        <f t="shared" si="34"/>
        <v>1.3222192947339193</v>
      </c>
      <c r="AC139" s="135" t="s">
        <v>101</v>
      </c>
      <c r="AD139" s="306">
        <v>204.48324864000003</v>
      </c>
      <c r="AE139" s="210">
        <v>42265.618055555555</v>
      </c>
      <c r="AF139" s="15">
        <v>5200</v>
      </c>
      <c r="AG139" s="15">
        <v>0.04</v>
      </c>
      <c r="AH139" s="15">
        <v>5.2</v>
      </c>
      <c r="AI139" s="15">
        <v>7600</v>
      </c>
      <c r="AJ139" s="15">
        <v>6.1</v>
      </c>
      <c r="AK139" s="15">
        <v>190</v>
      </c>
      <c r="AL139" s="15">
        <v>21</v>
      </c>
    </row>
    <row r="140" spans="1:38" x14ac:dyDescent="0.25">
      <c r="A140" s="135" t="s">
        <v>101</v>
      </c>
      <c r="B140" s="3" t="s">
        <v>231</v>
      </c>
      <c r="C140" s="306">
        <v>246.34228608000001</v>
      </c>
      <c r="D140" s="250">
        <v>42233.354166666664</v>
      </c>
      <c r="E140" s="15">
        <v>4300</v>
      </c>
      <c r="F140" s="15">
        <v>4.1000000000000002E-2</v>
      </c>
      <c r="G140" s="15">
        <v>4.7</v>
      </c>
      <c r="H140" s="15">
        <v>6800</v>
      </c>
      <c r="I140" s="15">
        <v>5.0999999999999996</v>
      </c>
      <c r="J140" s="15">
        <v>180</v>
      </c>
      <c r="K140" s="15">
        <v>23</v>
      </c>
      <c r="L140" s="15"/>
      <c r="M140" s="253">
        <f t="shared" si="28"/>
        <v>3.4149733479708178</v>
      </c>
      <c r="N140" s="253">
        <f t="shared" si="29"/>
        <v>-1.6575773191777938</v>
      </c>
      <c r="O140" s="253">
        <f t="shared" si="30"/>
        <v>0.3222192947339193</v>
      </c>
      <c r="P140" s="253">
        <f t="shared" si="31"/>
        <v>3.568201724066995</v>
      </c>
      <c r="Q140" s="253">
        <f t="shared" si="32"/>
        <v>0.55630250076728727</v>
      </c>
      <c r="R140" s="253">
        <f t="shared" si="33"/>
        <v>2.1139433523068369</v>
      </c>
      <c r="S140" s="253">
        <f t="shared" si="34"/>
        <v>1.1139433523068367</v>
      </c>
      <c r="AC140" s="135" t="s">
        <v>101</v>
      </c>
      <c r="AD140" s="306">
        <v>196.05028608000001</v>
      </c>
      <c r="AE140" s="210">
        <v>42266.458333333336</v>
      </c>
      <c r="AF140" s="15">
        <v>2600</v>
      </c>
      <c r="AG140" s="15">
        <v>2.1999999999999999E-2</v>
      </c>
      <c r="AH140" s="15">
        <v>2.1</v>
      </c>
      <c r="AI140" s="15">
        <v>3700</v>
      </c>
      <c r="AJ140" s="15">
        <v>3.6</v>
      </c>
      <c r="AK140" s="15">
        <v>130</v>
      </c>
      <c r="AL140" s="15">
        <v>13</v>
      </c>
    </row>
    <row r="141" spans="1:38" x14ac:dyDescent="0.25">
      <c r="A141" s="135" t="s">
        <v>101</v>
      </c>
      <c r="B141" s="3" t="s">
        <v>231</v>
      </c>
      <c r="C141" s="306">
        <v>246.34228608000001</v>
      </c>
      <c r="D141" s="250">
        <v>42240.532638888886</v>
      </c>
      <c r="E141" s="15">
        <v>6500</v>
      </c>
      <c r="F141" s="15">
        <v>2.4E-2</v>
      </c>
      <c r="G141" s="15">
        <v>2</v>
      </c>
      <c r="H141" s="15">
        <v>8400</v>
      </c>
      <c r="I141" s="15">
        <v>2.1</v>
      </c>
      <c r="J141" s="15">
        <v>69</v>
      </c>
      <c r="K141" s="15">
        <v>8.6999999999999993</v>
      </c>
      <c r="L141" s="15"/>
      <c r="M141" s="253">
        <f t="shared" si="28"/>
        <v>3.4149733479708178</v>
      </c>
      <c r="N141" s="253">
        <f t="shared" si="29"/>
        <v>-1.6777807052660807</v>
      </c>
      <c r="O141" s="253">
        <f t="shared" si="30"/>
        <v>0.46239799789895608</v>
      </c>
      <c r="P141" s="253">
        <f t="shared" si="31"/>
        <v>3.6232492903979003</v>
      </c>
      <c r="Q141" s="253">
        <f t="shared" si="32"/>
        <v>0.62324929039790045</v>
      </c>
      <c r="R141" s="253">
        <f t="shared" si="33"/>
        <v>2.1139433523068369</v>
      </c>
      <c r="S141" s="253">
        <f t="shared" si="34"/>
        <v>1.0791812460476249</v>
      </c>
      <c r="AC141" s="135" t="s">
        <v>101</v>
      </c>
      <c r="AD141" s="306">
        <v>204.48324864000003</v>
      </c>
      <c r="AE141" s="210">
        <v>42266.475694444445</v>
      </c>
      <c r="AF141" s="15">
        <v>2600</v>
      </c>
      <c r="AG141" s="15">
        <v>2.1000000000000001E-2</v>
      </c>
      <c r="AH141" s="15">
        <v>2.9</v>
      </c>
      <c r="AI141" s="15">
        <v>4200</v>
      </c>
      <c r="AJ141" s="15">
        <v>4.2</v>
      </c>
      <c r="AK141" s="15">
        <v>130</v>
      </c>
      <c r="AL141" s="15">
        <v>12</v>
      </c>
    </row>
    <row r="142" spans="1:38" x14ac:dyDescent="0.25">
      <c r="A142" s="135" t="s">
        <v>101</v>
      </c>
      <c r="B142" s="3" t="s">
        <v>231</v>
      </c>
      <c r="C142" s="306">
        <v>246.34228608000001</v>
      </c>
      <c r="D142" s="250">
        <v>42241.479861111111</v>
      </c>
      <c r="E142" s="15">
        <v>4000</v>
      </c>
      <c r="F142" s="15">
        <v>2.5000000000000001E-2</v>
      </c>
      <c r="G142" s="15">
        <v>7.4</v>
      </c>
      <c r="H142" s="15">
        <v>6600</v>
      </c>
      <c r="I142" s="15">
        <v>5.6</v>
      </c>
      <c r="J142" s="15">
        <v>200</v>
      </c>
      <c r="K142" s="15">
        <v>22</v>
      </c>
      <c r="L142" s="15"/>
      <c r="M142" s="253">
        <f t="shared" si="28"/>
        <v>3.3802112417116059</v>
      </c>
      <c r="N142" s="253">
        <f t="shared" si="29"/>
        <v>-1.5686362358410126</v>
      </c>
      <c r="O142" s="253">
        <f t="shared" si="30"/>
        <v>0.3979400086720376</v>
      </c>
      <c r="P142" s="253">
        <f t="shared" si="31"/>
        <v>3.5440680443502757</v>
      </c>
      <c r="Q142" s="253">
        <f t="shared" si="32"/>
        <v>0.6020599913279624</v>
      </c>
      <c r="R142" s="253">
        <f t="shared" si="33"/>
        <v>2.2304489213782741</v>
      </c>
      <c r="S142" s="253">
        <f t="shared" si="34"/>
        <v>1.146128035678238</v>
      </c>
      <c r="AC142" s="135" t="s">
        <v>101</v>
      </c>
      <c r="AD142" s="306">
        <v>196.05028608000001</v>
      </c>
      <c r="AE142" s="210">
        <v>42267.447916666664</v>
      </c>
      <c r="AF142" s="15">
        <v>2400</v>
      </c>
      <c r="AG142" s="15">
        <v>2.7E-2</v>
      </c>
      <c r="AH142" s="15">
        <v>2.5</v>
      </c>
      <c r="AI142" s="15">
        <v>3500</v>
      </c>
      <c r="AJ142" s="15">
        <v>4</v>
      </c>
      <c r="AK142" s="15">
        <v>170</v>
      </c>
      <c r="AL142" s="15">
        <v>14</v>
      </c>
    </row>
    <row r="143" spans="1:38" x14ac:dyDescent="0.25">
      <c r="A143" s="135" t="s">
        <v>101</v>
      </c>
      <c r="B143" s="3" t="s">
        <v>231</v>
      </c>
      <c r="C143" s="306">
        <v>246.34228608000001</v>
      </c>
      <c r="D143" s="250">
        <v>42242</v>
      </c>
      <c r="E143" s="15">
        <v>3100</v>
      </c>
      <c r="F143" s="15">
        <v>4.5999999999999999E-2</v>
      </c>
      <c r="G143" s="15">
        <v>3.6</v>
      </c>
      <c r="H143" s="15">
        <v>5400</v>
      </c>
      <c r="I143" s="15">
        <v>4.5999999999999996</v>
      </c>
      <c r="J143" s="15">
        <v>160</v>
      </c>
      <c r="K143" s="15">
        <v>16</v>
      </c>
      <c r="L143" s="15"/>
      <c r="M143" s="253">
        <f t="shared" si="28"/>
        <v>3.4623979978989561</v>
      </c>
      <c r="N143" s="253">
        <f t="shared" si="29"/>
        <v>-1.6575773191777938</v>
      </c>
      <c r="O143" s="253">
        <f t="shared" si="30"/>
        <v>0.53147891704225514</v>
      </c>
      <c r="P143" s="253">
        <f t="shared" si="31"/>
        <v>3.6901960800285138</v>
      </c>
      <c r="Q143" s="253">
        <f t="shared" si="32"/>
        <v>0.72427586960078905</v>
      </c>
      <c r="R143" s="253">
        <f t="shared" si="33"/>
        <v>2.1760912590556813</v>
      </c>
      <c r="S143" s="253">
        <f t="shared" si="34"/>
        <v>1.146128035678238</v>
      </c>
      <c r="AC143" s="135" t="s">
        <v>101</v>
      </c>
      <c r="AD143" s="306">
        <v>204.48324864000003</v>
      </c>
      <c r="AE143" s="210">
        <v>42267.46875</v>
      </c>
      <c r="AF143" s="15">
        <v>2900</v>
      </c>
      <c r="AG143" s="15">
        <v>2.1999999999999999E-2</v>
      </c>
      <c r="AH143" s="15">
        <v>3.4</v>
      </c>
      <c r="AI143" s="15">
        <v>4900</v>
      </c>
      <c r="AJ143" s="15">
        <v>5.3</v>
      </c>
      <c r="AK143" s="15">
        <v>150</v>
      </c>
      <c r="AL143" s="15">
        <v>14</v>
      </c>
    </row>
    <row r="144" spans="1:38" x14ac:dyDescent="0.25">
      <c r="A144" s="135" t="s">
        <v>101</v>
      </c>
      <c r="B144" s="3" t="s">
        <v>231</v>
      </c>
      <c r="C144" s="306">
        <v>246.34228608000001</v>
      </c>
      <c r="D144" s="250">
        <v>42243.559027777781</v>
      </c>
      <c r="E144" s="15">
        <v>2200</v>
      </c>
      <c r="F144" s="15">
        <v>0.06</v>
      </c>
      <c r="G144" s="15">
        <v>3.5</v>
      </c>
      <c r="H144" s="15">
        <v>6200</v>
      </c>
      <c r="I144" s="15">
        <v>6.2</v>
      </c>
      <c r="J144" s="15">
        <v>220</v>
      </c>
      <c r="K144" s="15">
        <v>30</v>
      </c>
      <c r="L144" s="15"/>
      <c r="M144" s="253">
        <f t="shared" si="28"/>
        <v>3.4313637641589874</v>
      </c>
      <c r="N144" s="253">
        <f t="shared" si="29"/>
        <v>-1.4089353929735009</v>
      </c>
      <c r="O144" s="253">
        <f t="shared" si="30"/>
        <v>0.64345267648618742</v>
      </c>
      <c r="P144" s="253">
        <f t="shared" si="31"/>
        <v>3.7323937598229686</v>
      </c>
      <c r="Q144" s="253">
        <f t="shared" si="32"/>
        <v>0.80617997398388719</v>
      </c>
      <c r="R144" s="253">
        <f t="shared" si="33"/>
        <v>2.1461280356782382</v>
      </c>
      <c r="S144" s="253">
        <f t="shared" si="34"/>
        <v>1.1139433523068367</v>
      </c>
      <c r="AC144" s="135" t="s">
        <v>101</v>
      </c>
      <c r="AD144" s="306">
        <v>196.87105152000001</v>
      </c>
      <c r="AE144" s="210">
        <v>42268.333333333336</v>
      </c>
      <c r="AF144" s="15">
        <v>2700</v>
      </c>
      <c r="AG144" s="15">
        <v>3.9E-2</v>
      </c>
      <c r="AH144" s="15">
        <v>4.4000000000000004</v>
      </c>
      <c r="AI144" s="15">
        <v>5400</v>
      </c>
      <c r="AJ144" s="15">
        <v>6.4</v>
      </c>
      <c r="AK144" s="15">
        <v>140</v>
      </c>
      <c r="AL144" s="15">
        <v>13</v>
      </c>
    </row>
    <row r="145" spans="1:38" x14ac:dyDescent="0.25">
      <c r="A145" s="135" t="s">
        <v>101</v>
      </c>
      <c r="B145" s="3" t="s">
        <v>231</v>
      </c>
      <c r="C145" s="306">
        <v>246.34228608000001</v>
      </c>
      <c r="D145" s="250">
        <v>42257.600694444445</v>
      </c>
      <c r="E145" s="15">
        <v>4200</v>
      </c>
      <c r="F145" s="15">
        <v>0.09</v>
      </c>
      <c r="G145" s="15">
        <v>8</v>
      </c>
      <c r="H145" s="15">
        <v>6200</v>
      </c>
      <c r="I145" s="15">
        <v>8.3000000000000007</v>
      </c>
      <c r="J145" s="15">
        <v>270</v>
      </c>
      <c r="K145" s="15">
        <v>32</v>
      </c>
      <c r="L145" s="15"/>
      <c r="M145" s="253">
        <f t="shared" si="28"/>
        <v>3.7403626894942437</v>
      </c>
      <c r="N145" s="253">
        <f t="shared" si="29"/>
        <v>-1.0555173278498313</v>
      </c>
      <c r="O145" s="253">
        <f t="shared" si="30"/>
        <v>0.90308998699194354</v>
      </c>
      <c r="P145" s="253">
        <f t="shared" si="31"/>
        <v>3.8864907251724818</v>
      </c>
      <c r="Q145" s="253">
        <f t="shared" si="32"/>
        <v>0.88649072517248184</v>
      </c>
      <c r="R145" s="253">
        <f t="shared" si="33"/>
        <v>2.3979400086720375</v>
      </c>
      <c r="S145" s="253">
        <f t="shared" si="34"/>
        <v>1.5185139398778875</v>
      </c>
      <c r="AC145" s="135" t="s">
        <v>101</v>
      </c>
      <c r="AD145" s="306">
        <v>246.34228608000001</v>
      </c>
      <c r="AE145" s="210">
        <v>42268.368055555555</v>
      </c>
      <c r="AF145" s="15">
        <v>5500</v>
      </c>
      <c r="AG145" s="15">
        <v>8.7999999999999995E-2</v>
      </c>
      <c r="AH145" s="15">
        <v>8</v>
      </c>
      <c r="AI145" s="15">
        <v>7700</v>
      </c>
      <c r="AJ145" s="15">
        <v>7.7</v>
      </c>
      <c r="AK145" s="15">
        <v>250</v>
      </c>
      <c r="AL145" s="15">
        <v>33</v>
      </c>
    </row>
    <row r="146" spans="1:38" x14ac:dyDescent="0.25">
      <c r="A146" s="135" t="s">
        <v>101</v>
      </c>
      <c r="B146" s="3" t="s">
        <v>231</v>
      </c>
      <c r="C146" s="306">
        <v>246.34228608000001</v>
      </c>
      <c r="D146" s="250">
        <v>42262.552083333336</v>
      </c>
      <c r="E146" s="15">
        <v>4600</v>
      </c>
      <c r="F146" s="15">
        <v>5.7000000000000002E-2</v>
      </c>
      <c r="G146" s="15">
        <v>5.5</v>
      </c>
      <c r="H146" s="15">
        <v>6900</v>
      </c>
      <c r="I146" s="15">
        <v>6.3</v>
      </c>
      <c r="J146" s="15">
        <v>210</v>
      </c>
      <c r="K146" s="15">
        <v>25</v>
      </c>
      <c r="L146" s="15"/>
      <c r="M146" s="253">
        <f t="shared" si="28"/>
        <v>3.3222192947339191</v>
      </c>
      <c r="N146" s="253">
        <f t="shared" si="29"/>
        <v>-1.5376020021010439</v>
      </c>
      <c r="O146" s="253">
        <f t="shared" si="30"/>
        <v>0.43136376415898736</v>
      </c>
      <c r="P146" s="253">
        <f t="shared" si="31"/>
        <v>3.568201724066995</v>
      </c>
      <c r="Q146" s="253">
        <f t="shared" si="32"/>
        <v>0.77085201164214423</v>
      </c>
      <c r="R146" s="253">
        <f t="shared" si="33"/>
        <v>2.2787536009528289</v>
      </c>
      <c r="S146" s="253">
        <f t="shared" si="34"/>
        <v>1.2787536009528289</v>
      </c>
      <c r="AC146" s="135" t="s">
        <v>101</v>
      </c>
      <c r="AD146" s="306">
        <v>196.05028608000001</v>
      </c>
      <c r="AE146" s="210">
        <v>42268.510416666664</v>
      </c>
      <c r="AF146" s="15">
        <v>2100</v>
      </c>
      <c r="AG146" s="15">
        <v>2.9000000000000001E-2</v>
      </c>
      <c r="AH146" s="15">
        <v>2.7</v>
      </c>
      <c r="AI146" s="15">
        <v>3700</v>
      </c>
      <c r="AJ146" s="15">
        <v>5.9</v>
      </c>
      <c r="AK146" s="15">
        <v>190</v>
      </c>
      <c r="AL146" s="15">
        <v>19</v>
      </c>
    </row>
    <row r="147" spans="1:38" x14ac:dyDescent="0.25">
      <c r="A147" s="135" t="s">
        <v>101</v>
      </c>
      <c r="B147" s="3" t="s">
        <v>231</v>
      </c>
      <c r="C147" s="306">
        <v>246.34228608000001</v>
      </c>
      <c r="D147" s="250">
        <v>42264.420138888891</v>
      </c>
      <c r="E147" s="15">
        <v>4700</v>
      </c>
      <c r="F147" s="15">
        <v>5.6000000000000001E-2</v>
      </c>
      <c r="G147" s="15">
        <v>5.9</v>
      </c>
      <c r="H147" s="15">
        <v>6800</v>
      </c>
      <c r="I147" s="15">
        <v>6</v>
      </c>
      <c r="J147" s="15">
        <v>250</v>
      </c>
      <c r="K147" s="15">
        <v>22</v>
      </c>
      <c r="L147" s="15"/>
      <c r="M147" s="253">
        <f t="shared" si="28"/>
        <v>3.4913616938342726</v>
      </c>
      <c r="N147" s="253">
        <f t="shared" si="29"/>
        <v>-1.5528419686577808</v>
      </c>
      <c r="O147" s="253">
        <f t="shared" si="30"/>
        <v>0.55630250076728727</v>
      </c>
      <c r="P147" s="253">
        <f t="shared" si="31"/>
        <v>3.7242758696007892</v>
      </c>
      <c r="Q147" s="253">
        <f t="shared" si="32"/>
        <v>0.67209785793571752</v>
      </c>
      <c r="R147" s="253">
        <f t="shared" si="33"/>
        <v>2.1760912590556813</v>
      </c>
      <c r="S147" s="253">
        <f t="shared" si="34"/>
        <v>1.146128035678238</v>
      </c>
      <c r="AC147" s="135" t="s">
        <v>101</v>
      </c>
      <c r="AD147" s="306">
        <v>204.48324864000003</v>
      </c>
      <c r="AE147" s="210">
        <v>42268.520833333336</v>
      </c>
      <c r="AF147" s="15">
        <v>3100</v>
      </c>
      <c r="AG147" s="15">
        <v>2.8000000000000001E-2</v>
      </c>
      <c r="AH147" s="15">
        <v>3.6</v>
      </c>
      <c r="AI147" s="15">
        <v>5300</v>
      </c>
      <c r="AJ147" s="15">
        <v>4.7</v>
      </c>
      <c r="AK147" s="15">
        <v>150</v>
      </c>
      <c r="AL147" s="15">
        <v>14</v>
      </c>
    </row>
    <row r="148" spans="1:38" x14ac:dyDescent="0.25">
      <c r="A148" s="135" t="s">
        <v>101</v>
      </c>
      <c r="B148" s="3" t="s">
        <v>231</v>
      </c>
      <c r="C148" s="306">
        <v>246.34228608000001</v>
      </c>
      <c r="D148" s="250">
        <v>42268.368055555555</v>
      </c>
      <c r="E148" s="15">
        <v>5500</v>
      </c>
      <c r="F148" s="15">
        <v>8.7999999999999995E-2</v>
      </c>
      <c r="G148" s="15">
        <v>8</v>
      </c>
      <c r="H148" s="15">
        <v>7700</v>
      </c>
      <c r="I148" s="15">
        <v>7.7</v>
      </c>
      <c r="J148" s="15">
        <v>250</v>
      </c>
      <c r="K148" s="15">
        <v>33</v>
      </c>
      <c r="L148" s="15"/>
      <c r="M148" s="253">
        <f t="shared" si="28"/>
        <v>3.7923916894982539</v>
      </c>
      <c r="N148" s="253">
        <f t="shared" si="29"/>
        <v>-0.92081875395237522</v>
      </c>
      <c r="O148" s="253">
        <f t="shared" si="30"/>
        <v>0.97772360528884772</v>
      </c>
      <c r="P148" s="253">
        <f t="shared" si="31"/>
        <v>3.9242792860618816</v>
      </c>
      <c r="Q148" s="253">
        <f t="shared" si="32"/>
        <v>0.94448267215016868</v>
      </c>
      <c r="R148" s="253">
        <f t="shared" si="33"/>
        <v>2.4471580313422194</v>
      </c>
      <c r="S148" s="253">
        <f t="shared" si="34"/>
        <v>1.568201724066995</v>
      </c>
      <c r="AC148" s="135" t="s">
        <v>101</v>
      </c>
      <c r="AD148" s="306">
        <v>295.82961408</v>
      </c>
      <c r="AE148" s="210">
        <v>42268.534722222219</v>
      </c>
      <c r="AF148" s="15">
        <v>6200</v>
      </c>
      <c r="AG148" s="15">
        <v>0.12</v>
      </c>
      <c r="AH148" s="15">
        <v>9.5</v>
      </c>
      <c r="AI148" s="15">
        <v>8400</v>
      </c>
      <c r="AJ148" s="15">
        <v>8.8000000000000007</v>
      </c>
      <c r="AK148" s="15">
        <v>280</v>
      </c>
      <c r="AL148" s="15">
        <v>37</v>
      </c>
    </row>
    <row r="149" spans="1:38" x14ac:dyDescent="0.25">
      <c r="A149" s="135" t="s">
        <v>101</v>
      </c>
      <c r="B149" s="3" t="s">
        <v>231</v>
      </c>
      <c r="C149" s="306">
        <v>246.34228608000001</v>
      </c>
      <c r="D149" s="250">
        <v>42271.538194444445</v>
      </c>
      <c r="E149" s="15">
        <v>6100</v>
      </c>
      <c r="F149" s="15">
        <v>5.3999999999999999E-2</v>
      </c>
      <c r="G149" s="15">
        <v>7.1</v>
      </c>
      <c r="H149" s="15">
        <v>8500</v>
      </c>
      <c r="I149" s="15">
        <v>5.7</v>
      </c>
      <c r="J149" s="15">
        <v>190</v>
      </c>
      <c r="K149" s="15">
        <v>24</v>
      </c>
      <c r="L149" s="15"/>
      <c r="M149" s="253">
        <f t="shared" si="28"/>
        <v>3.1139433523068369</v>
      </c>
      <c r="N149" s="253">
        <f t="shared" si="29"/>
        <v>-1.585026652029182</v>
      </c>
      <c r="O149" s="253">
        <f t="shared" si="30"/>
        <v>0.41497334797081797</v>
      </c>
      <c r="P149" s="253">
        <f t="shared" si="31"/>
        <v>3.3010299956639813</v>
      </c>
      <c r="Q149" s="253">
        <f t="shared" si="32"/>
        <v>0.62324929039790045</v>
      </c>
      <c r="R149" s="253">
        <f t="shared" si="33"/>
        <v>2.2041199826559246</v>
      </c>
      <c r="S149" s="253">
        <f t="shared" si="34"/>
        <v>1.255272505103306</v>
      </c>
      <c r="AC149" s="135" t="s">
        <v>101</v>
      </c>
      <c r="AD149" s="306">
        <v>196.05028608000001</v>
      </c>
      <c r="AE149" s="210">
        <v>42269.388888888891</v>
      </c>
      <c r="AF149" s="15">
        <v>1300</v>
      </c>
      <c r="AG149" s="15">
        <v>2.5999999999999999E-2</v>
      </c>
      <c r="AH149" s="15">
        <v>2.6</v>
      </c>
      <c r="AI149" s="15">
        <v>2000</v>
      </c>
      <c r="AJ149" s="15">
        <v>4.2</v>
      </c>
      <c r="AK149" s="15">
        <v>160</v>
      </c>
      <c r="AL149" s="15">
        <v>18</v>
      </c>
    </row>
    <row r="150" spans="1:38" x14ac:dyDescent="0.25">
      <c r="A150" s="135" t="s">
        <v>101</v>
      </c>
      <c r="B150" s="3" t="s">
        <v>231</v>
      </c>
      <c r="C150" s="306">
        <v>246.34228608000001</v>
      </c>
      <c r="D150" s="250">
        <v>42277.361111111109</v>
      </c>
      <c r="E150" s="15">
        <v>6100</v>
      </c>
      <c r="F150" s="15">
        <v>5.6000000000000001E-2</v>
      </c>
      <c r="G150" s="15">
        <v>7.4</v>
      </c>
      <c r="H150" s="15">
        <v>8400</v>
      </c>
      <c r="I150" s="15">
        <v>6.5</v>
      </c>
      <c r="J150" s="15">
        <v>240</v>
      </c>
      <c r="K150" s="15">
        <v>29</v>
      </c>
      <c r="L150" s="15"/>
      <c r="M150" s="253">
        <f t="shared" si="28"/>
        <v>3.4771212547196626</v>
      </c>
      <c r="N150" s="253">
        <f t="shared" si="29"/>
        <v>-1.6575773191777938</v>
      </c>
      <c r="O150" s="253">
        <f t="shared" si="30"/>
        <v>0.46239799789895608</v>
      </c>
      <c r="P150" s="253">
        <f t="shared" si="31"/>
        <v>3.6901960800285138</v>
      </c>
      <c r="Q150" s="253">
        <f t="shared" si="32"/>
        <v>0.55630250076728727</v>
      </c>
      <c r="R150" s="253">
        <f t="shared" si="33"/>
        <v>2.0791812460476247</v>
      </c>
      <c r="S150" s="253">
        <f t="shared" si="34"/>
        <v>1.0791812460476249</v>
      </c>
      <c r="AC150" s="135" t="s">
        <v>101</v>
      </c>
      <c r="AD150" s="306">
        <v>204.48324864000003</v>
      </c>
      <c r="AE150" s="210">
        <v>42269.552083333336</v>
      </c>
      <c r="AF150" s="15">
        <v>3000</v>
      </c>
      <c r="AG150" s="15">
        <v>2.1999999999999999E-2</v>
      </c>
      <c r="AH150" s="15">
        <v>2.9</v>
      </c>
      <c r="AI150" s="15">
        <v>4900</v>
      </c>
      <c r="AJ150" s="15">
        <v>3.6</v>
      </c>
      <c r="AK150" s="15">
        <v>120</v>
      </c>
      <c r="AL150" s="15">
        <v>12</v>
      </c>
    </row>
    <row r="151" spans="1:38" x14ac:dyDescent="0.25">
      <c r="A151" s="135" t="s">
        <v>101</v>
      </c>
      <c r="B151" s="3" t="s">
        <v>231</v>
      </c>
      <c r="C151" s="306">
        <v>246.34228608000001</v>
      </c>
      <c r="D151" s="250">
        <v>42282.386111111111</v>
      </c>
      <c r="E151" s="15">
        <v>3200</v>
      </c>
      <c r="F151" s="15">
        <v>3.9E-2</v>
      </c>
      <c r="G151" s="15">
        <v>3.9</v>
      </c>
      <c r="H151" s="15">
        <v>5000</v>
      </c>
      <c r="I151" s="15">
        <v>4.8</v>
      </c>
      <c r="J151" s="15">
        <v>170</v>
      </c>
      <c r="K151" s="15">
        <v>18</v>
      </c>
      <c r="L151" s="15"/>
      <c r="M151" s="253">
        <f t="shared" si="28"/>
        <v>3.6812412373755872</v>
      </c>
      <c r="N151" s="253">
        <f t="shared" si="29"/>
        <v>-1.6382721639824072</v>
      </c>
      <c r="O151" s="253">
        <f t="shared" si="30"/>
        <v>0.41497334797081797</v>
      </c>
      <c r="P151" s="253">
        <f t="shared" si="31"/>
        <v>3.8573324964312685</v>
      </c>
      <c r="Q151" s="253">
        <f t="shared" si="32"/>
        <v>0.46239799789895608</v>
      </c>
      <c r="R151" s="253">
        <f t="shared" si="33"/>
        <v>2.1760912590556813</v>
      </c>
      <c r="S151" s="253">
        <f t="shared" si="34"/>
        <v>1.0413926851582251</v>
      </c>
      <c r="AC151" s="135" t="s">
        <v>101</v>
      </c>
      <c r="AD151" s="306">
        <v>196.05028608000001</v>
      </c>
      <c r="AE151" s="210">
        <v>42271.4375</v>
      </c>
      <c r="AF151" s="15">
        <v>4800</v>
      </c>
      <c r="AG151" s="15">
        <v>2.3E-2</v>
      </c>
      <c r="AH151" s="15">
        <v>2.6</v>
      </c>
      <c r="AI151" s="15">
        <v>7200</v>
      </c>
      <c r="AJ151" s="15">
        <v>2.9</v>
      </c>
      <c r="AK151" s="15">
        <v>150</v>
      </c>
      <c r="AL151" s="15">
        <v>11</v>
      </c>
    </row>
    <row r="152" spans="1:38" x14ac:dyDescent="0.25">
      <c r="A152" s="135" t="s">
        <v>101</v>
      </c>
      <c r="B152" s="3" t="s">
        <v>231</v>
      </c>
      <c r="C152" s="306">
        <v>246.34228608000001</v>
      </c>
      <c r="D152" s="250">
        <v>42285.370138888888</v>
      </c>
      <c r="E152" s="15">
        <v>5800</v>
      </c>
      <c r="F152" s="15">
        <v>0.08</v>
      </c>
      <c r="G152" s="15">
        <v>4.0999999999999996</v>
      </c>
      <c r="H152" s="15">
        <v>8100</v>
      </c>
      <c r="I152" s="15">
        <v>4.8</v>
      </c>
      <c r="J152" s="15">
        <v>190</v>
      </c>
      <c r="K152" s="15">
        <v>23</v>
      </c>
      <c r="L152" s="15"/>
      <c r="M152" s="253">
        <f t="shared" si="28"/>
        <v>3.8692317197309762</v>
      </c>
      <c r="N152" s="253">
        <f t="shared" si="29"/>
        <v>-1.2518119729937995</v>
      </c>
      <c r="O152" s="253">
        <f t="shared" si="30"/>
        <v>0.86923171973097624</v>
      </c>
      <c r="P152" s="253">
        <f t="shared" si="31"/>
        <v>4</v>
      </c>
      <c r="Q152" s="253">
        <f t="shared" si="32"/>
        <v>0.78532983501076703</v>
      </c>
      <c r="R152" s="253">
        <f t="shared" si="33"/>
        <v>2.3617278360175931</v>
      </c>
      <c r="S152" s="253">
        <f t="shared" si="34"/>
        <v>1.3802112417116059</v>
      </c>
      <c r="AC152" s="135" t="s">
        <v>101</v>
      </c>
      <c r="AD152" s="306">
        <v>204.48324864000003</v>
      </c>
      <c r="AE152" s="210">
        <v>42271.458333333336</v>
      </c>
      <c r="AF152" s="15">
        <v>7400</v>
      </c>
      <c r="AG152" s="15">
        <v>5.6000000000000001E-2</v>
      </c>
      <c r="AH152" s="15">
        <v>7.4</v>
      </c>
      <c r="AI152" s="15">
        <v>10000</v>
      </c>
      <c r="AJ152" s="15">
        <v>6.1</v>
      </c>
      <c r="AK152" s="15">
        <v>230</v>
      </c>
      <c r="AL152" s="15">
        <v>24</v>
      </c>
    </row>
    <row r="153" spans="1:38" x14ac:dyDescent="0.25">
      <c r="A153" s="135" t="s">
        <v>101</v>
      </c>
      <c r="B153" s="3" t="s">
        <v>231</v>
      </c>
      <c r="C153" s="306">
        <v>246.34228608000001</v>
      </c>
      <c r="D153" s="250">
        <v>42289.423611111109</v>
      </c>
      <c r="E153" s="15">
        <v>4200</v>
      </c>
      <c r="F153" s="15">
        <v>5.1999999999999998E-2</v>
      </c>
      <c r="G153" s="15">
        <v>4.3</v>
      </c>
      <c r="H153" s="15">
        <v>6500</v>
      </c>
      <c r="I153" s="15">
        <v>4.8</v>
      </c>
      <c r="J153" s="15">
        <v>200</v>
      </c>
      <c r="K153" s="15">
        <v>23</v>
      </c>
      <c r="L153" s="15"/>
      <c r="M153" s="253">
        <f t="shared" si="28"/>
        <v>3.8512583487190755</v>
      </c>
      <c r="N153" s="253">
        <f t="shared" si="29"/>
        <v>-1.080921907623926</v>
      </c>
      <c r="O153" s="253">
        <f t="shared" si="30"/>
        <v>0.94448267215016868</v>
      </c>
      <c r="P153" s="253">
        <f t="shared" si="31"/>
        <v>3.9684829485539352</v>
      </c>
      <c r="Q153" s="253">
        <f t="shared" si="32"/>
        <v>0.87506126339170009</v>
      </c>
      <c r="R153" s="253">
        <f t="shared" si="33"/>
        <v>2.3802112417116059</v>
      </c>
      <c r="S153" s="253">
        <f t="shared" si="34"/>
        <v>1.4771212547196624</v>
      </c>
      <c r="AC153" s="135" t="s">
        <v>101</v>
      </c>
      <c r="AD153" s="306">
        <v>295.82961408</v>
      </c>
      <c r="AE153" s="210">
        <v>42271.506944444445</v>
      </c>
      <c r="AF153" s="15">
        <v>7100</v>
      </c>
      <c r="AG153" s="15">
        <v>8.3000000000000004E-2</v>
      </c>
      <c r="AH153" s="15">
        <v>8.8000000000000007</v>
      </c>
      <c r="AI153" s="15">
        <v>9300</v>
      </c>
      <c r="AJ153" s="15">
        <v>7.5</v>
      </c>
      <c r="AK153" s="15">
        <v>240</v>
      </c>
      <c r="AL153" s="15">
        <v>30</v>
      </c>
    </row>
    <row r="154" spans="1:38" x14ac:dyDescent="0.25">
      <c r="A154" s="135" t="s">
        <v>101</v>
      </c>
      <c r="B154" s="3" t="s">
        <v>231</v>
      </c>
      <c r="C154" s="306">
        <v>246.34228608000001</v>
      </c>
      <c r="D154" s="250">
        <v>42327.447916666664</v>
      </c>
      <c r="E154" s="15">
        <v>5300</v>
      </c>
      <c r="F154" s="15">
        <v>6.8000000000000005E-2</v>
      </c>
      <c r="G154" s="15">
        <v>6.3</v>
      </c>
      <c r="H154" s="15">
        <v>9300</v>
      </c>
      <c r="I154" s="15">
        <v>4.8</v>
      </c>
      <c r="J154" s="15">
        <v>240</v>
      </c>
      <c r="K154" s="15">
        <v>32</v>
      </c>
      <c r="L154" s="15"/>
      <c r="M154" s="253">
        <f t="shared" si="28"/>
        <v>3.7853298350107671</v>
      </c>
      <c r="N154" s="253">
        <f t="shared" si="29"/>
        <v>-1.2676062401770316</v>
      </c>
      <c r="O154" s="253">
        <f t="shared" si="30"/>
        <v>0.85125834871907524</v>
      </c>
      <c r="P154" s="253">
        <f t="shared" si="31"/>
        <v>3.9294189257142929</v>
      </c>
      <c r="Q154" s="253">
        <f t="shared" si="32"/>
        <v>0.75587485567249146</v>
      </c>
      <c r="R154" s="253">
        <f t="shared" si="33"/>
        <v>2.2787536009528289</v>
      </c>
      <c r="S154" s="253">
        <f t="shared" si="34"/>
        <v>1.3802112417116059</v>
      </c>
      <c r="AC154" s="135" t="s">
        <v>101</v>
      </c>
      <c r="AD154" s="306">
        <v>246.34228608000001</v>
      </c>
      <c r="AE154" s="210">
        <v>42271.538194444445</v>
      </c>
      <c r="AF154" s="15">
        <v>6100</v>
      </c>
      <c r="AG154" s="15">
        <v>5.3999999999999999E-2</v>
      </c>
      <c r="AH154" s="15">
        <v>7.1</v>
      </c>
      <c r="AI154" s="15">
        <v>8500</v>
      </c>
      <c r="AJ154" s="15">
        <v>5.7</v>
      </c>
      <c r="AK154" s="15">
        <v>190</v>
      </c>
      <c r="AL154" s="15">
        <v>24</v>
      </c>
    </row>
    <row r="155" spans="1:38" x14ac:dyDescent="0.25">
      <c r="A155" s="135" t="s">
        <v>101</v>
      </c>
      <c r="B155" s="3" t="s">
        <v>232</v>
      </c>
      <c r="C155" s="306">
        <v>272.47803264000004</v>
      </c>
      <c r="D155" s="250">
        <v>42230.447916666664</v>
      </c>
      <c r="E155" s="15">
        <v>17000</v>
      </c>
      <c r="F155" s="15">
        <v>0.37</v>
      </c>
      <c r="G155" s="15">
        <v>12</v>
      </c>
      <c r="H155" s="15">
        <v>18000</v>
      </c>
      <c r="I155" s="15">
        <v>10</v>
      </c>
      <c r="J155" s="15">
        <v>280</v>
      </c>
      <c r="K155" s="15">
        <v>47</v>
      </c>
      <c r="L155" s="15"/>
      <c r="M155" s="253">
        <f t="shared" si="28"/>
        <v>3.6020599913279625</v>
      </c>
      <c r="N155" s="253">
        <f t="shared" si="29"/>
        <v>-1.3767507096020994</v>
      </c>
      <c r="O155" s="253">
        <f t="shared" si="30"/>
        <v>0.64345267648618742</v>
      </c>
      <c r="P155" s="253">
        <f t="shared" si="31"/>
        <v>3.7993405494535817</v>
      </c>
      <c r="Q155" s="253">
        <f t="shared" si="32"/>
        <v>0.72427586960078905</v>
      </c>
      <c r="R155" s="253">
        <f t="shared" si="33"/>
        <v>2.1760912590556813</v>
      </c>
      <c r="S155" s="253">
        <f t="shared" si="34"/>
        <v>1.255272505103306</v>
      </c>
      <c r="AC155" s="135" t="s">
        <v>101</v>
      </c>
      <c r="AD155" s="306">
        <v>196.87105152000001</v>
      </c>
      <c r="AE155" s="210">
        <v>42271.5625</v>
      </c>
      <c r="AF155" s="15">
        <v>4000</v>
      </c>
      <c r="AG155" s="15">
        <v>4.2000000000000003E-2</v>
      </c>
      <c r="AH155" s="15">
        <v>4.4000000000000004</v>
      </c>
      <c r="AI155" s="15">
        <v>6300</v>
      </c>
      <c r="AJ155" s="15">
        <v>5.3</v>
      </c>
      <c r="AK155" s="15">
        <v>150</v>
      </c>
      <c r="AL155" s="15">
        <v>18</v>
      </c>
    </row>
    <row r="156" spans="1:38" x14ac:dyDescent="0.25">
      <c r="A156" s="135" t="s">
        <v>101</v>
      </c>
      <c r="B156" s="3" t="s">
        <v>232</v>
      </c>
      <c r="C156" s="306">
        <v>272.47803264000004</v>
      </c>
      <c r="D156" s="250">
        <v>42231.430555555555</v>
      </c>
      <c r="E156" s="15">
        <v>12000</v>
      </c>
      <c r="F156" s="15">
        <v>0.35</v>
      </c>
      <c r="G156" s="15">
        <v>12</v>
      </c>
      <c r="H156" s="15">
        <v>14000</v>
      </c>
      <c r="I156" s="15">
        <v>9.6999999999999993</v>
      </c>
      <c r="J156" s="15">
        <v>260</v>
      </c>
      <c r="K156" s="15">
        <v>44</v>
      </c>
      <c r="L156" s="15"/>
      <c r="M156" s="253">
        <f t="shared" si="28"/>
        <v>3.255272505103306</v>
      </c>
      <c r="N156" s="253">
        <f t="shared" si="29"/>
        <v>-1.6777807052660807</v>
      </c>
      <c r="O156" s="253">
        <f t="shared" si="30"/>
        <v>0.27875360095282892</v>
      </c>
      <c r="P156" s="253">
        <f t="shared" si="31"/>
        <v>3.4471580313422194</v>
      </c>
      <c r="Q156" s="253">
        <f t="shared" si="32"/>
        <v>0.41497334797081797</v>
      </c>
      <c r="R156" s="253">
        <f t="shared" si="33"/>
        <v>2.1139433523068369</v>
      </c>
      <c r="S156" s="253">
        <f t="shared" si="34"/>
        <v>0.90848501887864974</v>
      </c>
      <c r="AC156" s="135" t="s">
        <v>101</v>
      </c>
      <c r="AD156" s="306">
        <v>196.05028608000001</v>
      </c>
      <c r="AE156" s="210">
        <v>42275.430555555555</v>
      </c>
      <c r="AF156" s="15">
        <v>1800</v>
      </c>
      <c r="AG156" s="15">
        <v>2.1000000000000001E-2</v>
      </c>
      <c r="AH156" s="15">
        <v>1.9</v>
      </c>
      <c r="AI156" s="15">
        <v>2800</v>
      </c>
      <c r="AJ156" s="15">
        <v>2.6</v>
      </c>
      <c r="AK156" s="15">
        <v>130</v>
      </c>
      <c r="AL156" s="15">
        <v>8.1</v>
      </c>
    </row>
    <row r="157" spans="1:38" x14ac:dyDescent="0.25">
      <c r="A157" s="135" t="s">
        <v>101</v>
      </c>
      <c r="B157" s="3" t="s">
        <v>232</v>
      </c>
      <c r="C157" s="306">
        <v>272.47803264000004</v>
      </c>
      <c r="D157" s="250">
        <v>42233.46875</v>
      </c>
      <c r="E157" s="15">
        <v>6000</v>
      </c>
      <c r="F157" s="15">
        <v>6.0999999999999999E-2</v>
      </c>
      <c r="G157" s="15">
        <v>5.4</v>
      </c>
      <c r="H157" s="15">
        <v>8700</v>
      </c>
      <c r="I157" s="15">
        <v>4.9000000000000004</v>
      </c>
      <c r="J157" s="15">
        <v>140</v>
      </c>
      <c r="K157" s="15">
        <v>22</v>
      </c>
      <c r="L157" s="15"/>
      <c r="M157" s="253">
        <f t="shared" si="28"/>
        <v>3.7403626894942437</v>
      </c>
      <c r="N157" s="253">
        <f t="shared" si="29"/>
        <v>-1.2839966563652008</v>
      </c>
      <c r="O157" s="253">
        <f t="shared" si="30"/>
        <v>0.75587485567249146</v>
      </c>
      <c r="P157" s="253">
        <f t="shared" si="31"/>
        <v>3.8750612633917001</v>
      </c>
      <c r="Q157" s="253">
        <f t="shared" si="32"/>
        <v>0.74036268949424389</v>
      </c>
      <c r="R157" s="253">
        <f t="shared" si="33"/>
        <v>2.3010299956639813</v>
      </c>
      <c r="S157" s="253">
        <f t="shared" si="34"/>
        <v>1.3010299956639813</v>
      </c>
      <c r="AC157" s="135" t="s">
        <v>101</v>
      </c>
      <c r="AD157" s="306">
        <v>204.48324864000003</v>
      </c>
      <c r="AE157" s="210">
        <v>42275.454861111109</v>
      </c>
      <c r="AF157" s="15">
        <v>5500</v>
      </c>
      <c r="AG157" s="15">
        <v>5.1999999999999998E-2</v>
      </c>
      <c r="AH157" s="15">
        <v>5.7</v>
      </c>
      <c r="AI157" s="15">
        <v>7500</v>
      </c>
      <c r="AJ157" s="15">
        <v>5.5</v>
      </c>
      <c r="AK157" s="15">
        <v>200</v>
      </c>
      <c r="AL157" s="15">
        <v>20</v>
      </c>
    </row>
    <row r="158" spans="1:38" x14ac:dyDescent="0.25">
      <c r="A158" s="135" t="s">
        <v>101</v>
      </c>
      <c r="B158" s="3" t="s">
        <v>232</v>
      </c>
      <c r="C158" s="306">
        <v>272.47803264000004</v>
      </c>
      <c r="D158" s="250">
        <v>42240.487500000003</v>
      </c>
      <c r="E158" s="15">
        <v>5900</v>
      </c>
      <c r="F158" s="15">
        <v>0.15</v>
      </c>
      <c r="G158" s="15">
        <v>9.3000000000000007</v>
      </c>
      <c r="H158" s="15">
        <v>8400</v>
      </c>
      <c r="I158" s="15">
        <v>8.6</v>
      </c>
      <c r="J158" s="15">
        <v>230</v>
      </c>
      <c r="K158" s="15">
        <v>36</v>
      </c>
      <c r="L158" s="15"/>
      <c r="M158" s="253">
        <f t="shared" si="28"/>
        <v>3.4149733479708178</v>
      </c>
      <c r="N158" s="253">
        <f t="shared" si="29"/>
        <v>-1.4685210829577449</v>
      </c>
      <c r="O158" s="253">
        <f t="shared" si="30"/>
        <v>0.49136169383427269</v>
      </c>
      <c r="P158" s="253">
        <f t="shared" si="31"/>
        <v>3.7075701760979363</v>
      </c>
      <c r="Q158" s="253">
        <f t="shared" si="32"/>
        <v>0.64345267648618742</v>
      </c>
      <c r="R158" s="253">
        <f t="shared" si="33"/>
        <v>2.1139433523068369</v>
      </c>
      <c r="S158" s="253">
        <f t="shared" si="34"/>
        <v>1.146128035678238</v>
      </c>
      <c r="AC158" s="135" t="s">
        <v>101</v>
      </c>
      <c r="AD158" s="306">
        <v>196.87105152000001</v>
      </c>
      <c r="AE158" s="210">
        <v>42277.329861111109</v>
      </c>
      <c r="AF158" s="15">
        <v>2600</v>
      </c>
      <c r="AG158" s="15">
        <v>3.4000000000000002E-2</v>
      </c>
      <c r="AH158" s="15">
        <v>3.1</v>
      </c>
      <c r="AI158" s="15">
        <v>5100</v>
      </c>
      <c r="AJ158" s="15">
        <v>4.4000000000000004</v>
      </c>
      <c r="AK158" s="15">
        <v>130</v>
      </c>
      <c r="AL158" s="15">
        <v>14</v>
      </c>
    </row>
    <row r="159" spans="1:38" x14ac:dyDescent="0.25">
      <c r="A159" s="135" t="s">
        <v>101</v>
      </c>
      <c r="B159" s="3" t="s">
        <v>232</v>
      </c>
      <c r="C159" s="306">
        <v>272.47803264000004</v>
      </c>
      <c r="D159" s="250">
        <v>42241.446527777778</v>
      </c>
      <c r="E159" s="15">
        <v>3600</v>
      </c>
      <c r="F159" s="15">
        <v>3.5999999999999997E-2</v>
      </c>
      <c r="G159" s="15">
        <v>4.5999999999999996</v>
      </c>
      <c r="H159" s="15">
        <v>5900</v>
      </c>
      <c r="I159" s="15">
        <v>5.6</v>
      </c>
      <c r="J159" s="15">
        <v>190</v>
      </c>
      <c r="K159" s="15">
        <v>23</v>
      </c>
      <c r="L159" s="15"/>
      <c r="M159" s="253">
        <f t="shared" si="28"/>
        <v>3.7853298350107671</v>
      </c>
      <c r="N159" s="253">
        <f t="shared" si="29"/>
        <v>-1.2518119729937995</v>
      </c>
      <c r="O159" s="253">
        <f t="shared" si="30"/>
        <v>0.86923171973097624</v>
      </c>
      <c r="P159" s="253">
        <f t="shared" si="31"/>
        <v>3.9242792860618816</v>
      </c>
      <c r="Q159" s="253">
        <f t="shared" si="32"/>
        <v>0.81291335664285558</v>
      </c>
      <c r="R159" s="253">
        <f t="shared" si="33"/>
        <v>2.3802112417116059</v>
      </c>
      <c r="S159" s="253">
        <f t="shared" si="34"/>
        <v>1.4623979978989561</v>
      </c>
      <c r="AC159" s="135" t="s">
        <v>101</v>
      </c>
      <c r="AD159" s="306">
        <v>246.34228608000001</v>
      </c>
      <c r="AE159" s="210">
        <v>42277.361111111109</v>
      </c>
      <c r="AF159" s="15">
        <v>6100</v>
      </c>
      <c r="AG159" s="15">
        <v>5.6000000000000001E-2</v>
      </c>
      <c r="AH159" s="15">
        <v>7.4</v>
      </c>
      <c r="AI159" s="15">
        <v>8400</v>
      </c>
      <c r="AJ159" s="15">
        <v>6.5</v>
      </c>
      <c r="AK159" s="15">
        <v>240</v>
      </c>
      <c r="AL159" s="15">
        <v>29</v>
      </c>
    </row>
    <row r="160" spans="1:38" x14ac:dyDescent="0.25">
      <c r="A160" s="135" t="s">
        <v>101</v>
      </c>
      <c r="B160" s="3" t="s">
        <v>232</v>
      </c>
      <c r="C160" s="306">
        <v>272.47803264000004</v>
      </c>
      <c r="D160" s="250">
        <v>42241.446527777778</v>
      </c>
      <c r="E160" s="15">
        <v>5000</v>
      </c>
      <c r="F160" s="15">
        <v>0.13</v>
      </c>
      <c r="G160" s="15">
        <v>6.7</v>
      </c>
      <c r="H160" s="15">
        <v>7600</v>
      </c>
      <c r="I160" s="15">
        <v>6.9</v>
      </c>
      <c r="J160" s="15">
        <v>210</v>
      </c>
      <c r="K160" s="15">
        <v>30</v>
      </c>
      <c r="L160" s="15"/>
      <c r="M160" s="253">
        <f t="shared" si="28"/>
        <v>3.9444826721501687</v>
      </c>
      <c r="N160" s="253">
        <f t="shared" si="29"/>
        <v>-1.080921907623926</v>
      </c>
      <c r="O160" s="253">
        <f t="shared" si="30"/>
        <v>0.95424250943932487</v>
      </c>
      <c r="P160" s="253">
        <f t="shared" si="31"/>
        <v>4.0791812460476251</v>
      </c>
      <c r="Q160" s="253">
        <f t="shared" si="32"/>
        <v>0.86923171973097624</v>
      </c>
      <c r="R160" s="253">
        <f t="shared" si="33"/>
        <v>2.4313637641589874</v>
      </c>
      <c r="S160" s="253">
        <f t="shared" si="34"/>
        <v>1.5314789170422551</v>
      </c>
      <c r="AC160" s="135" t="s">
        <v>101</v>
      </c>
      <c r="AD160" s="306">
        <v>295.82961408</v>
      </c>
      <c r="AE160" s="210">
        <v>42277.399305555555</v>
      </c>
      <c r="AF160" s="15">
        <v>8800</v>
      </c>
      <c r="AG160" s="15">
        <v>8.3000000000000004E-2</v>
      </c>
      <c r="AH160" s="15">
        <v>9</v>
      </c>
      <c r="AI160" s="15">
        <v>12000</v>
      </c>
      <c r="AJ160" s="15">
        <v>7.4</v>
      </c>
      <c r="AK160" s="15">
        <v>270</v>
      </c>
      <c r="AL160" s="15">
        <v>34</v>
      </c>
    </row>
    <row r="161" spans="1:38" x14ac:dyDescent="0.25">
      <c r="A161" s="135" t="s">
        <v>101</v>
      </c>
      <c r="B161" s="3" t="s">
        <v>233</v>
      </c>
      <c r="C161" s="306">
        <v>295.82961408</v>
      </c>
      <c r="D161" s="250">
        <v>42230.527777777781</v>
      </c>
      <c r="E161" s="15">
        <v>12000</v>
      </c>
      <c r="F161" s="15">
        <v>0.36</v>
      </c>
      <c r="G161" s="15">
        <v>7.5</v>
      </c>
      <c r="H161" s="15">
        <v>15000</v>
      </c>
      <c r="I161" s="15">
        <v>7.7</v>
      </c>
      <c r="J161" s="15">
        <v>240</v>
      </c>
      <c r="K161" s="15">
        <v>28</v>
      </c>
      <c r="L161" s="15"/>
      <c r="M161" s="253">
        <f t="shared" si="28"/>
        <v>3.2041199826559246</v>
      </c>
      <c r="N161" s="253">
        <f t="shared" si="29"/>
        <v>-1.7212463990471711</v>
      </c>
      <c r="O161" s="253">
        <f t="shared" si="30"/>
        <v>0.27875360095282892</v>
      </c>
      <c r="P161" s="253">
        <f t="shared" si="31"/>
        <v>3.3979400086720375</v>
      </c>
      <c r="Q161" s="253">
        <f t="shared" si="32"/>
        <v>0.59106460702649921</v>
      </c>
      <c r="R161" s="253">
        <f t="shared" si="33"/>
        <v>2.2041199826559246</v>
      </c>
      <c r="S161" s="253">
        <f t="shared" si="34"/>
        <v>1.146128035678238</v>
      </c>
      <c r="AC161" s="135" t="s">
        <v>101</v>
      </c>
      <c r="AD161" s="306">
        <v>196.05028608000001</v>
      </c>
      <c r="AE161" s="210">
        <v>42277.420138888891</v>
      </c>
      <c r="AF161" s="15">
        <v>1600</v>
      </c>
      <c r="AG161" s="15">
        <v>1.9E-2</v>
      </c>
      <c r="AH161" s="15">
        <v>1.9</v>
      </c>
      <c r="AI161" s="15">
        <v>2500</v>
      </c>
      <c r="AJ161" s="15">
        <v>3.9</v>
      </c>
      <c r="AK161" s="15">
        <v>160</v>
      </c>
      <c r="AL161" s="15">
        <v>14</v>
      </c>
    </row>
    <row r="162" spans="1:38" x14ac:dyDescent="0.25">
      <c r="A162" s="135" t="s">
        <v>101</v>
      </c>
      <c r="B162" s="3" t="s">
        <v>233</v>
      </c>
      <c r="C162" s="306">
        <v>295.82961408</v>
      </c>
      <c r="D162" s="250">
        <v>42231.5</v>
      </c>
      <c r="E162" s="15">
        <v>7900</v>
      </c>
      <c r="F162" s="15">
        <v>0.34</v>
      </c>
      <c r="G162" s="15">
        <v>5.8</v>
      </c>
      <c r="H162" s="15">
        <v>8100</v>
      </c>
      <c r="I162" s="15">
        <v>6</v>
      </c>
      <c r="J162" s="15">
        <v>250</v>
      </c>
      <c r="K162" s="15">
        <v>23</v>
      </c>
      <c r="L162" s="15"/>
      <c r="M162" s="253">
        <f t="shared" si="28"/>
        <v>3.6532125137753435</v>
      </c>
      <c r="N162" s="253">
        <f t="shared" si="29"/>
        <v>-1.3979400086720375</v>
      </c>
      <c r="O162" s="253">
        <f t="shared" si="30"/>
        <v>0.66275783168157409</v>
      </c>
      <c r="P162" s="253">
        <f t="shared" si="31"/>
        <v>3.7923916894982539</v>
      </c>
      <c r="Q162" s="253">
        <f t="shared" si="32"/>
        <v>0.66275783168157409</v>
      </c>
      <c r="R162" s="253">
        <f t="shared" si="33"/>
        <v>2.3010299956639813</v>
      </c>
      <c r="S162" s="253">
        <f t="shared" si="34"/>
        <v>1.255272505103306</v>
      </c>
      <c r="AC162" s="135" t="s">
        <v>101</v>
      </c>
      <c r="AD162" s="306">
        <v>204.48324864000003</v>
      </c>
      <c r="AE162" s="210">
        <v>42277.440972222219</v>
      </c>
      <c r="AF162" s="15">
        <v>4500</v>
      </c>
      <c r="AG162" s="15">
        <v>0.04</v>
      </c>
      <c r="AH162" s="15">
        <v>4.5999999999999996</v>
      </c>
      <c r="AI162" s="15">
        <v>6200</v>
      </c>
      <c r="AJ162" s="15">
        <v>4.5999999999999996</v>
      </c>
      <c r="AK162" s="15">
        <v>200</v>
      </c>
      <c r="AL162" s="15">
        <v>18</v>
      </c>
    </row>
    <row r="163" spans="1:38" x14ac:dyDescent="0.25">
      <c r="A163" s="135" t="s">
        <v>101</v>
      </c>
      <c r="B163" s="3" t="s">
        <v>233</v>
      </c>
      <c r="C163" s="306">
        <v>295.82961408</v>
      </c>
      <c r="D163" s="250">
        <v>42233.392361111109</v>
      </c>
      <c r="E163" s="15">
        <v>3000</v>
      </c>
      <c r="F163" s="15">
        <v>4.4999999999999998E-2</v>
      </c>
      <c r="G163" s="15">
        <v>4.5999999999999996</v>
      </c>
      <c r="H163" s="15">
        <v>3900</v>
      </c>
      <c r="I163" s="15">
        <v>4.7</v>
      </c>
      <c r="J163" s="15">
        <v>150</v>
      </c>
      <c r="K163" s="15">
        <v>17</v>
      </c>
      <c r="L163" s="15"/>
      <c r="M163" s="253">
        <f t="shared" si="28"/>
        <v>3.5051499783199058</v>
      </c>
      <c r="N163" s="253">
        <f t="shared" si="29"/>
        <v>-1.6197887582883939</v>
      </c>
      <c r="O163" s="253">
        <f t="shared" si="30"/>
        <v>0.54406804435027567</v>
      </c>
      <c r="P163" s="253">
        <f t="shared" si="31"/>
        <v>3.6901960800285138</v>
      </c>
      <c r="Q163" s="253">
        <f t="shared" si="32"/>
        <v>0.56820172406699498</v>
      </c>
      <c r="R163" s="253">
        <f t="shared" si="33"/>
        <v>2.2304489213782741</v>
      </c>
      <c r="S163" s="253">
        <f t="shared" si="34"/>
        <v>1.146128035678238</v>
      </c>
      <c r="AC163" s="135" t="s">
        <v>101</v>
      </c>
      <c r="AD163" s="306">
        <v>196.87105152000001</v>
      </c>
      <c r="AE163" s="210">
        <v>42282.347222222219</v>
      </c>
      <c r="AF163" s="15">
        <v>3200</v>
      </c>
      <c r="AG163" s="15">
        <v>2.4E-2</v>
      </c>
      <c r="AH163" s="15">
        <v>3.5</v>
      </c>
      <c r="AI163" s="15">
        <v>4900</v>
      </c>
      <c r="AJ163" s="15">
        <v>3.7</v>
      </c>
      <c r="AK163" s="15">
        <v>170</v>
      </c>
      <c r="AL163" s="15">
        <v>14</v>
      </c>
    </row>
    <row r="164" spans="1:38" x14ac:dyDescent="0.25">
      <c r="A164" s="135" t="s">
        <v>101</v>
      </c>
      <c r="B164" s="3" t="s">
        <v>233</v>
      </c>
      <c r="C164" s="306">
        <v>295.82961408</v>
      </c>
      <c r="D164" s="250">
        <v>42233.392361111109</v>
      </c>
      <c r="E164" s="15">
        <v>4700</v>
      </c>
      <c r="F164" s="15">
        <v>6.2E-2</v>
      </c>
      <c r="G164" s="15">
        <v>5.2</v>
      </c>
      <c r="H164" s="15">
        <v>6200</v>
      </c>
      <c r="I164" s="15">
        <v>5.0999999999999996</v>
      </c>
      <c r="J164" s="15">
        <v>160</v>
      </c>
      <c r="K164" s="15">
        <v>18</v>
      </c>
      <c r="L164" s="15"/>
      <c r="M164" s="253">
        <f t="shared" si="28"/>
        <v>3.5051499783199058</v>
      </c>
      <c r="N164" s="253">
        <f t="shared" si="29"/>
        <v>-1.4089353929735009</v>
      </c>
      <c r="O164" s="253">
        <f t="shared" si="30"/>
        <v>0.59106460702649921</v>
      </c>
      <c r="P164" s="253">
        <f t="shared" si="31"/>
        <v>3.6989700043360187</v>
      </c>
      <c r="Q164" s="253">
        <f t="shared" si="32"/>
        <v>0.68124123737558717</v>
      </c>
      <c r="R164" s="253">
        <f t="shared" si="33"/>
        <v>2.2304489213782741</v>
      </c>
      <c r="S164" s="253">
        <f t="shared" si="34"/>
        <v>1.255272505103306</v>
      </c>
      <c r="AC164" s="135" t="s">
        <v>101</v>
      </c>
      <c r="AD164" s="306">
        <v>246.34228608000001</v>
      </c>
      <c r="AE164" s="210">
        <v>42282.386111111111</v>
      </c>
      <c r="AF164" s="15">
        <v>3200</v>
      </c>
      <c r="AG164" s="15">
        <v>3.9E-2</v>
      </c>
      <c r="AH164" s="15">
        <v>3.9</v>
      </c>
      <c r="AI164" s="15">
        <v>5000</v>
      </c>
      <c r="AJ164" s="15">
        <v>4.8</v>
      </c>
      <c r="AK164" s="15">
        <v>170</v>
      </c>
      <c r="AL164" s="15">
        <v>18</v>
      </c>
    </row>
    <row r="165" spans="1:38" x14ac:dyDescent="0.25">
      <c r="A165" s="135" t="s">
        <v>101</v>
      </c>
      <c r="B165" s="3" t="s">
        <v>233</v>
      </c>
      <c r="C165" s="306">
        <v>295.82961408</v>
      </c>
      <c r="D165" s="250">
        <v>42234.586805555555</v>
      </c>
      <c r="E165" s="15">
        <v>6600</v>
      </c>
      <c r="F165" s="15">
        <v>7.6999999999999999E-2</v>
      </c>
      <c r="G165" s="15">
        <v>6.2</v>
      </c>
      <c r="H165" s="15">
        <v>8500</v>
      </c>
      <c r="I165" s="15">
        <v>6.8</v>
      </c>
      <c r="J165" s="15">
        <v>200</v>
      </c>
      <c r="K165" s="15">
        <v>23</v>
      </c>
      <c r="L165" s="15"/>
      <c r="M165" s="253">
        <f t="shared" si="28"/>
        <v>3.7923916894982539</v>
      </c>
      <c r="N165" s="253">
        <f t="shared" si="29"/>
        <v>-1.0757207139381184</v>
      </c>
      <c r="O165" s="253">
        <f t="shared" si="30"/>
        <v>0.89762709129044149</v>
      </c>
      <c r="P165" s="253">
        <f t="shared" si="31"/>
        <v>3.9867717342662448</v>
      </c>
      <c r="Q165" s="253">
        <f t="shared" si="32"/>
        <v>0.68124123737558717</v>
      </c>
      <c r="R165" s="253">
        <f t="shared" si="33"/>
        <v>2.3802112417116059</v>
      </c>
      <c r="S165" s="253">
        <f t="shared" si="34"/>
        <v>1.4623979978989561</v>
      </c>
      <c r="AC165" s="135" t="s">
        <v>101</v>
      </c>
      <c r="AD165" s="306">
        <v>295.82961408</v>
      </c>
      <c r="AE165" s="210">
        <v>42282.429166666669</v>
      </c>
      <c r="AF165" s="15">
        <v>6200</v>
      </c>
      <c r="AG165" s="15">
        <v>8.4000000000000005E-2</v>
      </c>
      <c r="AH165" s="15">
        <v>7.9</v>
      </c>
      <c r="AI165" s="15">
        <v>9700</v>
      </c>
      <c r="AJ165" s="15">
        <v>4.8</v>
      </c>
      <c r="AK165" s="15">
        <v>240</v>
      </c>
      <c r="AL165" s="15">
        <v>29</v>
      </c>
    </row>
    <row r="166" spans="1:38" x14ac:dyDescent="0.25">
      <c r="A166" s="135" t="s">
        <v>101</v>
      </c>
      <c r="B166" s="3" t="s">
        <v>233</v>
      </c>
      <c r="C166" s="306">
        <v>295.82961408</v>
      </c>
      <c r="D166" s="250">
        <v>42235.503472222219</v>
      </c>
      <c r="E166" s="15">
        <v>5500</v>
      </c>
      <c r="F166" s="15">
        <v>7.8E-2</v>
      </c>
      <c r="G166" s="15">
        <v>6</v>
      </c>
      <c r="H166" s="15">
        <v>7100</v>
      </c>
      <c r="I166" s="15">
        <v>6.5</v>
      </c>
      <c r="J166" s="15">
        <v>230</v>
      </c>
      <c r="K166" s="15">
        <v>24</v>
      </c>
      <c r="L166" s="15"/>
      <c r="M166" s="253">
        <f t="shared" ref="M166:M180" si="35">LOG(AF166)</f>
        <v>3.5563025007672873</v>
      </c>
      <c r="N166" s="253">
        <f t="shared" ref="N166:N180" si="36">LOG(AG166)</f>
        <v>-1.3187587626244128</v>
      </c>
      <c r="O166" s="253">
        <f t="shared" ref="O166:O180" si="37">LOG(AH166)</f>
        <v>0.56820172406699498</v>
      </c>
      <c r="P166" s="253">
        <f t="shared" ref="P166:P180" si="38">LOG(AI166)</f>
        <v>3.7558748556724915</v>
      </c>
      <c r="Q166" s="253">
        <f t="shared" ref="Q166:Q180" si="39">LOG(AJ166)</f>
        <v>0.68124123737558717</v>
      </c>
      <c r="R166" s="253">
        <f t="shared" ref="R166:R180" si="40">LOG(AK166)</f>
        <v>2.1760912590556813</v>
      </c>
      <c r="S166" s="253">
        <f t="shared" ref="S166:S180" si="41">LOG(AL166)</f>
        <v>1.1139433523068367</v>
      </c>
      <c r="AC166" s="135" t="s">
        <v>101</v>
      </c>
      <c r="AD166" s="306">
        <v>196.87105152000001</v>
      </c>
      <c r="AE166" s="210">
        <v>42285.331250000003</v>
      </c>
      <c r="AF166" s="15">
        <v>3600</v>
      </c>
      <c r="AG166" s="15">
        <v>4.8000000000000001E-2</v>
      </c>
      <c r="AH166" s="15">
        <v>3.7</v>
      </c>
      <c r="AI166" s="15">
        <v>5700</v>
      </c>
      <c r="AJ166" s="15">
        <v>4.8</v>
      </c>
      <c r="AK166" s="15">
        <v>150</v>
      </c>
      <c r="AL166" s="15">
        <v>13</v>
      </c>
    </row>
    <row r="167" spans="1:38" x14ac:dyDescent="0.25">
      <c r="A167" s="135" t="s">
        <v>101</v>
      </c>
      <c r="B167" s="3" t="s">
        <v>233</v>
      </c>
      <c r="C167" s="306">
        <v>295.82961408</v>
      </c>
      <c r="D167" s="250">
        <v>42240.560416666667</v>
      </c>
      <c r="E167" s="15">
        <v>4600</v>
      </c>
      <c r="F167" s="15">
        <v>3.1E-2</v>
      </c>
      <c r="G167" s="15">
        <v>3.5</v>
      </c>
      <c r="H167" s="15">
        <v>6700</v>
      </c>
      <c r="I167" s="15">
        <v>4.3</v>
      </c>
      <c r="J167" s="15">
        <v>130</v>
      </c>
      <c r="K167" s="15">
        <v>16</v>
      </c>
      <c r="L167" s="15"/>
      <c r="M167" s="253">
        <f t="shared" si="35"/>
        <v>3.7634279935629373</v>
      </c>
      <c r="N167" s="253">
        <f t="shared" si="36"/>
        <v>-1.0969100130080565</v>
      </c>
      <c r="O167" s="253">
        <f t="shared" si="37"/>
        <v>0.61278385671973545</v>
      </c>
      <c r="P167" s="253">
        <f t="shared" si="38"/>
        <v>3.90848501887865</v>
      </c>
      <c r="Q167" s="253">
        <f t="shared" si="39"/>
        <v>0.68124123737558717</v>
      </c>
      <c r="R167" s="253">
        <f t="shared" si="40"/>
        <v>2.2787536009528289</v>
      </c>
      <c r="S167" s="253">
        <f t="shared" si="41"/>
        <v>1.3617278360175928</v>
      </c>
      <c r="AC167" s="135" t="s">
        <v>101</v>
      </c>
      <c r="AD167" s="306">
        <v>246.34228608000001</v>
      </c>
      <c r="AE167" s="210">
        <v>42285.370138888888</v>
      </c>
      <c r="AF167" s="15">
        <v>5800</v>
      </c>
      <c r="AG167" s="15">
        <v>0.08</v>
      </c>
      <c r="AH167" s="15">
        <v>4.0999999999999996</v>
      </c>
      <c r="AI167" s="15">
        <v>8100</v>
      </c>
      <c r="AJ167" s="15">
        <v>4.8</v>
      </c>
      <c r="AK167" s="15">
        <v>190</v>
      </c>
      <c r="AL167" s="15">
        <v>23</v>
      </c>
    </row>
    <row r="168" spans="1:38" x14ac:dyDescent="0.25">
      <c r="A168" s="135" t="s">
        <v>101</v>
      </c>
      <c r="B168" s="3" t="s">
        <v>233</v>
      </c>
      <c r="C168" s="306">
        <v>295.82961408</v>
      </c>
      <c r="D168" s="250">
        <v>42241.522916666669</v>
      </c>
      <c r="E168" s="15">
        <v>3800</v>
      </c>
      <c r="F168" s="15">
        <v>0.06</v>
      </c>
      <c r="G168" s="15">
        <v>4.4000000000000004</v>
      </c>
      <c r="H168" s="15">
        <v>6100</v>
      </c>
      <c r="I168" s="15">
        <v>5.7</v>
      </c>
      <c r="J168" s="15">
        <v>220</v>
      </c>
      <c r="K168" s="15">
        <v>25</v>
      </c>
      <c r="L168" s="15"/>
      <c r="M168" s="253">
        <f t="shared" si="35"/>
        <v>3.8195439355418688</v>
      </c>
      <c r="N168" s="253">
        <f t="shared" si="36"/>
        <v>-1.0043648054024501</v>
      </c>
      <c r="O168" s="253">
        <f t="shared" si="37"/>
        <v>0.74818802700620035</v>
      </c>
      <c r="P168" s="253">
        <f t="shared" si="38"/>
        <v>3.9190780923760737</v>
      </c>
      <c r="Q168" s="253">
        <f t="shared" si="39"/>
        <v>0.68124123737558717</v>
      </c>
      <c r="R168" s="253">
        <f t="shared" si="40"/>
        <v>2.3802112417116059</v>
      </c>
      <c r="S168" s="253">
        <f t="shared" si="41"/>
        <v>1.3424226808222062</v>
      </c>
      <c r="AC168" s="135" t="s">
        <v>101</v>
      </c>
      <c r="AD168" s="306">
        <v>295.82961408</v>
      </c>
      <c r="AE168" s="210">
        <v>42285.421527777777</v>
      </c>
      <c r="AF168" s="15">
        <v>6600</v>
      </c>
      <c r="AG168" s="15">
        <v>9.9000000000000005E-2</v>
      </c>
      <c r="AH168" s="15">
        <v>5.6</v>
      </c>
      <c r="AI168" s="15">
        <v>8300</v>
      </c>
      <c r="AJ168" s="15">
        <v>4.8</v>
      </c>
      <c r="AK168" s="15">
        <v>240</v>
      </c>
      <c r="AL168" s="15">
        <v>22</v>
      </c>
    </row>
    <row r="169" spans="1:38" x14ac:dyDescent="0.25">
      <c r="A169" s="135" t="s">
        <v>101</v>
      </c>
      <c r="B169" s="3" t="s">
        <v>233</v>
      </c>
      <c r="C169" s="306">
        <v>295.82961408</v>
      </c>
      <c r="D169" s="250">
        <v>42242</v>
      </c>
      <c r="E169" s="15">
        <v>3800</v>
      </c>
      <c r="F169" s="15">
        <v>7.4999999999999997E-2</v>
      </c>
      <c r="G169" s="15">
        <v>4.2</v>
      </c>
      <c r="H169" s="15">
        <v>6000</v>
      </c>
      <c r="I169" s="15">
        <v>6</v>
      </c>
      <c r="J169" s="15">
        <v>170</v>
      </c>
      <c r="K169" s="15">
        <v>22</v>
      </c>
      <c r="L169" s="15"/>
      <c r="M169" s="253">
        <f t="shared" si="35"/>
        <v>3.3617278360175931</v>
      </c>
      <c r="N169" s="253">
        <f t="shared" si="36"/>
        <v>-1.8239087409443189</v>
      </c>
      <c r="O169" s="253">
        <f t="shared" si="37"/>
        <v>0.43136376415898736</v>
      </c>
      <c r="P169" s="253">
        <f t="shared" si="38"/>
        <v>3.5910646070264991</v>
      </c>
      <c r="Q169" s="253">
        <f t="shared" si="39"/>
        <v>0.68124123737558717</v>
      </c>
      <c r="R169" s="253">
        <f t="shared" si="40"/>
        <v>2.1461280356782382</v>
      </c>
      <c r="S169" s="253">
        <f t="shared" si="41"/>
        <v>1.0413926851582251</v>
      </c>
      <c r="AC169" s="135" t="s">
        <v>101</v>
      </c>
      <c r="AD169" s="306">
        <v>196.05028608000001</v>
      </c>
      <c r="AE169" s="210">
        <v>42285.46875</v>
      </c>
      <c r="AF169" s="15">
        <v>2300</v>
      </c>
      <c r="AG169" s="15">
        <v>1.4999999999999999E-2</v>
      </c>
      <c r="AH169" s="15">
        <v>2.7</v>
      </c>
      <c r="AI169" s="15">
        <v>3900</v>
      </c>
      <c r="AJ169" s="15">
        <v>4.8</v>
      </c>
      <c r="AK169" s="15">
        <v>140</v>
      </c>
      <c r="AL169" s="15">
        <v>11</v>
      </c>
    </row>
    <row r="170" spans="1:38" x14ac:dyDescent="0.25">
      <c r="A170" s="135" t="s">
        <v>101</v>
      </c>
      <c r="B170" s="3" t="s">
        <v>233</v>
      </c>
      <c r="C170" s="306">
        <v>295.82961408</v>
      </c>
      <c r="D170" s="250">
        <v>42243.519444444442</v>
      </c>
      <c r="E170" s="15">
        <v>5900</v>
      </c>
      <c r="F170" s="15">
        <v>0.05</v>
      </c>
      <c r="G170" s="15">
        <v>5.9</v>
      </c>
      <c r="H170" s="15">
        <v>8400</v>
      </c>
      <c r="I170" s="15">
        <v>5.0999999999999996</v>
      </c>
      <c r="J170" s="15">
        <v>180</v>
      </c>
      <c r="K170" s="15">
        <v>21</v>
      </c>
      <c r="L170" s="15"/>
      <c r="M170" s="253">
        <f t="shared" si="35"/>
        <v>3.8808135922807914</v>
      </c>
      <c r="N170" s="253">
        <f t="shared" si="36"/>
        <v>-1.3187587626244128</v>
      </c>
      <c r="O170" s="253">
        <f t="shared" si="37"/>
        <v>0.74818802700620035</v>
      </c>
      <c r="P170" s="253">
        <f t="shared" si="38"/>
        <v>3.9956351945975501</v>
      </c>
      <c r="Q170" s="253">
        <f t="shared" si="39"/>
        <v>0.68124123737558717</v>
      </c>
      <c r="R170" s="253">
        <f t="shared" si="40"/>
        <v>2.3222192947339191</v>
      </c>
      <c r="S170" s="253">
        <f t="shared" si="41"/>
        <v>1.3010299956639813</v>
      </c>
      <c r="AC170" s="135" t="s">
        <v>101</v>
      </c>
      <c r="AD170" s="306">
        <v>204.48324864000003</v>
      </c>
      <c r="AE170" s="210">
        <v>42285.493055555555</v>
      </c>
      <c r="AF170" s="15">
        <v>7600</v>
      </c>
      <c r="AG170" s="15">
        <v>4.8000000000000001E-2</v>
      </c>
      <c r="AH170" s="15">
        <v>5.6</v>
      </c>
      <c r="AI170" s="15">
        <v>9900</v>
      </c>
      <c r="AJ170" s="15">
        <v>4.8</v>
      </c>
      <c r="AK170" s="15">
        <v>210</v>
      </c>
      <c r="AL170" s="15">
        <v>20</v>
      </c>
    </row>
    <row r="171" spans="1:38" x14ac:dyDescent="0.25">
      <c r="A171" s="135" t="s">
        <v>101</v>
      </c>
      <c r="B171" s="3" t="s">
        <v>233</v>
      </c>
      <c r="C171" s="306">
        <v>295.82961408</v>
      </c>
      <c r="D171" s="250">
        <v>42257.565972222219</v>
      </c>
      <c r="E171" s="15">
        <v>5500</v>
      </c>
      <c r="F171" s="15">
        <v>0.11</v>
      </c>
      <c r="G171" s="15">
        <v>7.1</v>
      </c>
      <c r="H171" s="15">
        <v>6400</v>
      </c>
      <c r="I171" s="15">
        <v>7.3</v>
      </c>
      <c r="J171" s="15">
        <v>260</v>
      </c>
      <c r="K171" s="15">
        <v>27</v>
      </c>
      <c r="L171" s="15"/>
      <c r="M171" s="253">
        <f t="shared" si="35"/>
        <v>3.3424226808222062</v>
      </c>
      <c r="N171" s="253">
        <f t="shared" si="36"/>
        <v>-1.6575773191777938</v>
      </c>
      <c r="O171" s="253">
        <f t="shared" si="37"/>
        <v>0.36172783601759284</v>
      </c>
      <c r="P171" s="253">
        <f t="shared" si="38"/>
        <v>3.5563025007672873</v>
      </c>
      <c r="Q171" s="253">
        <f t="shared" si="39"/>
        <v>0.68124123737558717</v>
      </c>
      <c r="R171" s="253">
        <f t="shared" si="40"/>
        <v>2.1461280356782382</v>
      </c>
      <c r="S171" s="253">
        <f t="shared" si="41"/>
        <v>0.98227123303956843</v>
      </c>
      <c r="AC171" s="135" t="s">
        <v>101</v>
      </c>
      <c r="AD171" s="306">
        <v>196.87105152000001</v>
      </c>
      <c r="AE171" s="210">
        <v>42289.381944444445</v>
      </c>
      <c r="AF171" s="15">
        <v>2200</v>
      </c>
      <c r="AG171" s="15">
        <v>2.1999999999999999E-2</v>
      </c>
      <c r="AH171" s="15">
        <v>2.2999999999999998</v>
      </c>
      <c r="AI171" s="15">
        <v>3600</v>
      </c>
      <c r="AJ171" s="15">
        <v>4.8</v>
      </c>
      <c r="AK171" s="15">
        <v>140</v>
      </c>
      <c r="AL171" s="15">
        <v>9.6</v>
      </c>
    </row>
    <row r="172" spans="1:38" x14ac:dyDescent="0.25">
      <c r="A172" s="135" t="s">
        <v>101</v>
      </c>
      <c r="B172" s="3" t="s">
        <v>233</v>
      </c>
      <c r="C172" s="306">
        <v>295.82961408</v>
      </c>
      <c r="D172" s="250">
        <v>42262.506944444445</v>
      </c>
      <c r="E172" s="15">
        <v>6900</v>
      </c>
      <c r="F172" s="15">
        <v>0.1</v>
      </c>
      <c r="G172" s="15">
        <v>8.6</v>
      </c>
      <c r="H172" s="15">
        <v>8900</v>
      </c>
      <c r="I172" s="15">
        <v>7.5</v>
      </c>
      <c r="J172" s="15">
        <v>250</v>
      </c>
      <c r="K172" s="15">
        <v>32</v>
      </c>
      <c r="L172" s="15"/>
      <c r="M172" s="253">
        <f t="shared" si="35"/>
        <v>3.6232492903979003</v>
      </c>
      <c r="N172" s="253">
        <f t="shared" si="36"/>
        <v>-1.2839966563652008</v>
      </c>
      <c r="O172" s="253">
        <f t="shared" si="37"/>
        <v>0.63346845557958653</v>
      </c>
      <c r="P172" s="253">
        <f t="shared" si="38"/>
        <v>3.8129133566428557</v>
      </c>
      <c r="Q172" s="253">
        <f t="shared" si="39"/>
        <v>0.68124123737558717</v>
      </c>
      <c r="R172" s="253">
        <f t="shared" si="40"/>
        <v>2.3010299956639813</v>
      </c>
      <c r="S172" s="253">
        <f t="shared" si="41"/>
        <v>1.3617278360175928</v>
      </c>
      <c r="AC172" s="135" t="s">
        <v>101</v>
      </c>
      <c r="AD172" s="306">
        <v>246.34228608000001</v>
      </c>
      <c r="AE172" s="210">
        <v>42289.423611111109</v>
      </c>
      <c r="AF172" s="15">
        <v>4200</v>
      </c>
      <c r="AG172" s="15">
        <v>5.1999999999999998E-2</v>
      </c>
      <c r="AH172" s="15">
        <v>4.3</v>
      </c>
      <c r="AI172" s="15">
        <v>6500</v>
      </c>
      <c r="AJ172" s="15">
        <v>4.8</v>
      </c>
      <c r="AK172" s="15">
        <v>200</v>
      </c>
      <c r="AL172" s="15">
        <v>23</v>
      </c>
    </row>
    <row r="173" spans="1:38" x14ac:dyDescent="0.25">
      <c r="A173" s="135" t="s">
        <v>101</v>
      </c>
      <c r="B173" s="3" t="s">
        <v>233</v>
      </c>
      <c r="C173" s="306">
        <v>295.82961408</v>
      </c>
      <c r="D173" s="250">
        <v>42264.503472222219</v>
      </c>
      <c r="E173" s="15">
        <v>6100</v>
      </c>
      <c r="F173" s="15">
        <v>6.6000000000000003E-2</v>
      </c>
      <c r="G173" s="15">
        <v>6.3</v>
      </c>
      <c r="H173" s="15">
        <v>8300</v>
      </c>
      <c r="I173" s="15">
        <v>7</v>
      </c>
      <c r="J173" s="15">
        <v>240</v>
      </c>
      <c r="K173" s="15">
        <v>28</v>
      </c>
      <c r="L173" s="15"/>
      <c r="M173" s="253">
        <f t="shared" si="35"/>
        <v>3.6627578316815739</v>
      </c>
      <c r="N173" s="253">
        <f t="shared" si="36"/>
        <v>-1.2146701649892331</v>
      </c>
      <c r="O173" s="253">
        <f t="shared" si="37"/>
        <v>0.69897000433601886</v>
      </c>
      <c r="P173" s="253">
        <f t="shared" si="38"/>
        <v>3.8260748027008264</v>
      </c>
      <c r="Q173" s="253">
        <f t="shared" si="39"/>
        <v>0.68124123737558717</v>
      </c>
      <c r="R173" s="253">
        <f t="shared" si="40"/>
        <v>2.2787536009528289</v>
      </c>
      <c r="S173" s="253">
        <f t="shared" si="41"/>
        <v>1.3010299956639813</v>
      </c>
      <c r="AC173" s="135" t="s">
        <v>101</v>
      </c>
      <c r="AD173" s="306">
        <v>295.82961408</v>
      </c>
      <c r="AE173" s="210">
        <v>42289.454861111109</v>
      </c>
      <c r="AF173" s="15">
        <v>4600</v>
      </c>
      <c r="AG173" s="15">
        <v>6.0999999999999999E-2</v>
      </c>
      <c r="AH173" s="15">
        <v>5</v>
      </c>
      <c r="AI173" s="15">
        <v>6700</v>
      </c>
      <c r="AJ173" s="15">
        <v>4.8</v>
      </c>
      <c r="AK173" s="15">
        <v>190</v>
      </c>
      <c r="AL173" s="15">
        <v>20</v>
      </c>
    </row>
    <row r="174" spans="1:38" x14ac:dyDescent="0.25">
      <c r="A174" s="135" t="s">
        <v>101</v>
      </c>
      <c r="B174" s="3" t="s">
        <v>233</v>
      </c>
      <c r="C174" s="306">
        <v>295.82961408</v>
      </c>
      <c r="D174" s="250">
        <v>42268.534722222219</v>
      </c>
      <c r="E174" s="15">
        <v>6200</v>
      </c>
      <c r="F174" s="15">
        <v>0.12</v>
      </c>
      <c r="G174" s="15">
        <v>9.5</v>
      </c>
      <c r="H174" s="15">
        <v>8400</v>
      </c>
      <c r="I174" s="15">
        <v>8.8000000000000007</v>
      </c>
      <c r="J174" s="15">
        <v>280</v>
      </c>
      <c r="K174" s="15">
        <v>37</v>
      </c>
      <c r="L174" s="15"/>
      <c r="M174" s="253">
        <f t="shared" si="35"/>
        <v>3.255272505103306</v>
      </c>
      <c r="N174" s="253">
        <f t="shared" si="36"/>
        <v>-1.6777807052660807</v>
      </c>
      <c r="O174" s="253">
        <f t="shared" si="37"/>
        <v>0.20411998265592479</v>
      </c>
      <c r="P174" s="253">
        <f t="shared" si="38"/>
        <v>3.4913616938342726</v>
      </c>
      <c r="Q174" s="253">
        <f t="shared" si="39"/>
        <v>0.68124123737558717</v>
      </c>
      <c r="R174" s="253">
        <f t="shared" si="40"/>
        <v>2.1139433523068369</v>
      </c>
      <c r="S174" s="253">
        <f t="shared" si="41"/>
        <v>0.9493900066449128</v>
      </c>
      <c r="AC174" s="135" t="s">
        <v>101</v>
      </c>
      <c r="AD174" s="306">
        <v>196.05028608000001</v>
      </c>
      <c r="AE174" s="210">
        <v>42291.482638888891</v>
      </c>
      <c r="AF174" s="15">
        <v>1800</v>
      </c>
      <c r="AG174" s="15">
        <v>2.1000000000000001E-2</v>
      </c>
      <c r="AH174" s="15">
        <v>1.6</v>
      </c>
      <c r="AI174" s="15">
        <v>3100</v>
      </c>
      <c r="AJ174" s="15">
        <v>4.8</v>
      </c>
      <c r="AK174" s="15">
        <v>130</v>
      </c>
      <c r="AL174" s="15">
        <v>8.9</v>
      </c>
    </row>
    <row r="175" spans="1:38" x14ac:dyDescent="0.25">
      <c r="A175" s="135" t="s">
        <v>101</v>
      </c>
      <c r="B175" s="3" t="s">
        <v>233</v>
      </c>
      <c r="C175" s="306">
        <v>295.82961408</v>
      </c>
      <c r="D175" s="250">
        <v>42271.506944444445</v>
      </c>
      <c r="E175" s="15">
        <v>7100</v>
      </c>
      <c r="F175" s="15">
        <v>8.3000000000000004E-2</v>
      </c>
      <c r="G175" s="15">
        <v>8.8000000000000007</v>
      </c>
      <c r="H175" s="15">
        <v>9300</v>
      </c>
      <c r="I175" s="15">
        <v>7.5</v>
      </c>
      <c r="J175" s="15">
        <v>240</v>
      </c>
      <c r="K175" s="15">
        <v>30</v>
      </c>
      <c r="L175" s="15"/>
      <c r="M175" s="253">
        <f t="shared" si="35"/>
        <v>3.6532125137753435</v>
      </c>
      <c r="N175" s="253">
        <f t="shared" si="36"/>
        <v>-1.4202164033831899</v>
      </c>
      <c r="O175" s="253">
        <f t="shared" si="37"/>
        <v>0.62324929039790045</v>
      </c>
      <c r="P175" s="253">
        <f t="shared" si="38"/>
        <v>3.8808135922807914</v>
      </c>
      <c r="Q175" s="253">
        <f t="shared" si="39"/>
        <v>0.68124123737558717</v>
      </c>
      <c r="R175" s="253">
        <f t="shared" si="40"/>
        <v>2.2041199826559246</v>
      </c>
      <c r="S175" s="253">
        <f t="shared" si="41"/>
        <v>1.2041199826559248</v>
      </c>
      <c r="AC175" s="135" t="s">
        <v>101</v>
      </c>
      <c r="AD175" s="306">
        <v>204.48324864000003</v>
      </c>
      <c r="AE175" s="210">
        <v>42291.506944444445</v>
      </c>
      <c r="AF175" s="15">
        <v>4500</v>
      </c>
      <c r="AG175" s="15">
        <v>3.7999999999999999E-2</v>
      </c>
      <c r="AH175" s="15">
        <v>4.2</v>
      </c>
      <c r="AI175" s="15">
        <v>7600</v>
      </c>
      <c r="AJ175" s="15">
        <v>4.8</v>
      </c>
      <c r="AK175" s="15">
        <v>160</v>
      </c>
      <c r="AL175" s="15">
        <v>16</v>
      </c>
    </row>
    <row r="176" spans="1:38" x14ac:dyDescent="0.25">
      <c r="A176" s="135" t="s">
        <v>101</v>
      </c>
      <c r="B176" s="3" t="s">
        <v>233</v>
      </c>
      <c r="C176" s="306">
        <v>295.82961408</v>
      </c>
      <c r="D176" s="250">
        <v>42277.399305555555</v>
      </c>
      <c r="E176" s="15">
        <v>8800</v>
      </c>
      <c r="F176" s="15">
        <v>8.3000000000000004E-2</v>
      </c>
      <c r="G176" s="15">
        <v>9</v>
      </c>
      <c r="H176" s="15">
        <v>12000</v>
      </c>
      <c r="I176" s="15">
        <v>7.4</v>
      </c>
      <c r="J176" s="15">
        <v>270</v>
      </c>
      <c r="K176" s="15">
        <v>34</v>
      </c>
      <c r="L176" s="15"/>
      <c r="M176" s="253">
        <f t="shared" si="35"/>
        <v>3.7323937598229686</v>
      </c>
      <c r="N176" s="253">
        <f t="shared" si="36"/>
        <v>-1.5528419686577808</v>
      </c>
      <c r="O176" s="253">
        <f t="shared" si="37"/>
        <v>0.47712125471966244</v>
      </c>
      <c r="P176" s="253">
        <f t="shared" si="38"/>
        <v>3.8450980400142569</v>
      </c>
      <c r="Q176" s="253">
        <f t="shared" si="39"/>
        <v>0.68124123737558717</v>
      </c>
      <c r="R176" s="253">
        <f t="shared" si="40"/>
        <v>2.3979400086720375</v>
      </c>
      <c r="S176" s="253">
        <f t="shared" si="41"/>
        <v>1.3222192947339193</v>
      </c>
      <c r="AC176" s="135" t="s">
        <v>101</v>
      </c>
      <c r="AD176" s="306">
        <v>295.82961408</v>
      </c>
      <c r="AE176" s="210">
        <v>42303.447916666664</v>
      </c>
      <c r="AF176" s="15">
        <v>5400</v>
      </c>
      <c r="AG176" s="15">
        <v>2.8000000000000001E-2</v>
      </c>
      <c r="AH176" s="15">
        <v>3</v>
      </c>
      <c r="AI176" s="15">
        <v>7000</v>
      </c>
      <c r="AJ176" s="15">
        <v>4.8</v>
      </c>
      <c r="AK176" s="15">
        <v>250</v>
      </c>
      <c r="AL176" s="15">
        <v>21</v>
      </c>
    </row>
    <row r="177" spans="1:38" x14ac:dyDescent="0.25">
      <c r="A177" s="135" t="s">
        <v>101</v>
      </c>
      <c r="B177" s="3" t="s">
        <v>233</v>
      </c>
      <c r="C177" s="306">
        <v>295.82961408</v>
      </c>
      <c r="D177" s="250">
        <v>42282.429166666669</v>
      </c>
      <c r="E177" s="15">
        <v>6200</v>
      </c>
      <c r="F177" s="15">
        <v>8.4000000000000005E-2</v>
      </c>
      <c r="G177" s="15">
        <v>7.9</v>
      </c>
      <c r="H177" s="15">
        <v>9700</v>
      </c>
      <c r="I177" s="15">
        <v>4.8</v>
      </c>
      <c r="J177" s="15">
        <v>240</v>
      </c>
      <c r="K177" s="15">
        <v>29</v>
      </c>
      <c r="L177" s="15"/>
      <c r="M177" s="253">
        <f t="shared" si="35"/>
        <v>3.6812412373755872</v>
      </c>
      <c r="N177" s="253">
        <f t="shared" si="36"/>
        <v>-1.1366771398795441</v>
      </c>
      <c r="O177" s="253">
        <f t="shared" si="37"/>
        <v>0.80617997398388719</v>
      </c>
      <c r="P177" s="253">
        <f t="shared" si="38"/>
        <v>3.8920946026904804</v>
      </c>
      <c r="Q177" s="253">
        <f t="shared" si="39"/>
        <v>0.68124123737558717</v>
      </c>
      <c r="R177" s="253">
        <f t="shared" si="40"/>
        <v>2.3617278360175931</v>
      </c>
      <c r="S177" s="253">
        <f t="shared" si="41"/>
        <v>1.4623979978989561</v>
      </c>
      <c r="AC177" s="135" t="s">
        <v>101</v>
      </c>
      <c r="AD177" s="306">
        <v>196.05028608000001</v>
      </c>
      <c r="AE177" s="210">
        <v>42326.395833333336</v>
      </c>
      <c r="AF177" s="15">
        <v>4800</v>
      </c>
      <c r="AG177" s="15">
        <v>7.2999999999999995E-2</v>
      </c>
      <c r="AH177" s="15">
        <v>6.4</v>
      </c>
      <c r="AI177" s="15">
        <v>7800</v>
      </c>
      <c r="AJ177" s="15">
        <v>4.8</v>
      </c>
      <c r="AK177" s="15">
        <v>230</v>
      </c>
      <c r="AL177" s="15">
        <v>29</v>
      </c>
    </row>
    <row r="178" spans="1:38" x14ac:dyDescent="0.25">
      <c r="A178" s="135" t="s">
        <v>101</v>
      </c>
      <c r="B178" s="3" t="s">
        <v>233</v>
      </c>
      <c r="C178" s="306">
        <v>295.82961408</v>
      </c>
      <c r="D178" s="250">
        <v>42285.421527777777</v>
      </c>
      <c r="E178" s="15">
        <v>6600</v>
      </c>
      <c r="F178" s="15">
        <v>9.9000000000000005E-2</v>
      </c>
      <c r="G178" s="15">
        <v>5.6</v>
      </c>
      <c r="H178" s="15">
        <v>8300</v>
      </c>
      <c r="I178" s="15">
        <v>4.8</v>
      </c>
      <c r="J178" s="15">
        <v>240</v>
      </c>
      <c r="K178" s="15">
        <v>22</v>
      </c>
      <c r="L178" s="15"/>
      <c r="M178" s="253">
        <f t="shared" si="35"/>
        <v>3.3010299956639813</v>
      </c>
      <c r="N178" s="253">
        <f t="shared" si="36"/>
        <v>-1.5376020021010439</v>
      </c>
      <c r="O178" s="253">
        <f t="shared" si="37"/>
        <v>0.3222192947339193</v>
      </c>
      <c r="P178" s="253">
        <f t="shared" si="38"/>
        <v>3.6989700043360187</v>
      </c>
      <c r="Q178" s="253">
        <f t="shared" si="39"/>
        <v>0.68124123737558717</v>
      </c>
      <c r="R178" s="253">
        <f t="shared" si="40"/>
        <v>2.1760912590556813</v>
      </c>
      <c r="S178" s="253">
        <f t="shared" si="41"/>
        <v>1</v>
      </c>
      <c r="AC178" s="135" t="s">
        <v>101</v>
      </c>
      <c r="AD178" s="306">
        <v>196.87105152000001</v>
      </c>
      <c r="AE178" s="210">
        <v>42327.381944444445</v>
      </c>
      <c r="AF178" s="15">
        <v>2000</v>
      </c>
      <c r="AG178" s="15">
        <v>2.9000000000000001E-2</v>
      </c>
      <c r="AH178" s="15">
        <v>2.1</v>
      </c>
      <c r="AI178" s="15">
        <v>5000</v>
      </c>
      <c r="AJ178" s="15">
        <v>4.8</v>
      </c>
      <c r="AK178" s="15">
        <v>150</v>
      </c>
      <c r="AL178" s="15">
        <v>10</v>
      </c>
    </row>
    <row r="179" spans="1:38" x14ac:dyDescent="0.25">
      <c r="A179" s="135" t="s">
        <v>101</v>
      </c>
      <c r="B179" s="3" t="s">
        <v>233</v>
      </c>
      <c r="C179" s="306">
        <v>295.82961408</v>
      </c>
      <c r="D179" s="250">
        <v>42289.454861111109</v>
      </c>
      <c r="E179" s="15">
        <v>4600</v>
      </c>
      <c r="F179" s="15">
        <v>6.0999999999999999E-2</v>
      </c>
      <c r="G179" s="15">
        <v>5</v>
      </c>
      <c r="H179" s="15">
        <v>6700</v>
      </c>
      <c r="I179" s="15">
        <v>4.8</v>
      </c>
      <c r="J179" s="15">
        <v>190</v>
      </c>
      <c r="K179" s="15">
        <v>20</v>
      </c>
      <c r="L179" s="15"/>
      <c r="M179" s="253">
        <f t="shared" si="35"/>
        <v>3.7634279935629373</v>
      </c>
      <c r="N179" s="253">
        <f t="shared" si="36"/>
        <v>-1.2291479883578558</v>
      </c>
      <c r="O179" s="253">
        <f t="shared" si="37"/>
        <v>0.83250891270623628</v>
      </c>
      <c r="P179" s="253">
        <f t="shared" si="38"/>
        <v>3.9731278535996988</v>
      </c>
      <c r="Q179" s="253">
        <f t="shared" si="39"/>
        <v>0.68124123737558717</v>
      </c>
      <c r="R179" s="253">
        <f t="shared" si="40"/>
        <v>2.3617278360175931</v>
      </c>
      <c r="S179" s="253">
        <f t="shared" si="41"/>
        <v>1.3979400086720377</v>
      </c>
      <c r="AC179" s="135" t="s">
        <v>101</v>
      </c>
      <c r="AD179" s="306">
        <v>214.42899456000004</v>
      </c>
      <c r="AE179" s="210">
        <v>42327.416666666664</v>
      </c>
      <c r="AF179" s="15">
        <v>5800</v>
      </c>
      <c r="AG179" s="15">
        <v>5.8999999999999997E-2</v>
      </c>
      <c r="AH179" s="15">
        <v>6.8</v>
      </c>
      <c r="AI179" s="15">
        <v>9400</v>
      </c>
      <c r="AJ179" s="15">
        <v>4.8</v>
      </c>
      <c r="AK179" s="15">
        <v>230</v>
      </c>
      <c r="AL179" s="15">
        <v>25</v>
      </c>
    </row>
    <row r="180" spans="1:38" x14ac:dyDescent="0.25">
      <c r="A180" s="135" t="s">
        <v>101</v>
      </c>
      <c r="B180" s="3" t="s">
        <v>233</v>
      </c>
      <c r="C180" s="306">
        <v>295.82961408</v>
      </c>
      <c r="D180" s="250">
        <v>42303.447916666664</v>
      </c>
      <c r="E180" s="15">
        <v>5400</v>
      </c>
      <c r="F180" s="15">
        <v>2.8000000000000001E-2</v>
      </c>
      <c r="G180" s="15">
        <v>3</v>
      </c>
      <c r="H180" s="15">
        <v>7000</v>
      </c>
      <c r="I180" s="15">
        <v>4.8</v>
      </c>
      <c r="J180" s="15">
        <v>250</v>
      </c>
      <c r="K180" s="15">
        <v>21</v>
      </c>
      <c r="L180" s="15"/>
      <c r="M180" s="253">
        <f t="shared" si="35"/>
        <v>3.7242758696007892</v>
      </c>
      <c r="N180" s="253">
        <f t="shared" si="36"/>
        <v>-1.1674910872937636</v>
      </c>
      <c r="O180" s="253">
        <f t="shared" si="37"/>
        <v>0.79934054945358168</v>
      </c>
      <c r="P180" s="253">
        <f t="shared" si="38"/>
        <v>3.9684829485539352</v>
      </c>
      <c r="Q180" s="253">
        <f t="shared" si="39"/>
        <v>0.68124123737558717</v>
      </c>
      <c r="R180" s="253">
        <f t="shared" si="40"/>
        <v>2.3802112417116059</v>
      </c>
      <c r="S180" s="253">
        <f t="shared" si="41"/>
        <v>1.505149978319906</v>
      </c>
      <c r="AC180" s="135" t="s">
        <v>101</v>
      </c>
      <c r="AD180" s="306">
        <v>246.34228608000001</v>
      </c>
      <c r="AE180" s="210">
        <v>42327.447916666664</v>
      </c>
      <c r="AF180" s="15">
        <v>5300</v>
      </c>
      <c r="AG180" s="15">
        <v>6.8000000000000005E-2</v>
      </c>
      <c r="AH180" s="15">
        <v>6.3</v>
      </c>
      <c r="AI180" s="15">
        <v>9300</v>
      </c>
      <c r="AJ180" s="15">
        <v>4.8</v>
      </c>
      <c r="AK180" s="15">
        <v>240</v>
      </c>
      <c r="AL180" s="15">
        <v>32</v>
      </c>
    </row>
    <row r="181" spans="1:38" ht="16.5" thickBot="1" x14ac:dyDescent="0.3">
      <c r="C181" s="4"/>
      <c r="D181"/>
      <c r="E181"/>
      <c r="F181"/>
      <c r="G181"/>
      <c r="H181"/>
      <c r="I181"/>
      <c r="J181"/>
      <c r="L181" s="1"/>
      <c r="M181" s="1"/>
      <c r="N181" s="1"/>
      <c r="O181" s="1"/>
      <c r="P181" s="1"/>
      <c r="Q181" s="1"/>
      <c r="R181" s="1"/>
      <c r="S181" s="1"/>
      <c r="AC181" s="206" t="s">
        <v>22</v>
      </c>
      <c r="AD181" s="220">
        <v>295.82961408</v>
      </c>
      <c r="AE181" s="210">
        <v>42529.392361111109</v>
      </c>
      <c r="AF181" s="15">
        <v>8100</v>
      </c>
      <c r="AG181" s="15">
        <v>0.39</v>
      </c>
      <c r="AH181" s="15">
        <v>11</v>
      </c>
      <c r="AI181" s="15">
        <v>12000</v>
      </c>
      <c r="AJ181" s="15">
        <v>15</v>
      </c>
      <c r="AK181" s="15">
        <v>280</v>
      </c>
      <c r="AL181" s="15">
        <v>59</v>
      </c>
    </row>
    <row r="182" spans="1:38" ht="18" customHeight="1" x14ac:dyDescent="0.25">
      <c r="B182" s="319"/>
      <c r="C182" s="322"/>
      <c r="D182" s="429" t="s">
        <v>187</v>
      </c>
      <c r="E182" s="429"/>
      <c r="F182" s="429"/>
      <c r="G182" s="429"/>
      <c r="H182" s="429"/>
      <c r="I182" s="429"/>
      <c r="J182" s="429"/>
      <c r="K182" s="429"/>
      <c r="L182" s="429" t="s">
        <v>188</v>
      </c>
      <c r="M182" s="429"/>
      <c r="N182" s="429"/>
      <c r="O182" s="429"/>
      <c r="P182" s="429"/>
      <c r="Q182" s="429"/>
      <c r="R182" s="429"/>
      <c r="S182" s="430"/>
      <c r="AC182" s="206" t="s">
        <v>22</v>
      </c>
      <c r="AD182" s="220">
        <v>246.34228608000001</v>
      </c>
      <c r="AE182" s="210">
        <v>42529.40625</v>
      </c>
      <c r="AF182" s="15">
        <v>4800</v>
      </c>
      <c r="AG182" s="15">
        <v>0.21</v>
      </c>
      <c r="AH182" s="15">
        <v>9.6999999999999993</v>
      </c>
      <c r="AI182" s="15">
        <v>9500</v>
      </c>
      <c r="AJ182" s="15">
        <v>15</v>
      </c>
      <c r="AK182" s="15">
        <v>300</v>
      </c>
      <c r="AL182" s="15">
        <v>70</v>
      </c>
    </row>
    <row r="183" spans="1:38" x14ac:dyDescent="0.25">
      <c r="B183" s="440" t="s">
        <v>240</v>
      </c>
      <c r="C183" s="307"/>
      <c r="D183" s="274" t="s">
        <v>211</v>
      </c>
      <c r="E183" s="2" t="s">
        <v>7</v>
      </c>
      <c r="F183" s="2" t="s">
        <v>1</v>
      </c>
      <c r="G183" s="2" t="s">
        <v>2</v>
      </c>
      <c r="H183" s="2" t="s">
        <v>3</v>
      </c>
      <c r="I183" s="2" t="s">
        <v>4</v>
      </c>
      <c r="J183" s="2" t="s">
        <v>5</v>
      </c>
      <c r="K183" s="2" t="s">
        <v>6</v>
      </c>
      <c r="L183" s="221" t="s">
        <v>211</v>
      </c>
      <c r="M183" s="2" t="s">
        <v>7</v>
      </c>
      <c r="N183" s="2" t="s">
        <v>1</v>
      </c>
      <c r="O183" s="2" t="s">
        <v>2</v>
      </c>
      <c r="P183" s="2" t="s">
        <v>3</v>
      </c>
      <c r="Q183" s="2" t="s">
        <v>4</v>
      </c>
      <c r="R183" s="2" t="s">
        <v>5</v>
      </c>
      <c r="S183" s="243" t="s">
        <v>6</v>
      </c>
      <c r="AC183" s="206" t="s">
        <v>22</v>
      </c>
      <c r="AD183" s="220">
        <v>214.42899456000004</v>
      </c>
      <c r="AE183" s="210">
        <v>42529.486111111109</v>
      </c>
      <c r="AF183" s="15">
        <v>8400</v>
      </c>
      <c r="AG183" s="15">
        <v>0.46</v>
      </c>
      <c r="AH183" s="15">
        <v>21</v>
      </c>
      <c r="AI183" s="15">
        <v>14000</v>
      </c>
      <c r="AJ183" s="15">
        <v>38</v>
      </c>
      <c r="AK183" s="15">
        <v>480</v>
      </c>
      <c r="AL183" s="15">
        <v>150</v>
      </c>
    </row>
    <row r="184" spans="1:38" x14ac:dyDescent="0.25">
      <c r="B184" s="440"/>
      <c r="C184" s="307"/>
      <c r="D184" s="274" t="s">
        <v>174</v>
      </c>
      <c r="E184" s="276">
        <f t="shared" ref="E184:K184" si="42">GEOMEAN(E6:E180)</f>
        <v>3942.7087263002559</v>
      </c>
      <c r="F184" s="276">
        <f t="shared" si="42"/>
        <v>5.4579459461438183E-2</v>
      </c>
      <c r="G184" s="276">
        <f t="shared" si="42"/>
        <v>4.4589293226556617</v>
      </c>
      <c r="H184" s="276">
        <f t="shared" si="42"/>
        <v>6256.534824555154</v>
      </c>
      <c r="I184" s="276">
        <f t="shared" si="42"/>
        <v>5.5831570890956401</v>
      </c>
      <c r="J184" s="276">
        <f t="shared" si="42"/>
        <v>183.84105033864273</v>
      </c>
      <c r="K184" s="276">
        <f t="shared" si="42"/>
        <v>20.188847715674466</v>
      </c>
      <c r="L184" s="221" t="s">
        <v>117</v>
      </c>
      <c r="M184" s="308">
        <f t="shared" ref="M184:S184" si="43">AVERAGE(M6:M180)</f>
        <v>3.5957946940823384</v>
      </c>
      <c r="N184" s="308">
        <f t="shared" si="43"/>
        <v>-1.2629707697668386</v>
      </c>
      <c r="O184" s="308">
        <f t="shared" si="43"/>
        <v>0.64923058851378979</v>
      </c>
      <c r="P184" s="308">
        <f t="shared" si="43"/>
        <v>3.796333866238689</v>
      </c>
      <c r="Q184" s="308">
        <f t="shared" si="43"/>
        <v>0.74687984743983005</v>
      </c>
      <c r="R184" s="308">
        <f t="shared" si="43"/>
        <v>2.2644424926049456</v>
      </c>
      <c r="S184" s="320">
        <f t="shared" si="43"/>
        <v>1.3051115321677595</v>
      </c>
      <c r="AC184" s="206" t="s">
        <v>22</v>
      </c>
      <c r="AD184" s="220">
        <v>196.87105152000001</v>
      </c>
      <c r="AE184" s="210">
        <v>42529.53125</v>
      </c>
      <c r="AF184" s="15">
        <v>4300</v>
      </c>
      <c r="AG184" s="15">
        <v>0.21</v>
      </c>
      <c r="AH184" s="15">
        <v>13</v>
      </c>
      <c r="AI184" s="15">
        <v>11000</v>
      </c>
      <c r="AJ184" s="15">
        <v>28</v>
      </c>
      <c r="AK184" s="15">
        <v>330</v>
      </c>
      <c r="AL184" s="15">
        <v>100</v>
      </c>
    </row>
    <row r="185" spans="1:38" x14ac:dyDescent="0.25">
      <c r="B185" s="440"/>
      <c r="C185" s="307"/>
      <c r="D185" s="274" t="s">
        <v>172</v>
      </c>
      <c r="E185" s="216">
        <f t="shared" ref="E185:K185" si="44">STDEV(E6:E180)</f>
        <v>2742.0957310710296</v>
      </c>
      <c r="F185" s="216">
        <f t="shared" si="44"/>
        <v>9.8453285330895188E-2</v>
      </c>
      <c r="G185" s="216">
        <f t="shared" si="44"/>
        <v>2.7107198251466973</v>
      </c>
      <c r="H185" s="216">
        <f t="shared" si="44"/>
        <v>2834.2281596730609</v>
      </c>
      <c r="I185" s="216">
        <f t="shared" si="44"/>
        <v>3.6924431772751261</v>
      </c>
      <c r="J185" s="216">
        <f t="shared" si="44"/>
        <v>61.076517730322472</v>
      </c>
      <c r="K185" s="216">
        <f t="shared" si="44"/>
        <v>16.253106652639342</v>
      </c>
      <c r="L185" s="221" t="s">
        <v>10</v>
      </c>
      <c r="M185" s="308">
        <f t="shared" ref="M185:S185" si="45">STDEV(M6:M180)</f>
        <v>0.21839858247581243</v>
      </c>
      <c r="N185" s="308">
        <f t="shared" si="45"/>
        <v>0.37181261922707887</v>
      </c>
      <c r="O185" s="308">
        <f t="shared" si="45"/>
        <v>0.21198736390428075</v>
      </c>
      <c r="P185" s="308">
        <f t="shared" si="45"/>
        <v>0.16962735390978179</v>
      </c>
      <c r="Q185" s="308">
        <f t="shared" si="45"/>
        <v>0.17916477557118049</v>
      </c>
      <c r="R185" s="308">
        <f t="shared" si="45"/>
        <v>0.12969425756938807</v>
      </c>
      <c r="S185" s="320">
        <f t="shared" si="45"/>
        <v>0.21437466535264241</v>
      </c>
      <c r="AC185" s="206" t="s">
        <v>22</v>
      </c>
      <c r="AD185" s="220">
        <v>196.05028608000001</v>
      </c>
      <c r="AE185" s="210">
        <v>42530.420138888891</v>
      </c>
      <c r="AF185" s="15">
        <v>5600</v>
      </c>
      <c r="AG185" s="15">
        <v>0.16</v>
      </c>
      <c r="AH185" s="15">
        <v>9.1999999999999993</v>
      </c>
      <c r="AI185" s="15">
        <v>10000</v>
      </c>
      <c r="AJ185" s="15">
        <v>17</v>
      </c>
      <c r="AK185" s="15">
        <v>330</v>
      </c>
      <c r="AL185" s="15">
        <v>71</v>
      </c>
    </row>
    <row r="186" spans="1:38" x14ac:dyDescent="0.25">
      <c r="B186" s="440"/>
      <c r="C186" s="307"/>
      <c r="D186" s="274" t="s">
        <v>147</v>
      </c>
      <c r="E186" s="216">
        <f>E185/SQRT(E187)</f>
        <v>207.28295358702269</v>
      </c>
      <c r="F186" s="216">
        <f t="shared" ref="F186:S186" si="46">F185/SQRT(F187)</f>
        <v>7.442368821223776E-3</v>
      </c>
      <c r="G186" s="216">
        <f t="shared" si="46"/>
        <v>0.20491115803744719</v>
      </c>
      <c r="H186" s="216">
        <f t="shared" si="46"/>
        <v>214.24751055174809</v>
      </c>
      <c r="I186" s="216">
        <f t="shared" si="46"/>
        <v>0.27912246792306195</v>
      </c>
      <c r="J186" s="216">
        <f t="shared" si="46"/>
        <v>4.6169507674360117</v>
      </c>
      <c r="K186" s="216">
        <f t="shared" si="46"/>
        <v>1.2286193781455188</v>
      </c>
      <c r="L186" s="221" t="s">
        <v>116</v>
      </c>
      <c r="M186" s="308">
        <f t="shared" si="46"/>
        <v>1.6509381026286539E-2</v>
      </c>
      <c r="N186" s="308">
        <f t="shared" si="46"/>
        <v>2.8106392136868667E-2</v>
      </c>
      <c r="O186" s="308">
        <f t="shared" si="46"/>
        <v>1.6024738456539352E-2</v>
      </c>
      <c r="P186" s="308">
        <f t="shared" si="46"/>
        <v>1.2822622685692071E-2</v>
      </c>
      <c r="Q186" s="308">
        <f t="shared" si="46"/>
        <v>1.354358399611554E-2</v>
      </c>
      <c r="R186" s="308">
        <f t="shared" si="46"/>
        <v>9.8039643429073484E-3</v>
      </c>
      <c r="S186" s="320">
        <f t="shared" si="46"/>
        <v>1.6205201483308188E-2</v>
      </c>
      <c r="AC186" s="207" t="s">
        <v>26</v>
      </c>
      <c r="AD186" s="15">
        <v>215</v>
      </c>
      <c r="AE186" s="210">
        <v>28473.791666666668</v>
      </c>
      <c r="AF186" s="210"/>
      <c r="AG186" s="15">
        <v>1</v>
      </c>
      <c r="AH186" s="15">
        <v>4</v>
      </c>
      <c r="AI186" s="15"/>
      <c r="AJ186" s="15">
        <v>5</v>
      </c>
      <c r="AK186" s="15">
        <v>160</v>
      </c>
      <c r="AL186" s="15">
        <v>27</v>
      </c>
    </row>
    <row r="187" spans="1:38" ht="16.5" thickBot="1" x14ac:dyDescent="0.3">
      <c r="B187" s="441"/>
      <c r="C187" s="321"/>
      <c r="D187" s="235" t="s">
        <v>173</v>
      </c>
      <c r="E187" s="254">
        <v>175</v>
      </c>
      <c r="F187" s="254">
        <v>175</v>
      </c>
      <c r="G187" s="254">
        <v>175</v>
      </c>
      <c r="H187" s="254">
        <v>175</v>
      </c>
      <c r="I187" s="254">
        <v>175</v>
      </c>
      <c r="J187" s="254">
        <v>175</v>
      </c>
      <c r="K187" s="254">
        <v>175</v>
      </c>
      <c r="L187" s="254" t="s">
        <v>173</v>
      </c>
      <c r="M187" s="254">
        <v>175</v>
      </c>
      <c r="N187" s="254">
        <v>175</v>
      </c>
      <c r="O187" s="254">
        <v>175</v>
      </c>
      <c r="P187" s="254">
        <v>175</v>
      </c>
      <c r="Q187" s="254">
        <v>175</v>
      </c>
      <c r="R187" s="254">
        <v>175</v>
      </c>
      <c r="S187" s="255">
        <v>175</v>
      </c>
      <c r="AC187" s="207" t="s">
        <v>26</v>
      </c>
      <c r="AD187" s="15">
        <v>215</v>
      </c>
      <c r="AE187" s="210">
        <v>28691.875</v>
      </c>
      <c r="AF187" s="210"/>
      <c r="AG187" s="15">
        <v>1</v>
      </c>
      <c r="AH187" s="15">
        <v>2</v>
      </c>
      <c r="AI187" s="15"/>
      <c r="AJ187" s="15">
        <v>5</v>
      </c>
      <c r="AK187" s="15">
        <v>190</v>
      </c>
      <c r="AL187" s="15">
        <v>34</v>
      </c>
    </row>
    <row r="188" spans="1:38" x14ac:dyDescent="0.25">
      <c r="C188" s="4"/>
      <c r="D188" s="3"/>
      <c r="E188" s="125"/>
      <c r="F188" s="125"/>
      <c r="G188" s="125"/>
      <c r="H188" s="125"/>
      <c r="I188" s="125"/>
      <c r="J188" s="125"/>
      <c r="K188" s="125"/>
      <c r="L188" s="223"/>
      <c r="M188" s="223"/>
      <c r="N188" s="223"/>
      <c r="O188" s="223"/>
      <c r="P188" s="223"/>
      <c r="Q188" s="223"/>
      <c r="R188" s="223"/>
      <c r="S188" s="223"/>
      <c r="AC188" s="207" t="s">
        <v>26</v>
      </c>
      <c r="AD188" s="15">
        <v>215</v>
      </c>
      <c r="AE188" s="210">
        <v>28782.708333333332</v>
      </c>
      <c r="AF188" s="210"/>
      <c r="AG188" s="15">
        <v>1</v>
      </c>
      <c r="AH188" s="15">
        <v>9</v>
      </c>
      <c r="AI188" s="15"/>
      <c r="AJ188" s="15">
        <v>20</v>
      </c>
      <c r="AK188" s="15">
        <v>240</v>
      </c>
      <c r="AL188" s="15">
        <v>60</v>
      </c>
    </row>
    <row r="189" spans="1:38" x14ac:dyDescent="0.25">
      <c r="A189" s="311"/>
      <c r="B189" s="311"/>
      <c r="C189" s="316"/>
      <c r="D189" s="311"/>
      <c r="E189" s="317"/>
      <c r="F189" s="317"/>
      <c r="G189" s="317"/>
      <c r="H189" s="317"/>
      <c r="I189" s="317"/>
      <c r="J189" s="317"/>
      <c r="K189" s="317"/>
      <c r="L189" s="318"/>
      <c r="M189" s="318"/>
      <c r="N189" s="318"/>
      <c r="O189" s="318"/>
      <c r="P189" s="318"/>
      <c r="Q189" s="318"/>
      <c r="R189" s="318"/>
      <c r="S189" s="318"/>
      <c r="T189" s="315"/>
      <c r="AC189" s="207" t="s">
        <v>26</v>
      </c>
      <c r="AD189" s="15">
        <v>215</v>
      </c>
      <c r="AE189" s="210">
        <v>28970.9375</v>
      </c>
      <c r="AF189" s="210"/>
      <c r="AG189" s="15">
        <v>1</v>
      </c>
      <c r="AH189" s="15">
        <v>1</v>
      </c>
      <c r="AI189" s="15"/>
      <c r="AJ189" s="15">
        <v>5</v>
      </c>
      <c r="AK189" s="15">
        <v>30</v>
      </c>
      <c r="AL189" s="15">
        <v>27</v>
      </c>
    </row>
    <row r="190" spans="1:38" x14ac:dyDescent="0.25">
      <c r="C190" s="4"/>
      <c r="D190" s="3"/>
      <c r="E190" s="125"/>
      <c r="F190" s="125"/>
      <c r="G190" s="125"/>
      <c r="H190" s="125"/>
      <c r="I190" s="125"/>
      <c r="J190" s="125"/>
      <c r="K190" s="125"/>
      <c r="L190" s="223"/>
      <c r="M190" s="223"/>
      <c r="N190" s="223"/>
      <c r="O190" s="223"/>
      <c r="P190" s="223"/>
      <c r="Q190" s="223"/>
      <c r="R190" s="223"/>
      <c r="S190" s="223"/>
      <c r="AC190" s="207" t="s">
        <v>26</v>
      </c>
      <c r="AD190" s="15">
        <v>196</v>
      </c>
      <c r="AE190" s="210">
        <v>36545.729166666664</v>
      </c>
      <c r="AF190" s="210"/>
      <c r="AG190" s="15">
        <v>0.27</v>
      </c>
      <c r="AH190" s="15">
        <v>10.98</v>
      </c>
      <c r="AI190" s="15">
        <v>7163</v>
      </c>
      <c r="AJ190" s="15">
        <v>12.6</v>
      </c>
      <c r="AK190" s="15">
        <v>319.10000000000002</v>
      </c>
      <c r="AL190" s="15"/>
    </row>
    <row r="191" spans="1:38" ht="18.75" x14ac:dyDescent="0.25">
      <c r="A191" s="432" t="s">
        <v>184</v>
      </c>
      <c r="B191" s="432"/>
      <c r="C191" s="432"/>
      <c r="D191" s="432"/>
      <c r="E191" s="432"/>
      <c r="F191" s="432"/>
      <c r="G191" s="432"/>
      <c r="H191" s="432"/>
      <c r="I191" s="432"/>
      <c r="J191" s="432"/>
      <c r="K191" s="432"/>
      <c r="L191" s="432"/>
      <c r="M191" s="432"/>
      <c r="N191" s="432"/>
      <c r="O191" s="432"/>
      <c r="P191" s="432"/>
      <c r="Q191" s="432"/>
      <c r="R191" s="432"/>
      <c r="S191" s="432"/>
      <c r="T191" s="432"/>
      <c r="AC191" s="207" t="s">
        <v>26</v>
      </c>
      <c r="AD191" s="15">
        <v>295</v>
      </c>
      <c r="AE191" s="210">
        <v>28472.916666666668</v>
      </c>
      <c r="AF191" s="210"/>
      <c r="AG191" s="15">
        <v>1</v>
      </c>
      <c r="AH191" s="15">
        <v>4</v>
      </c>
      <c r="AI191" s="15"/>
      <c r="AJ191" s="15">
        <v>5</v>
      </c>
      <c r="AK191" s="15">
        <v>200</v>
      </c>
      <c r="AL191" s="15">
        <v>32</v>
      </c>
    </row>
    <row r="192" spans="1:38" ht="18.75" x14ac:dyDescent="0.25">
      <c r="A192"/>
      <c r="B192"/>
      <c r="C192" s="15"/>
      <c r="D192" s="292"/>
      <c r="E192" s="421" t="s">
        <v>214</v>
      </c>
      <c r="F192" s="421"/>
      <c r="G192" s="421"/>
      <c r="H192" s="421"/>
      <c r="I192" s="421"/>
      <c r="J192" s="421"/>
      <c r="K192" s="421"/>
      <c r="L192" s="223"/>
      <c r="M192" s="421" t="s">
        <v>213</v>
      </c>
      <c r="N192" s="421"/>
      <c r="O192" s="421"/>
      <c r="P192" s="421"/>
      <c r="Q192" s="421"/>
      <c r="R192" s="421"/>
      <c r="S192" s="421"/>
      <c r="T192" s="292"/>
      <c r="AC192" s="207" t="s">
        <v>26</v>
      </c>
      <c r="AD192" s="15">
        <v>295</v>
      </c>
      <c r="AE192" s="210">
        <v>28692.75</v>
      </c>
      <c r="AF192" s="210"/>
      <c r="AG192" s="15">
        <v>1</v>
      </c>
      <c r="AH192" s="15">
        <v>2</v>
      </c>
      <c r="AI192" s="15"/>
      <c r="AJ192" s="15">
        <v>5</v>
      </c>
      <c r="AK192" s="15">
        <v>130</v>
      </c>
      <c r="AL192" s="15">
        <v>24</v>
      </c>
    </row>
    <row r="193" spans="1:38" ht="36" x14ac:dyDescent="0.25">
      <c r="A193" s="3" t="s">
        <v>140</v>
      </c>
      <c r="B193" s="3" t="s">
        <v>237</v>
      </c>
      <c r="C193" s="305" t="s">
        <v>203</v>
      </c>
      <c r="D193" s="3" t="s">
        <v>138</v>
      </c>
      <c r="E193" s="223" t="s">
        <v>7</v>
      </c>
      <c r="F193" s="223" t="s">
        <v>1</v>
      </c>
      <c r="G193" s="223" t="s">
        <v>2</v>
      </c>
      <c r="H193" s="223" t="s">
        <v>3</v>
      </c>
      <c r="I193" s="223" t="s">
        <v>4</v>
      </c>
      <c r="J193" s="223" t="s">
        <v>5</v>
      </c>
      <c r="K193" s="223" t="s">
        <v>6</v>
      </c>
      <c r="L193" s="223"/>
      <c r="M193" s="223" t="s">
        <v>7</v>
      </c>
      <c r="N193" s="223" t="s">
        <v>1</v>
      </c>
      <c r="O193" s="223" t="s">
        <v>2</v>
      </c>
      <c r="P193" s="223" t="s">
        <v>3</v>
      </c>
      <c r="Q193" s="223" t="s">
        <v>4</v>
      </c>
      <c r="R193" s="223" t="s">
        <v>5</v>
      </c>
      <c r="S193" s="223" t="s">
        <v>6</v>
      </c>
      <c r="T193" s="223"/>
      <c r="AC193" s="207" t="s">
        <v>26</v>
      </c>
      <c r="AD193" s="15">
        <v>295</v>
      </c>
      <c r="AE193" s="210">
        <v>28783.708333333332</v>
      </c>
      <c r="AF193" s="210"/>
      <c r="AG193" s="15">
        <v>1</v>
      </c>
      <c r="AH193" s="15">
        <v>4</v>
      </c>
      <c r="AI193" s="15"/>
      <c r="AJ193" s="15">
        <v>8</v>
      </c>
      <c r="AK193" s="15">
        <v>120</v>
      </c>
      <c r="AL193" s="15">
        <v>26</v>
      </c>
    </row>
    <row r="194" spans="1:38" x14ac:dyDescent="0.25">
      <c r="A194" s="310" t="s">
        <v>238</v>
      </c>
      <c r="B194" s="3" t="s">
        <v>236</v>
      </c>
      <c r="C194" s="306">
        <v>421.5</v>
      </c>
      <c r="D194" s="250"/>
      <c r="E194" s="15"/>
      <c r="F194" s="15"/>
      <c r="G194" s="15"/>
      <c r="H194" s="15"/>
      <c r="I194" s="15">
        <v>4.4000000000000004</v>
      </c>
      <c r="J194" s="15"/>
      <c r="K194" s="15"/>
      <c r="L194" s="15"/>
      <c r="M194" s="15"/>
      <c r="N194" s="15"/>
      <c r="O194" s="15"/>
      <c r="P194" s="15"/>
      <c r="Q194" s="15" t="e">
        <f>LOG(#REF!)</f>
        <v>#REF!</v>
      </c>
      <c r="R194" s="15"/>
      <c r="S194" s="15"/>
      <c r="AC194" s="207" t="s">
        <v>26</v>
      </c>
      <c r="AD194" s="15">
        <v>295</v>
      </c>
      <c r="AE194" s="210">
        <v>28971.875</v>
      </c>
      <c r="AF194" s="210"/>
      <c r="AG194" s="15">
        <v>1</v>
      </c>
      <c r="AH194" s="15">
        <v>2</v>
      </c>
      <c r="AI194" s="15"/>
      <c r="AJ194" s="15">
        <v>5</v>
      </c>
      <c r="AK194" s="15">
        <v>170</v>
      </c>
      <c r="AL194" s="15">
        <v>13</v>
      </c>
    </row>
    <row r="195" spans="1:38" x14ac:dyDescent="0.25">
      <c r="A195" s="310" t="s">
        <v>238</v>
      </c>
      <c r="B195" s="3" t="s">
        <v>235</v>
      </c>
      <c r="C195" s="306">
        <v>345.7</v>
      </c>
      <c r="D195" s="250"/>
      <c r="E195" s="15"/>
      <c r="F195" s="15"/>
      <c r="G195" s="15"/>
      <c r="H195" s="15"/>
      <c r="I195" s="15">
        <v>18</v>
      </c>
      <c r="J195" s="15"/>
      <c r="K195" s="15"/>
      <c r="L195" s="309"/>
      <c r="M195" s="15"/>
      <c r="N195" s="15"/>
      <c r="O195" s="15"/>
      <c r="P195" s="15"/>
      <c r="Q195" s="15" t="e">
        <f>LOG(#REF!)</f>
        <v>#REF!</v>
      </c>
      <c r="R195" s="15"/>
      <c r="S195" s="15"/>
      <c r="AC195" s="207" t="s">
        <v>26</v>
      </c>
      <c r="AD195" s="15">
        <v>295</v>
      </c>
      <c r="AE195" s="210">
        <v>33184.875</v>
      </c>
      <c r="AF195" s="210"/>
      <c r="AG195" s="15">
        <v>1</v>
      </c>
      <c r="AH195" s="15">
        <v>12</v>
      </c>
      <c r="AI195" s="15">
        <v>15000</v>
      </c>
      <c r="AJ195" s="15">
        <v>15</v>
      </c>
      <c r="AK195" s="15">
        <v>340</v>
      </c>
      <c r="AL195" s="15">
        <v>41</v>
      </c>
    </row>
    <row r="196" spans="1:38" x14ac:dyDescent="0.25">
      <c r="A196" s="310" t="s">
        <v>238</v>
      </c>
      <c r="B196" s="3" t="s">
        <v>233</v>
      </c>
      <c r="C196" s="306">
        <v>295.82961408</v>
      </c>
      <c r="D196" s="250">
        <v>42529.392361111109</v>
      </c>
      <c r="E196" s="15">
        <v>8100</v>
      </c>
      <c r="F196" s="15">
        <v>0.39</v>
      </c>
      <c r="G196" s="15">
        <v>11</v>
      </c>
      <c r="H196" s="15">
        <v>12000</v>
      </c>
      <c r="I196" s="15">
        <v>15</v>
      </c>
      <c r="J196" s="15">
        <v>280</v>
      </c>
      <c r="K196" s="15">
        <v>59</v>
      </c>
      <c r="L196" s="309"/>
      <c r="M196" s="15">
        <f t="shared" ref="M196:S200" si="47">LOG(AF181)</f>
        <v>3.90848501887865</v>
      </c>
      <c r="N196" s="15">
        <f t="shared" si="47"/>
        <v>-0.40893539297350079</v>
      </c>
      <c r="O196" s="15">
        <f t="shared" si="47"/>
        <v>1.0413926851582251</v>
      </c>
      <c r="P196" s="15">
        <f t="shared" si="47"/>
        <v>4.0791812460476251</v>
      </c>
      <c r="Q196" s="15">
        <f t="shared" si="47"/>
        <v>1.1760912590556813</v>
      </c>
      <c r="R196" s="15">
        <f t="shared" si="47"/>
        <v>2.4471580313422194</v>
      </c>
      <c r="S196" s="15">
        <f t="shared" si="47"/>
        <v>1.7708520116421442</v>
      </c>
      <c r="AC196" s="207" t="s">
        <v>26</v>
      </c>
      <c r="AD196" s="15">
        <v>197</v>
      </c>
      <c r="AE196" s="210">
        <v>28468.75</v>
      </c>
      <c r="AF196" s="210"/>
      <c r="AG196" s="15">
        <v>1</v>
      </c>
      <c r="AH196" s="15">
        <v>2</v>
      </c>
      <c r="AI196" s="15"/>
      <c r="AJ196" s="15">
        <v>5</v>
      </c>
      <c r="AK196" s="15">
        <v>120</v>
      </c>
      <c r="AL196" s="15">
        <v>5</v>
      </c>
    </row>
    <row r="197" spans="1:38" x14ac:dyDescent="0.25">
      <c r="A197" s="310" t="s">
        <v>238</v>
      </c>
      <c r="B197" s="3" t="s">
        <v>231</v>
      </c>
      <c r="C197" s="306">
        <v>246.34228608000001</v>
      </c>
      <c r="D197" s="250">
        <v>42529.40625</v>
      </c>
      <c r="E197" s="15">
        <v>4800</v>
      </c>
      <c r="F197" s="15">
        <v>0.21</v>
      </c>
      <c r="G197" s="15">
        <v>9.6999999999999993</v>
      </c>
      <c r="H197" s="15">
        <v>9500</v>
      </c>
      <c r="I197" s="15">
        <v>15</v>
      </c>
      <c r="J197" s="15">
        <v>300</v>
      </c>
      <c r="K197" s="15">
        <v>70</v>
      </c>
      <c r="L197" s="309"/>
      <c r="M197" s="15">
        <f t="shared" si="47"/>
        <v>3.6812412373755872</v>
      </c>
      <c r="N197" s="15">
        <f t="shared" si="47"/>
        <v>-0.6777807052660807</v>
      </c>
      <c r="O197" s="15">
        <f t="shared" si="47"/>
        <v>0.98677173426624487</v>
      </c>
      <c r="P197" s="15">
        <f t="shared" si="47"/>
        <v>3.9777236052888476</v>
      </c>
      <c r="Q197" s="15">
        <f t="shared" si="47"/>
        <v>1.1760912590556813</v>
      </c>
      <c r="R197" s="15">
        <f t="shared" si="47"/>
        <v>2.4771212547196626</v>
      </c>
      <c r="S197" s="15">
        <f t="shared" si="47"/>
        <v>1.8450980400142569</v>
      </c>
      <c r="AC197" s="206" t="s">
        <v>22</v>
      </c>
      <c r="AD197" s="15">
        <v>197</v>
      </c>
      <c r="AE197" s="210"/>
      <c r="AF197" s="15"/>
      <c r="AG197" s="15"/>
      <c r="AH197" s="15"/>
      <c r="AI197" s="15"/>
      <c r="AJ197" s="15">
        <v>18</v>
      </c>
      <c r="AK197" s="15"/>
      <c r="AL197" s="15"/>
    </row>
    <row r="198" spans="1:38" x14ac:dyDescent="0.25">
      <c r="A198" s="310" t="s">
        <v>238</v>
      </c>
      <c r="B198" s="3" t="s">
        <v>229</v>
      </c>
      <c r="C198" s="306">
        <v>214.42899456000004</v>
      </c>
      <c r="D198" s="250">
        <v>42529.486111111109</v>
      </c>
      <c r="E198" s="15">
        <v>8400</v>
      </c>
      <c r="F198" s="15">
        <v>0.46</v>
      </c>
      <c r="G198" s="15">
        <v>21</v>
      </c>
      <c r="H198" s="15">
        <v>14000</v>
      </c>
      <c r="I198" s="15">
        <v>38</v>
      </c>
      <c r="J198" s="15">
        <v>480</v>
      </c>
      <c r="K198" s="15">
        <v>150</v>
      </c>
      <c r="L198" s="309"/>
      <c r="M198" s="15">
        <f t="shared" si="47"/>
        <v>3.9242792860618816</v>
      </c>
      <c r="N198" s="15">
        <f t="shared" si="47"/>
        <v>-0.33724216831842591</v>
      </c>
      <c r="O198" s="15">
        <f t="shared" si="47"/>
        <v>1.3222192947339193</v>
      </c>
      <c r="P198" s="15">
        <f t="shared" si="47"/>
        <v>4.1461280356782382</v>
      </c>
      <c r="Q198" s="15">
        <f t="shared" si="47"/>
        <v>1.5797835966168101</v>
      </c>
      <c r="R198" s="15">
        <f t="shared" si="47"/>
        <v>2.6812412373755872</v>
      </c>
      <c r="S198" s="15">
        <f t="shared" si="47"/>
        <v>2.1760912590556813</v>
      </c>
      <c r="AC198" s="206" t="s">
        <v>22</v>
      </c>
      <c r="AD198" s="15">
        <v>197</v>
      </c>
      <c r="AE198" s="210">
        <v>42529.392361111109</v>
      </c>
      <c r="AF198" s="15">
        <v>8100</v>
      </c>
      <c r="AG198" s="15">
        <v>0.39</v>
      </c>
      <c r="AH198" s="15">
        <v>11</v>
      </c>
      <c r="AI198" s="15">
        <v>12000</v>
      </c>
      <c r="AJ198" s="15">
        <v>15</v>
      </c>
      <c r="AK198" s="15">
        <v>280</v>
      </c>
      <c r="AL198" s="15">
        <v>59</v>
      </c>
    </row>
    <row r="199" spans="1:38" x14ac:dyDescent="0.25">
      <c r="A199" s="310" t="s">
        <v>238</v>
      </c>
      <c r="B199" s="3" t="s">
        <v>222</v>
      </c>
      <c r="C199" s="306">
        <v>196.87105152000001</v>
      </c>
      <c r="D199" s="250">
        <v>42529.53125</v>
      </c>
      <c r="E199" s="15">
        <v>4300</v>
      </c>
      <c r="F199" s="15">
        <v>0.21</v>
      </c>
      <c r="G199" s="15">
        <v>13</v>
      </c>
      <c r="H199" s="15">
        <v>11000</v>
      </c>
      <c r="I199" s="15">
        <v>28</v>
      </c>
      <c r="J199" s="15">
        <v>330</v>
      </c>
      <c r="K199" s="15">
        <v>100</v>
      </c>
      <c r="L199" s="309"/>
      <c r="M199" s="15">
        <f t="shared" si="47"/>
        <v>3.6334684555795866</v>
      </c>
      <c r="N199" s="15">
        <f t="shared" si="47"/>
        <v>-0.6777807052660807</v>
      </c>
      <c r="O199" s="15">
        <f t="shared" si="47"/>
        <v>1.1139433523068367</v>
      </c>
      <c r="P199" s="15">
        <f t="shared" si="47"/>
        <v>4.0413926851582254</v>
      </c>
      <c r="Q199" s="15">
        <f t="shared" si="47"/>
        <v>1.4471580313422192</v>
      </c>
      <c r="R199" s="15">
        <f t="shared" si="47"/>
        <v>2.5185139398778875</v>
      </c>
      <c r="S199" s="15">
        <f t="shared" si="47"/>
        <v>2</v>
      </c>
      <c r="AC199" s="206" t="s">
        <v>22</v>
      </c>
      <c r="AD199" s="15">
        <v>197</v>
      </c>
      <c r="AE199" s="210">
        <v>42529.40625</v>
      </c>
      <c r="AF199" s="15">
        <v>4800</v>
      </c>
      <c r="AG199" s="15">
        <v>0.21</v>
      </c>
      <c r="AH199" s="15">
        <v>9.6999999999999993</v>
      </c>
      <c r="AI199" s="15">
        <v>9500</v>
      </c>
      <c r="AJ199" s="15">
        <v>15</v>
      </c>
      <c r="AK199" s="15">
        <v>300</v>
      </c>
      <c r="AL199" s="15">
        <v>70</v>
      </c>
    </row>
    <row r="200" spans="1:38" x14ac:dyDescent="0.25">
      <c r="A200" s="310" t="s">
        <v>238</v>
      </c>
      <c r="B200" s="3" t="s">
        <v>234</v>
      </c>
      <c r="C200" s="306">
        <v>196.05028608000001</v>
      </c>
      <c r="D200" s="250">
        <v>42530.420138888891</v>
      </c>
      <c r="E200" s="15">
        <v>5600</v>
      </c>
      <c r="F200" s="15">
        <v>0.16</v>
      </c>
      <c r="G200" s="15">
        <v>9.1999999999999993</v>
      </c>
      <c r="H200" s="15">
        <v>10000</v>
      </c>
      <c r="I200" s="15">
        <v>17</v>
      </c>
      <c r="J200" s="15">
        <v>330</v>
      </c>
      <c r="K200" s="15">
        <v>71</v>
      </c>
      <c r="L200" s="309"/>
      <c r="M200" s="15">
        <f t="shared" si="47"/>
        <v>3.7481880270062002</v>
      </c>
      <c r="N200" s="15">
        <f t="shared" si="47"/>
        <v>-0.79588001734407521</v>
      </c>
      <c r="O200" s="15">
        <f t="shared" si="47"/>
        <v>0.96378782734555524</v>
      </c>
      <c r="P200" s="15">
        <f t="shared" si="47"/>
        <v>4</v>
      </c>
      <c r="Q200" s="15">
        <f t="shared" si="47"/>
        <v>1.2304489213782739</v>
      </c>
      <c r="R200" s="15">
        <f t="shared" si="47"/>
        <v>2.5185139398778875</v>
      </c>
      <c r="S200" s="15">
        <f t="shared" si="47"/>
        <v>1.8512583487190752</v>
      </c>
      <c r="AC200" s="207" t="s">
        <v>26</v>
      </c>
      <c r="AD200" s="15">
        <v>245</v>
      </c>
      <c r="AE200" s="210">
        <v>28718.708333333332</v>
      </c>
      <c r="AF200" s="210"/>
      <c r="AG200" s="15">
        <v>13</v>
      </c>
      <c r="AH200" s="15">
        <v>17</v>
      </c>
      <c r="AI200" s="15"/>
      <c r="AJ200" s="15">
        <v>100</v>
      </c>
      <c r="AK200" s="15"/>
      <c r="AL200" s="15"/>
    </row>
    <row r="201" spans="1:38" ht="16.5" thickBot="1" x14ac:dyDescent="0.3">
      <c r="C201" s="26"/>
      <c r="D201" s="3"/>
      <c r="E201" s="4"/>
      <c r="F201" s="4"/>
      <c r="G201" s="4"/>
      <c r="H201" s="4"/>
      <c r="I201" s="4"/>
      <c r="J201" s="4"/>
      <c r="K201" s="4"/>
      <c r="M201" s="223"/>
      <c r="N201" s="223"/>
      <c r="O201" s="223"/>
      <c r="P201" s="223"/>
      <c r="Q201" s="223"/>
      <c r="R201" s="223"/>
      <c r="S201" s="223"/>
      <c r="U201" s="1"/>
      <c r="V201" s="1"/>
      <c r="W201" s="1"/>
      <c r="X201" s="1"/>
      <c r="Y201" s="1"/>
      <c r="Z201" s="1"/>
      <c r="AC201" s="207" t="s">
        <v>26</v>
      </c>
      <c r="AD201" s="15">
        <v>245</v>
      </c>
      <c r="AE201" s="210">
        <v>29712.729166666668</v>
      </c>
      <c r="AF201" s="210"/>
      <c r="AG201" s="15">
        <v>1</v>
      </c>
      <c r="AH201" s="15">
        <v>3</v>
      </c>
      <c r="AI201" s="15">
        <v>210</v>
      </c>
      <c r="AJ201" s="15">
        <v>5</v>
      </c>
      <c r="AK201" s="15">
        <v>210</v>
      </c>
      <c r="AL201" s="15">
        <v>10</v>
      </c>
    </row>
    <row r="202" spans="1:38" ht="18" customHeight="1" x14ac:dyDescent="0.25">
      <c r="B202" s="426" t="s">
        <v>152</v>
      </c>
      <c r="C202" s="238"/>
      <c r="D202" s="429" t="s">
        <v>180</v>
      </c>
      <c r="E202" s="429"/>
      <c r="F202" s="429"/>
      <c r="G202" s="429"/>
      <c r="H202" s="429"/>
      <c r="I202" s="429"/>
      <c r="J202" s="429"/>
      <c r="K202" s="429"/>
      <c r="L202" s="429" t="s">
        <v>179</v>
      </c>
      <c r="M202" s="429"/>
      <c r="N202" s="429"/>
      <c r="O202" s="429"/>
      <c r="P202" s="429"/>
      <c r="Q202" s="429"/>
      <c r="R202" s="429"/>
      <c r="S202" s="430"/>
      <c r="AC202" s="207" t="s">
        <v>26</v>
      </c>
      <c r="AD202" s="15">
        <v>245</v>
      </c>
      <c r="AE202" s="210">
        <v>30088.6875</v>
      </c>
      <c r="AF202" s="210"/>
      <c r="AG202" s="15">
        <v>1</v>
      </c>
      <c r="AH202" s="15">
        <v>50</v>
      </c>
      <c r="AI202" s="15">
        <v>1200</v>
      </c>
      <c r="AJ202" s="15">
        <v>5</v>
      </c>
      <c r="AK202" s="15">
        <v>180</v>
      </c>
      <c r="AL202" s="15">
        <v>26</v>
      </c>
    </row>
    <row r="203" spans="1:38" x14ac:dyDescent="0.25">
      <c r="B203" s="427"/>
      <c r="C203" s="2"/>
      <c r="D203" s="274" t="s">
        <v>211</v>
      </c>
      <c r="E203" s="2" t="s">
        <v>7</v>
      </c>
      <c r="F203" s="2" t="s">
        <v>1</v>
      </c>
      <c r="G203" s="2" t="s">
        <v>2</v>
      </c>
      <c r="H203" s="2" t="s">
        <v>3</v>
      </c>
      <c r="I203" s="2" t="s">
        <v>4</v>
      </c>
      <c r="J203" s="2" t="s">
        <v>5</v>
      </c>
      <c r="K203" s="2" t="s">
        <v>6</v>
      </c>
      <c r="L203" s="274" t="s">
        <v>211</v>
      </c>
      <c r="M203" s="2" t="s">
        <v>7</v>
      </c>
      <c r="N203" s="2" t="s">
        <v>1</v>
      </c>
      <c r="O203" s="2" t="s">
        <v>2</v>
      </c>
      <c r="P203" s="2" t="s">
        <v>3</v>
      </c>
      <c r="Q203" s="2" t="s">
        <v>4</v>
      </c>
      <c r="R203" s="2" t="s">
        <v>5</v>
      </c>
      <c r="S203" s="243" t="s">
        <v>6</v>
      </c>
      <c r="AC203" s="207" t="s">
        <v>26</v>
      </c>
      <c r="AD203" s="15">
        <v>245</v>
      </c>
      <c r="AE203" s="210">
        <v>30258.875</v>
      </c>
      <c r="AF203" s="210"/>
      <c r="AG203" s="15">
        <v>1</v>
      </c>
      <c r="AH203" s="15">
        <v>1</v>
      </c>
      <c r="AI203" s="15">
        <v>800</v>
      </c>
      <c r="AJ203" s="15">
        <v>5</v>
      </c>
      <c r="AK203" s="15">
        <v>170</v>
      </c>
      <c r="AL203" s="15">
        <v>16</v>
      </c>
    </row>
    <row r="204" spans="1:38" x14ac:dyDescent="0.25">
      <c r="B204" s="427"/>
      <c r="C204" s="2"/>
      <c r="D204" s="274" t="s">
        <v>174</v>
      </c>
      <c r="E204" s="276">
        <f t="shared" ref="E204:K204" si="48">GEOMEAN(E194:E200)</f>
        <v>6013.5704750723153</v>
      </c>
      <c r="F204" s="276">
        <f t="shared" si="48"/>
        <v>0.26331536520207732</v>
      </c>
      <c r="G204" s="276">
        <f t="shared" si="48"/>
        <v>12.179318246355059</v>
      </c>
      <c r="H204" s="276">
        <f t="shared" si="48"/>
        <v>11191.417934854397</v>
      </c>
      <c r="I204" s="276">
        <f t="shared" si="48"/>
        <v>16.423706615936485</v>
      </c>
      <c r="J204" s="276">
        <f t="shared" si="48"/>
        <v>337.68337568748325</v>
      </c>
      <c r="K204" s="276">
        <f t="shared" si="48"/>
        <v>84.8515796617164</v>
      </c>
      <c r="L204" s="221" t="s">
        <v>117</v>
      </c>
      <c r="M204" s="216">
        <f t="shared" ref="M204:S204" si="49">AVERAGE(M194:M200)</f>
        <v>3.7791324049803814</v>
      </c>
      <c r="N204" s="216">
        <f t="shared" si="49"/>
        <v>-0.57952379783363261</v>
      </c>
      <c r="O204" s="216">
        <f t="shared" si="49"/>
        <v>1.0856229787621563</v>
      </c>
      <c r="P204" s="216">
        <f t="shared" si="49"/>
        <v>4.0488851144345874</v>
      </c>
      <c r="Q204" s="216" t="e">
        <f t="shared" si="49"/>
        <v>#REF!</v>
      </c>
      <c r="R204" s="216">
        <f t="shared" si="49"/>
        <v>2.5285096806386491</v>
      </c>
      <c r="S204" s="275">
        <f t="shared" si="49"/>
        <v>1.9286599318862314</v>
      </c>
      <c r="AC204" s="207" t="s">
        <v>26</v>
      </c>
      <c r="AD204" s="15">
        <v>245</v>
      </c>
      <c r="AE204" s="210">
        <v>30622.729166666668</v>
      </c>
      <c r="AF204" s="210"/>
      <c r="AG204" s="15">
        <v>1</v>
      </c>
      <c r="AH204" s="15">
        <v>1</v>
      </c>
      <c r="AI204" s="15">
        <v>1300</v>
      </c>
      <c r="AJ204" s="15">
        <v>5</v>
      </c>
      <c r="AK204" s="15">
        <v>180</v>
      </c>
      <c r="AL204" s="15">
        <v>19</v>
      </c>
    </row>
    <row r="205" spans="1:38" x14ac:dyDescent="0.25">
      <c r="B205" s="427"/>
      <c r="C205" s="2"/>
      <c r="D205" s="274" t="s">
        <v>172</v>
      </c>
      <c r="E205" s="216">
        <f t="shared" ref="E205:K205" si="50">STDEV(E194:E200)</f>
        <v>1895.5210365490539</v>
      </c>
      <c r="F205" s="216">
        <f t="shared" si="50"/>
        <v>0.13088162590677127</v>
      </c>
      <c r="G205" s="216">
        <f t="shared" si="50"/>
        <v>4.8241061348191678</v>
      </c>
      <c r="H205" s="216">
        <f t="shared" si="50"/>
        <v>1788.8543819998317</v>
      </c>
      <c r="I205" s="216">
        <f t="shared" si="50"/>
        <v>10.734191033462055</v>
      </c>
      <c r="J205" s="216">
        <f t="shared" si="50"/>
        <v>78.930349042684469</v>
      </c>
      <c r="K205" s="216">
        <f t="shared" si="50"/>
        <v>36.817115585010185</v>
      </c>
      <c r="L205" s="221" t="s">
        <v>10</v>
      </c>
      <c r="M205" s="216">
        <f t="shared" ref="M205:S205" si="51">STDEV(M194:M200)</f>
        <v>0.13186919388951113</v>
      </c>
      <c r="N205" s="216">
        <f t="shared" si="51"/>
        <v>0.19616297134684782</v>
      </c>
      <c r="O205" s="216">
        <f t="shared" si="51"/>
        <v>0.14435334410787487</v>
      </c>
      <c r="P205" s="216">
        <f t="shared" si="51"/>
        <v>6.6865335967817754E-2</v>
      </c>
      <c r="Q205" s="216" t="e">
        <f t="shared" si="51"/>
        <v>#REF!</v>
      </c>
      <c r="R205" s="216">
        <f t="shared" si="51"/>
        <v>9.0533998105244526E-2</v>
      </c>
      <c r="S205" s="275">
        <f t="shared" si="51"/>
        <v>0.16139129586588805</v>
      </c>
      <c r="AC205" s="207" t="s">
        <v>26</v>
      </c>
      <c r="AD205" s="15">
        <v>245</v>
      </c>
      <c r="AE205" s="210">
        <v>30993.833333333332</v>
      </c>
      <c r="AF205" s="210"/>
      <c r="AG205" s="15">
        <v>1</v>
      </c>
      <c r="AH205" s="15">
        <v>5</v>
      </c>
      <c r="AI205" s="15">
        <v>1800</v>
      </c>
      <c r="AJ205" s="15">
        <v>10</v>
      </c>
      <c r="AK205" s="15">
        <v>130</v>
      </c>
      <c r="AL205" s="15">
        <v>24</v>
      </c>
    </row>
    <row r="206" spans="1:38" x14ac:dyDescent="0.25">
      <c r="B206" s="427"/>
      <c r="C206" s="2"/>
      <c r="D206" s="274" t="s">
        <v>147</v>
      </c>
      <c r="E206" s="216">
        <f>E205/SQRT(E207)</f>
        <v>847.70277810090954</v>
      </c>
      <c r="F206" s="216">
        <f t="shared" ref="F206:K206" si="52">F205/SQRT(F207)</f>
        <v>5.8532042506647619E-2</v>
      </c>
      <c r="G206" s="216">
        <f t="shared" si="52"/>
        <v>2.157405849625885</v>
      </c>
      <c r="H206" s="216">
        <f t="shared" si="52"/>
        <v>800</v>
      </c>
      <c r="I206" s="216">
        <f t="shared" si="52"/>
        <v>4.0571428571428578</v>
      </c>
      <c r="J206" s="216">
        <f t="shared" si="52"/>
        <v>35.298725189445584</v>
      </c>
      <c r="K206" s="216">
        <f t="shared" si="52"/>
        <v>16.465114636709941</v>
      </c>
      <c r="L206" s="221" t="s">
        <v>116</v>
      </c>
      <c r="M206" s="216">
        <f t="shared" ref="M206:S206" si="53">M205/SQRT(M207)</f>
        <v>5.8973696335009353E-2</v>
      </c>
      <c r="N206" s="216">
        <f t="shared" si="53"/>
        <v>8.7726747719979042E-2</v>
      </c>
      <c r="O206" s="216">
        <f t="shared" si="53"/>
        <v>6.4556778040925383E-2</v>
      </c>
      <c r="P206" s="216">
        <f t="shared" si="53"/>
        <v>2.9903087312480436E-2</v>
      </c>
      <c r="Q206" s="216" t="e">
        <f t="shared" si="53"/>
        <v>#REF!</v>
      </c>
      <c r="R206" s="216">
        <f t="shared" si="53"/>
        <v>4.0488034807632779E-2</v>
      </c>
      <c r="S206" s="275">
        <f t="shared" si="53"/>
        <v>7.2176381706581291E-2</v>
      </c>
      <c r="AC206" s="207" t="s">
        <v>26</v>
      </c>
      <c r="AD206" s="15">
        <v>245</v>
      </c>
      <c r="AE206" s="210">
        <v>31734.854166666668</v>
      </c>
      <c r="AF206" s="210"/>
      <c r="AG206" s="15">
        <v>1</v>
      </c>
      <c r="AH206" s="15">
        <v>3</v>
      </c>
      <c r="AI206" s="15">
        <v>2600</v>
      </c>
      <c r="AJ206" s="15">
        <v>5</v>
      </c>
      <c r="AK206" s="15">
        <v>150</v>
      </c>
      <c r="AL206" s="15">
        <v>19</v>
      </c>
    </row>
    <row r="207" spans="1:38" ht="16.5" thickBot="1" x14ac:dyDescent="0.3">
      <c r="B207" s="428"/>
      <c r="C207" s="254"/>
      <c r="D207" s="235" t="s">
        <v>173</v>
      </c>
      <c r="E207" s="254">
        <v>5</v>
      </c>
      <c r="F207" s="254">
        <v>5</v>
      </c>
      <c r="G207" s="254">
        <v>5</v>
      </c>
      <c r="H207" s="254">
        <v>5</v>
      </c>
      <c r="I207" s="254">
        <v>7</v>
      </c>
      <c r="J207" s="254">
        <v>5</v>
      </c>
      <c r="K207" s="254">
        <v>5</v>
      </c>
      <c r="L207" s="254" t="s">
        <v>173</v>
      </c>
      <c r="M207" s="254">
        <v>5</v>
      </c>
      <c r="N207" s="254">
        <v>5</v>
      </c>
      <c r="O207" s="254">
        <v>5</v>
      </c>
      <c r="P207" s="254">
        <v>5</v>
      </c>
      <c r="Q207" s="254">
        <v>7</v>
      </c>
      <c r="R207" s="254">
        <v>5</v>
      </c>
      <c r="S207" s="255">
        <v>5</v>
      </c>
      <c r="AC207" s="207" t="s">
        <v>26</v>
      </c>
      <c r="AD207" s="15">
        <v>245</v>
      </c>
      <c r="AE207" s="210">
        <v>32098.918750000001</v>
      </c>
      <c r="AF207" s="210"/>
      <c r="AG207" s="15">
        <v>1</v>
      </c>
      <c r="AH207" s="15">
        <v>8</v>
      </c>
      <c r="AI207" s="15">
        <v>4400</v>
      </c>
      <c r="AJ207" s="15">
        <v>10</v>
      </c>
      <c r="AK207" s="15">
        <v>220</v>
      </c>
      <c r="AL207" s="15">
        <v>40</v>
      </c>
    </row>
    <row r="208" spans="1:38" x14ac:dyDescent="0.25">
      <c r="C208" s="278"/>
      <c r="D208" s="16"/>
      <c r="E208" s="2"/>
      <c r="F208" s="2"/>
      <c r="G208" s="2"/>
      <c r="H208" s="2"/>
      <c r="I208" s="2"/>
      <c r="J208" s="2"/>
      <c r="K208" s="2"/>
      <c r="L208" s="2"/>
      <c r="M208" s="2"/>
      <c r="N208" s="2"/>
      <c r="O208" s="2"/>
      <c r="P208" s="2"/>
      <c r="Q208" s="2"/>
      <c r="R208" s="2"/>
      <c r="S208" s="2"/>
      <c r="AC208" s="207" t="s">
        <v>26</v>
      </c>
      <c r="AD208" s="15">
        <v>245</v>
      </c>
      <c r="AE208" s="210">
        <v>32464.905555555557</v>
      </c>
      <c r="AF208" s="210"/>
      <c r="AG208" s="15">
        <v>1</v>
      </c>
      <c r="AH208" s="15">
        <v>8</v>
      </c>
      <c r="AI208" s="15">
        <v>6300</v>
      </c>
      <c r="AJ208" s="15">
        <v>5</v>
      </c>
      <c r="AK208" s="15">
        <v>230</v>
      </c>
      <c r="AL208" s="15">
        <v>28</v>
      </c>
    </row>
    <row r="209" spans="1:38" x14ac:dyDescent="0.25">
      <c r="A209" s="311"/>
      <c r="B209" s="311"/>
      <c r="C209" s="312"/>
      <c r="D209" s="313"/>
      <c r="E209" s="314"/>
      <c r="F209" s="314"/>
      <c r="G209" s="314"/>
      <c r="H209" s="314"/>
      <c r="I209" s="314"/>
      <c r="J209" s="314"/>
      <c r="K209" s="314"/>
      <c r="L209" s="314"/>
      <c r="M209" s="314"/>
      <c r="N209" s="314"/>
      <c r="O209" s="314"/>
      <c r="P209" s="314"/>
      <c r="Q209" s="314"/>
      <c r="R209" s="314"/>
      <c r="S209" s="314"/>
      <c r="T209" s="315"/>
      <c r="AC209" s="207" t="s">
        <v>26</v>
      </c>
      <c r="AD209" s="15">
        <v>245</v>
      </c>
      <c r="AE209" s="210">
        <v>33204.668749999997</v>
      </c>
      <c r="AF209" s="210"/>
      <c r="AG209" s="15">
        <v>1</v>
      </c>
      <c r="AH209" s="15">
        <v>4</v>
      </c>
      <c r="AI209" s="15">
        <v>2900</v>
      </c>
      <c r="AJ209" s="15">
        <v>5</v>
      </c>
      <c r="AK209" s="15">
        <v>240</v>
      </c>
      <c r="AL209" s="15">
        <v>29</v>
      </c>
    </row>
    <row r="210" spans="1:38" x14ac:dyDescent="0.25">
      <c r="C210" s="26"/>
      <c r="D210" s="3"/>
      <c r="E210" s="4"/>
      <c r="F210" s="4"/>
      <c r="G210" s="4"/>
      <c r="H210" s="4"/>
      <c r="I210" s="4"/>
      <c r="J210" s="4"/>
      <c r="K210" s="4"/>
      <c r="M210" s="223"/>
      <c r="N210" s="223"/>
      <c r="O210" s="223"/>
      <c r="P210" s="223"/>
      <c r="Q210" s="223"/>
      <c r="R210" s="223"/>
      <c r="S210" s="223"/>
      <c r="AC210" s="207" t="s">
        <v>26</v>
      </c>
      <c r="AD210" s="15">
        <v>245</v>
      </c>
      <c r="AE210" s="210">
        <v>33617.833333333336</v>
      </c>
      <c r="AF210" s="210"/>
      <c r="AG210" s="15">
        <v>1</v>
      </c>
      <c r="AH210" s="15">
        <v>3</v>
      </c>
      <c r="AI210" s="15">
        <v>2900</v>
      </c>
      <c r="AJ210" s="15">
        <v>5</v>
      </c>
      <c r="AK210" s="15">
        <v>190</v>
      </c>
      <c r="AL210" s="15">
        <v>18</v>
      </c>
    </row>
    <row r="211" spans="1:38" ht="18.75" x14ac:dyDescent="0.25">
      <c r="A211" s="432" t="s">
        <v>239</v>
      </c>
      <c r="B211" s="432"/>
      <c r="C211" s="432"/>
      <c r="D211" s="432"/>
      <c r="E211" s="432"/>
      <c r="F211" s="432"/>
      <c r="G211" s="432"/>
      <c r="H211" s="432"/>
      <c r="I211" s="432"/>
      <c r="J211" s="432"/>
      <c r="K211" s="432"/>
      <c r="L211" s="432"/>
      <c r="M211" s="432"/>
      <c r="N211" s="432"/>
      <c r="O211" s="432"/>
      <c r="P211" s="432"/>
      <c r="Q211" s="432"/>
      <c r="R211" s="432"/>
      <c r="S211" s="432"/>
      <c r="T211" s="284"/>
      <c r="AC211" s="207" t="s">
        <v>26</v>
      </c>
      <c r="AD211" s="15">
        <v>245</v>
      </c>
      <c r="AE211" s="210">
        <v>34038.6875</v>
      </c>
      <c r="AF211" s="210"/>
      <c r="AG211" s="15">
        <v>1</v>
      </c>
      <c r="AH211" s="15">
        <v>5</v>
      </c>
      <c r="AI211" s="15">
        <v>3800</v>
      </c>
      <c r="AJ211" s="15">
        <v>5</v>
      </c>
      <c r="AK211" s="15">
        <v>81</v>
      </c>
      <c r="AL211" s="15">
        <v>26</v>
      </c>
    </row>
    <row r="212" spans="1:38" ht="18.75" x14ac:dyDescent="0.25">
      <c r="A212"/>
      <c r="B212"/>
      <c r="C212" s="15"/>
      <c r="D212" s="292"/>
      <c r="E212" s="421" t="s">
        <v>214</v>
      </c>
      <c r="F212" s="421"/>
      <c r="G212" s="421"/>
      <c r="H212" s="421"/>
      <c r="I212" s="421"/>
      <c r="J212" s="421"/>
      <c r="K212" s="421"/>
      <c r="L212" s="223"/>
      <c r="M212" s="421" t="s">
        <v>213</v>
      </c>
      <c r="N212" s="421"/>
      <c r="O212" s="421"/>
      <c r="P212" s="421"/>
      <c r="Q212" s="421"/>
      <c r="R212" s="421"/>
      <c r="S212" s="421"/>
      <c r="AC212" s="207" t="s">
        <v>26</v>
      </c>
      <c r="AD212" s="15">
        <v>245</v>
      </c>
      <c r="AE212" s="210">
        <v>34276.708333333336</v>
      </c>
      <c r="AF212" s="210"/>
      <c r="AG212" s="15">
        <v>1</v>
      </c>
      <c r="AH212" s="15">
        <v>13</v>
      </c>
      <c r="AI212" s="15">
        <v>8900</v>
      </c>
      <c r="AJ212" s="15">
        <v>10</v>
      </c>
      <c r="AK212" s="15">
        <v>330</v>
      </c>
      <c r="AL212" s="15">
        <v>62</v>
      </c>
    </row>
    <row r="213" spans="1:38" ht="36" x14ac:dyDescent="0.25">
      <c r="A213" s="3" t="s">
        <v>140</v>
      </c>
      <c r="B213" s="3" t="s">
        <v>237</v>
      </c>
      <c r="C213" s="305" t="s">
        <v>203</v>
      </c>
      <c r="D213" s="3" t="s">
        <v>138</v>
      </c>
      <c r="E213" s="223" t="s">
        <v>7</v>
      </c>
      <c r="F213" s="223" t="s">
        <v>1</v>
      </c>
      <c r="G213" s="223" t="s">
        <v>2</v>
      </c>
      <c r="H213" s="223" t="s">
        <v>3</v>
      </c>
      <c r="I213" s="223" t="s">
        <v>4</v>
      </c>
      <c r="J213" s="223" t="s">
        <v>5</v>
      </c>
      <c r="K213" s="223" t="s">
        <v>6</v>
      </c>
      <c r="L213" s="223"/>
      <c r="M213" s="223" t="s">
        <v>7</v>
      </c>
      <c r="N213" s="223" t="s">
        <v>1</v>
      </c>
      <c r="O213" s="223" t="s">
        <v>2</v>
      </c>
      <c r="P213" s="223" t="s">
        <v>3</v>
      </c>
      <c r="Q213" s="223" t="s">
        <v>4</v>
      </c>
      <c r="R213" s="223" t="s">
        <v>5</v>
      </c>
      <c r="S213" s="223" t="s">
        <v>6</v>
      </c>
      <c r="T213" s="323" t="s">
        <v>241</v>
      </c>
      <c r="AC213" s="207" t="s">
        <v>26</v>
      </c>
      <c r="AD213" s="15">
        <v>245</v>
      </c>
      <c r="AE213" s="210">
        <v>34655.854166666664</v>
      </c>
      <c r="AF213" s="210"/>
      <c r="AG213" s="15">
        <v>1</v>
      </c>
      <c r="AH213" s="15">
        <v>3</v>
      </c>
      <c r="AI213" s="15">
        <v>26000</v>
      </c>
      <c r="AJ213" s="15">
        <v>5</v>
      </c>
      <c r="AK213" s="15">
        <v>190</v>
      </c>
      <c r="AL213" s="15">
        <v>22</v>
      </c>
    </row>
    <row r="214" spans="1:38" x14ac:dyDescent="0.25">
      <c r="A214" s="19" t="s">
        <v>26</v>
      </c>
      <c r="B214" s="324" t="s">
        <v>14</v>
      </c>
      <c r="C214" s="15">
        <v>215</v>
      </c>
      <c r="D214" s="250">
        <v>28473.791666666668</v>
      </c>
      <c r="E214" s="210"/>
      <c r="F214" s="15">
        <v>1</v>
      </c>
      <c r="G214" s="15">
        <v>4</v>
      </c>
      <c r="H214" s="15"/>
      <c r="I214" s="15">
        <v>5</v>
      </c>
      <c r="J214" s="15">
        <v>160</v>
      </c>
      <c r="K214" s="15">
        <v>27</v>
      </c>
      <c r="L214" s="309"/>
      <c r="M214" s="15"/>
      <c r="N214" s="253">
        <f>LOG10(F214)</f>
        <v>0</v>
      </c>
      <c r="O214" s="253">
        <f t="shared" ref="O214:S214" si="54">LOG10(G214)</f>
        <v>0.6020599913279624</v>
      </c>
      <c r="P214" s="253"/>
      <c r="Q214" s="253">
        <f t="shared" si="54"/>
        <v>0.69897000433601886</v>
      </c>
      <c r="R214" s="253">
        <f t="shared" si="54"/>
        <v>2.2041199826559246</v>
      </c>
      <c r="S214" s="253">
        <f t="shared" si="54"/>
        <v>1.4313637641589874</v>
      </c>
      <c r="T214" s="15">
        <v>9367540</v>
      </c>
      <c r="AC214" s="207" t="s">
        <v>26</v>
      </c>
      <c r="AD214" s="15">
        <v>245</v>
      </c>
      <c r="AE214" s="210">
        <v>35038.791666666664</v>
      </c>
      <c r="AF214" s="210"/>
      <c r="AG214" s="15">
        <v>1</v>
      </c>
      <c r="AH214" s="15">
        <v>4</v>
      </c>
      <c r="AI214" s="15">
        <v>630</v>
      </c>
      <c r="AJ214" s="15">
        <v>5</v>
      </c>
      <c r="AK214" s="15">
        <v>170</v>
      </c>
      <c r="AL214" s="15">
        <v>13</v>
      </c>
    </row>
    <row r="215" spans="1:38" x14ac:dyDescent="0.25">
      <c r="A215" s="19" t="s">
        <v>26</v>
      </c>
      <c r="B215" s="324" t="s">
        <v>14</v>
      </c>
      <c r="C215" s="15">
        <v>215</v>
      </c>
      <c r="D215" s="250">
        <v>28691.875</v>
      </c>
      <c r="E215" s="210"/>
      <c r="F215" s="15">
        <v>1</v>
      </c>
      <c r="G215" s="15">
        <v>2</v>
      </c>
      <c r="H215" s="15"/>
      <c r="I215" s="15">
        <v>5</v>
      </c>
      <c r="J215" s="15">
        <v>190</v>
      </c>
      <c r="K215" s="15">
        <v>34</v>
      </c>
      <c r="L215" s="309"/>
      <c r="M215" s="15"/>
      <c r="N215" s="253">
        <f t="shared" ref="N215:N248" si="55">LOG10(F215)</f>
        <v>0</v>
      </c>
      <c r="O215" s="253">
        <f t="shared" ref="O215:O248" si="56">LOG10(G215)</f>
        <v>0.3010299956639812</v>
      </c>
      <c r="P215" s="253"/>
      <c r="Q215" s="253">
        <f t="shared" ref="Q215:Q248" si="57">LOG10(I215)</f>
        <v>0.69897000433601886</v>
      </c>
      <c r="R215" s="253">
        <f t="shared" ref="R215:R248" si="58">LOG10(J215)</f>
        <v>2.2787536009528289</v>
      </c>
      <c r="S215" s="253">
        <f t="shared" ref="S215:S248" si="59">LOG10(K215)</f>
        <v>1.5314789170422551</v>
      </c>
      <c r="T215" s="15">
        <v>9367540</v>
      </c>
      <c r="AC215" s="207" t="s">
        <v>26</v>
      </c>
      <c r="AD215" s="15">
        <v>245</v>
      </c>
      <c r="AE215" s="210">
        <v>35368.791666666664</v>
      </c>
      <c r="AF215" s="210"/>
      <c r="AG215" s="15">
        <v>1</v>
      </c>
      <c r="AH215" s="15">
        <v>9</v>
      </c>
      <c r="AI215" s="15">
        <v>11000</v>
      </c>
      <c r="AJ215" s="15">
        <v>10</v>
      </c>
      <c r="AK215" s="15">
        <v>340</v>
      </c>
      <c r="AL215" s="15">
        <v>36</v>
      </c>
    </row>
    <row r="216" spans="1:38" x14ac:dyDescent="0.25">
      <c r="A216" s="19" t="s">
        <v>26</v>
      </c>
      <c r="B216" s="324" t="s">
        <v>14</v>
      </c>
      <c r="C216" s="15">
        <v>215</v>
      </c>
      <c r="D216" s="250">
        <v>28782.708333333332</v>
      </c>
      <c r="E216" s="210"/>
      <c r="F216" s="15">
        <v>1</v>
      </c>
      <c r="G216" s="15">
        <v>9</v>
      </c>
      <c r="H216" s="15"/>
      <c r="I216" s="15">
        <v>20</v>
      </c>
      <c r="J216" s="15">
        <v>240</v>
      </c>
      <c r="K216" s="15">
        <v>60</v>
      </c>
      <c r="L216" s="309"/>
      <c r="M216" s="15"/>
      <c r="N216" s="253">
        <f t="shared" si="55"/>
        <v>0</v>
      </c>
      <c r="O216" s="253">
        <f t="shared" si="56"/>
        <v>0.95424250943932487</v>
      </c>
      <c r="P216" s="253"/>
      <c r="Q216" s="253">
        <f t="shared" si="57"/>
        <v>1.3010299956639813</v>
      </c>
      <c r="R216" s="253">
        <f t="shared" si="58"/>
        <v>2.3802112417116059</v>
      </c>
      <c r="S216" s="253">
        <f t="shared" si="59"/>
        <v>1.7781512503836436</v>
      </c>
      <c r="T216" s="15">
        <v>9367540</v>
      </c>
      <c r="AC216" s="207" t="s">
        <v>26</v>
      </c>
      <c r="AD216" s="15">
        <v>245</v>
      </c>
      <c r="AE216" s="210">
        <v>35774.746527777781</v>
      </c>
      <c r="AF216" s="210"/>
      <c r="AG216" s="15">
        <v>1</v>
      </c>
      <c r="AH216" s="15">
        <v>8</v>
      </c>
      <c r="AI216" s="15">
        <v>13093</v>
      </c>
      <c r="AJ216" s="15">
        <v>11</v>
      </c>
      <c r="AK216" s="15">
        <v>274</v>
      </c>
      <c r="AL216" s="15">
        <v>45</v>
      </c>
    </row>
    <row r="217" spans="1:38" x14ac:dyDescent="0.25">
      <c r="A217" s="19" t="s">
        <v>26</v>
      </c>
      <c r="B217" s="324" t="s">
        <v>14</v>
      </c>
      <c r="C217" s="15">
        <v>215</v>
      </c>
      <c r="D217" s="250">
        <v>28970.9375</v>
      </c>
      <c r="E217" s="210"/>
      <c r="F217" s="15">
        <v>1</v>
      </c>
      <c r="G217" s="15">
        <v>1</v>
      </c>
      <c r="H217" s="15"/>
      <c r="I217" s="15">
        <v>5</v>
      </c>
      <c r="J217" s="15">
        <v>30</v>
      </c>
      <c r="K217" s="15">
        <v>27</v>
      </c>
      <c r="L217" s="309"/>
      <c r="M217" s="15"/>
      <c r="N217" s="253">
        <f t="shared" si="55"/>
        <v>0</v>
      </c>
      <c r="O217" s="253">
        <f t="shared" si="56"/>
        <v>0</v>
      </c>
      <c r="P217" s="253"/>
      <c r="Q217" s="253">
        <f t="shared" si="57"/>
        <v>0.69897000433601886</v>
      </c>
      <c r="R217" s="253">
        <f t="shared" si="58"/>
        <v>1.4771212547196624</v>
      </c>
      <c r="S217" s="253">
        <f t="shared" si="59"/>
        <v>1.4313637641589874</v>
      </c>
      <c r="T217" s="15">
        <v>9367540</v>
      </c>
      <c r="AC217" s="207" t="s">
        <v>26</v>
      </c>
      <c r="AD217" s="15">
        <v>245</v>
      </c>
      <c r="AE217" s="210">
        <v>36229.739583333336</v>
      </c>
      <c r="AF217" s="210"/>
      <c r="AG217" s="15">
        <v>1</v>
      </c>
      <c r="AH217" s="15">
        <v>6.1</v>
      </c>
      <c r="AI217" s="15">
        <v>7326</v>
      </c>
      <c r="AJ217" s="15">
        <v>5</v>
      </c>
      <c r="AK217" s="15">
        <v>149</v>
      </c>
      <c r="AL217" s="15">
        <v>23</v>
      </c>
    </row>
    <row r="218" spans="1:38" x14ac:dyDescent="0.25">
      <c r="A218" s="19" t="s">
        <v>26</v>
      </c>
      <c r="B218" s="324" t="s">
        <v>15</v>
      </c>
      <c r="C218" s="15">
        <v>196</v>
      </c>
      <c r="D218" s="250">
        <v>36545.729166666664</v>
      </c>
      <c r="E218" s="210"/>
      <c r="F218" s="15">
        <v>0.27</v>
      </c>
      <c r="G218" s="15">
        <v>10.98</v>
      </c>
      <c r="H218" s="15">
        <v>7163</v>
      </c>
      <c r="I218" s="15">
        <v>12.6</v>
      </c>
      <c r="J218" s="15">
        <v>319.10000000000002</v>
      </c>
      <c r="K218" s="15"/>
      <c r="L218" s="309"/>
      <c r="M218" s="15"/>
      <c r="N218" s="253">
        <f t="shared" si="55"/>
        <v>-0.56863623584101264</v>
      </c>
      <c r="O218" s="253">
        <f t="shared" si="56"/>
        <v>1.0406023401140732</v>
      </c>
      <c r="P218" s="253">
        <f t="shared" ref="P218:P248" si="60">LOG10(H218)</f>
        <v>3.8550949511586219</v>
      </c>
      <c r="Q218" s="253">
        <f t="shared" si="57"/>
        <v>1.1003705451175629</v>
      </c>
      <c r="R218" s="253">
        <f t="shared" si="58"/>
        <v>2.5039268041935103</v>
      </c>
      <c r="S218" s="253"/>
      <c r="T218" s="15">
        <v>9365000</v>
      </c>
      <c r="AC218" s="207" t="s">
        <v>26</v>
      </c>
      <c r="AD218" s="15">
        <v>245</v>
      </c>
      <c r="AE218" s="210">
        <v>36501.798611111109</v>
      </c>
      <c r="AF218" s="210"/>
      <c r="AG218" s="15">
        <v>0.11</v>
      </c>
      <c r="AH218" s="15">
        <v>2</v>
      </c>
      <c r="AI218" s="15">
        <v>1308</v>
      </c>
      <c r="AJ218" s="15">
        <v>8.5</v>
      </c>
      <c r="AK218" s="15">
        <v>36.11</v>
      </c>
      <c r="AL218" s="15">
        <v>6.36</v>
      </c>
    </row>
    <row r="219" spans="1:38" x14ac:dyDescent="0.25">
      <c r="A219" s="19" t="s">
        <v>26</v>
      </c>
      <c r="B219" s="324" t="s">
        <v>16</v>
      </c>
      <c r="C219" s="15">
        <v>295</v>
      </c>
      <c r="D219" s="250">
        <v>28472.916666666668</v>
      </c>
      <c r="E219" s="210"/>
      <c r="F219" s="15">
        <v>1</v>
      </c>
      <c r="G219" s="15">
        <v>4</v>
      </c>
      <c r="H219" s="15"/>
      <c r="I219" s="15">
        <v>5</v>
      </c>
      <c r="J219" s="15">
        <v>200</v>
      </c>
      <c r="K219" s="15">
        <v>32</v>
      </c>
      <c r="L219" s="309"/>
      <c r="M219" s="15"/>
      <c r="N219" s="253">
        <f t="shared" si="55"/>
        <v>0</v>
      </c>
      <c r="O219" s="253">
        <f t="shared" si="56"/>
        <v>0.6020599913279624</v>
      </c>
      <c r="P219" s="253"/>
      <c r="Q219" s="253">
        <f t="shared" si="57"/>
        <v>0.69897000433601886</v>
      </c>
      <c r="R219" s="253">
        <f t="shared" si="58"/>
        <v>2.3010299956639813</v>
      </c>
      <c r="S219" s="253">
        <f t="shared" si="59"/>
        <v>1.505149978319906</v>
      </c>
      <c r="T219" s="15">
        <v>9371010</v>
      </c>
      <c r="AC219" s="207" t="s">
        <v>26</v>
      </c>
      <c r="AD219" s="15">
        <v>245</v>
      </c>
      <c r="AE219" s="210">
        <v>29096.802083333332</v>
      </c>
      <c r="AF219" s="210"/>
      <c r="AG219" s="15">
        <v>1</v>
      </c>
      <c r="AH219" s="15">
        <v>4</v>
      </c>
      <c r="AI219" s="15"/>
      <c r="AJ219" s="15">
        <v>6</v>
      </c>
      <c r="AK219" s="15"/>
      <c r="AL219" s="15"/>
    </row>
    <row r="220" spans="1:38" x14ac:dyDescent="0.25">
      <c r="A220" s="19" t="s">
        <v>26</v>
      </c>
      <c r="B220" s="324" t="s">
        <v>16</v>
      </c>
      <c r="C220" s="15">
        <v>295</v>
      </c>
      <c r="D220" s="250">
        <v>28692.75</v>
      </c>
      <c r="E220" s="210"/>
      <c r="F220" s="15">
        <v>1</v>
      </c>
      <c r="G220" s="15">
        <v>2</v>
      </c>
      <c r="H220" s="15"/>
      <c r="I220" s="15">
        <v>5</v>
      </c>
      <c r="J220" s="15">
        <v>130</v>
      </c>
      <c r="K220" s="15">
        <v>24</v>
      </c>
      <c r="L220" s="309"/>
      <c r="M220" s="15"/>
      <c r="N220" s="253">
        <f t="shared" si="55"/>
        <v>0</v>
      </c>
      <c r="O220" s="253">
        <f t="shared" si="56"/>
        <v>0.3010299956639812</v>
      </c>
      <c r="P220" s="253"/>
      <c r="Q220" s="253">
        <f t="shared" si="57"/>
        <v>0.69897000433601886</v>
      </c>
      <c r="R220" s="253">
        <f t="shared" si="58"/>
        <v>2.1139433523068369</v>
      </c>
      <c r="S220" s="253">
        <f t="shared" si="59"/>
        <v>1.3802112417116059</v>
      </c>
      <c r="T220" s="15">
        <v>9371010</v>
      </c>
      <c r="AC220" s="207" t="s">
        <v>26</v>
      </c>
      <c r="AD220" s="15">
        <v>245</v>
      </c>
      <c r="AE220" s="210">
        <v>36858.767361111109</v>
      </c>
      <c r="AF220" s="210"/>
      <c r="AG220" s="15">
        <v>0.1</v>
      </c>
      <c r="AH220" s="15">
        <v>9</v>
      </c>
      <c r="AI220" s="15">
        <v>9600</v>
      </c>
      <c r="AJ220" s="15">
        <v>9.5</v>
      </c>
      <c r="AK220" s="15">
        <v>280</v>
      </c>
      <c r="AL220" s="15">
        <v>40</v>
      </c>
    </row>
    <row r="221" spans="1:38" x14ac:dyDescent="0.25">
      <c r="A221" s="19" t="s">
        <v>26</v>
      </c>
      <c r="B221" s="324" t="s">
        <v>16</v>
      </c>
      <c r="C221" s="15">
        <v>295</v>
      </c>
      <c r="D221" s="250">
        <v>28783.708333333332</v>
      </c>
      <c r="E221" s="210"/>
      <c r="F221" s="15">
        <v>1</v>
      </c>
      <c r="G221" s="15">
        <v>4</v>
      </c>
      <c r="H221" s="15"/>
      <c r="I221" s="15">
        <v>8</v>
      </c>
      <c r="J221" s="15">
        <v>120</v>
      </c>
      <c r="K221" s="15">
        <v>26</v>
      </c>
      <c r="L221" s="309"/>
      <c r="M221" s="15"/>
      <c r="N221" s="253">
        <f t="shared" si="55"/>
        <v>0</v>
      </c>
      <c r="O221" s="253">
        <f t="shared" si="56"/>
        <v>0.6020599913279624</v>
      </c>
      <c r="P221" s="253"/>
      <c r="Q221" s="253">
        <f t="shared" si="57"/>
        <v>0.90308998699194354</v>
      </c>
      <c r="R221" s="253">
        <f t="shared" si="58"/>
        <v>2.0791812460476247</v>
      </c>
      <c r="S221" s="253">
        <f t="shared" si="59"/>
        <v>1.414973347970818</v>
      </c>
      <c r="T221" s="15">
        <v>9371010</v>
      </c>
      <c r="AD221"/>
    </row>
    <row r="222" spans="1:38" x14ac:dyDescent="0.25">
      <c r="A222" s="19" t="s">
        <v>26</v>
      </c>
      <c r="B222" s="324" t="s">
        <v>16</v>
      </c>
      <c r="C222" s="15">
        <v>295</v>
      </c>
      <c r="D222" s="250">
        <v>28971.875</v>
      </c>
      <c r="E222" s="210"/>
      <c r="F222" s="15">
        <v>1</v>
      </c>
      <c r="G222" s="15">
        <v>2</v>
      </c>
      <c r="H222" s="15"/>
      <c r="I222" s="15">
        <v>5</v>
      </c>
      <c r="J222" s="15">
        <v>170</v>
      </c>
      <c r="K222" s="15">
        <v>13</v>
      </c>
      <c r="L222" s="309"/>
      <c r="M222" s="15"/>
      <c r="N222" s="253">
        <f t="shared" si="55"/>
        <v>0</v>
      </c>
      <c r="O222" s="253">
        <f t="shared" si="56"/>
        <v>0.3010299956639812</v>
      </c>
      <c r="P222" s="253"/>
      <c r="Q222" s="253">
        <f t="shared" si="57"/>
        <v>0.69897000433601886</v>
      </c>
      <c r="R222" s="253">
        <f t="shared" si="58"/>
        <v>2.2304489213782741</v>
      </c>
      <c r="S222" s="253">
        <f t="shared" si="59"/>
        <v>1.1139433523068367</v>
      </c>
      <c r="T222" s="15">
        <v>9371010</v>
      </c>
      <c r="AD222"/>
    </row>
    <row r="223" spans="1:38" x14ac:dyDescent="0.25">
      <c r="A223" s="19" t="s">
        <v>26</v>
      </c>
      <c r="B223" s="324" t="s">
        <v>16</v>
      </c>
      <c r="C223" s="15">
        <v>295</v>
      </c>
      <c r="D223" s="250">
        <v>33184.875</v>
      </c>
      <c r="E223" s="210"/>
      <c r="F223" s="15">
        <v>1</v>
      </c>
      <c r="G223" s="15">
        <v>12</v>
      </c>
      <c r="H223" s="15">
        <v>15000</v>
      </c>
      <c r="I223" s="15">
        <v>15</v>
      </c>
      <c r="J223" s="15">
        <v>340</v>
      </c>
      <c r="K223" s="15">
        <v>41</v>
      </c>
      <c r="L223" s="309"/>
      <c r="M223" s="15"/>
      <c r="N223" s="253">
        <f t="shared" si="55"/>
        <v>0</v>
      </c>
      <c r="O223" s="253">
        <f t="shared" si="56"/>
        <v>1.0791812460476249</v>
      </c>
      <c r="P223" s="253">
        <f t="shared" si="60"/>
        <v>4.1760912590556813</v>
      </c>
      <c r="Q223" s="253">
        <f t="shared" si="57"/>
        <v>1.1760912590556813</v>
      </c>
      <c r="R223" s="253">
        <f t="shared" si="58"/>
        <v>2.5314789170422549</v>
      </c>
      <c r="S223" s="253">
        <f t="shared" si="59"/>
        <v>1.6127838567197355</v>
      </c>
      <c r="T223" s="15">
        <v>9371010</v>
      </c>
      <c r="AD223"/>
    </row>
    <row r="224" spans="1:38" x14ac:dyDescent="0.25">
      <c r="A224" s="19" t="s">
        <v>26</v>
      </c>
      <c r="B224" s="324" t="s">
        <v>17</v>
      </c>
      <c r="C224" s="15">
        <v>197</v>
      </c>
      <c r="D224" s="250">
        <v>28468.75</v>
      </c>
      <c r="E224" s="210"/>
      <c r="F224" s="15">
        <v>1</v>
      </c>
      <c r="G224" s="15">
        <v>2</v>
      </c>
      <c r="H224" s="15"/>
      <c r="I224" s="15">
        <v>5</v>
      </c>
      <c r="J224" s="15">
        <v>120</v>
      </c>
      <c r="K224" s="15">
        <v>5</v>
      </c>
      <c r="L224" s="309"/>
      <c r="M224" s="15"/>
      <c r="N224" s="253">
        <f t="shared" si="55"/>
        <v>0</v>
      </c>
      <c r="O224" s="253">
        <f t="shared" si="56"/>
        <v>0.3010299956639812</v>
      </c>
      <c r="P224" s="253"/>
      <c r="Q224" s="253">
        <f t="shared" si="57"/>
        <v>0.69897000433601886</v>
      </c>
      <c r="R224" s="253">
        <f t="shared" si="58"/>
        <v>2.0791812460476247</v>
      </c>
      <c r="S224" s="253">
        <f t="shared" si="59"/>
        <v>0.69897000433601886</v>
      </c>
      <c r="T224" s="15">
        <v>9357100</v>
      </c>
      <c r="AD224"/>
    </row>
    <row r="225" spans="1:30" x14ac:dyDescent="0.25">
      <c r="A225" s="19" t="s">
        <v>26</v>
      </c>
      <c r="B225" s="324" t="s">
        <v>17</v>
      </c>
      <c r="C225" s="15">
        <v>197</v>
      </c>
      <c r="D225" s="250">
        <v>28689.6875</v>
      </c>
      <c r="E225" s="210"/>
      <c r="F225" s="15">
        <v>1</v>
      </c>
      <c r="G225" s="15">
        <v>2</v>
      </c>
      <c r="H225" s="15"/>
      <c r="I225" s="15">
        <v>5</v>
      </c>
      <c r="J225" s="15">
        <v>140</v>
      </c>
      <c r="K225" s="15">
        <v>3</v>
      </c>
      <c r="L225" s="309"/>
      <c r="M225" s="15"/>
      <c r="N225" s="253">
        <f t="shared" si="55"/>
        <v>0</v>
      </c>
      <c r="O225" s="253">
        <f t="shared" si="56"/>
        <v>0.3010299956639812</v>
      </c>
      <c r="P225" s="253"/>
      <c r="Q225" s="253">
        <f t="shared" si="57"/>
        <v>0.69897000433601886</v>
      </c>
      <c r="R225" s="253">
        <f t="shared" si="58"/>
        <v>2.1461280356782382</v>
      </c>
      <c r="S225" s="253">
        <f t="shared" si="59"/>
        <v>0.47712125471966244</v>
      </c>
      <c r="T225" s="15">
        <v>9357100</v>
      </c>
      <c r="AD225"/>
    </row>
    <row r="226" spans="1:30" x14ac:dyDescent="0.25">
      <c r="A226" s="19" t="s">
        <v>26</v>
      </c>
      <c r="B226" s="324" t="s">
        <v>17</v>
      </c>
      <c r="C226" s="15">
        <v>197</v>
      </c>
      <c r="D226" s="250">
        <v>28781.71875</v>
      </c>
      <c r="E226" s="210"/>
      <c r="F226" s="15">
        <v>1</v>
      </c>
      <c r="G226" s="15">
        <v>5</v>
      </c>
      <c r="H226" s="15"/>
      <c r="I226" s="15">
        <v>8</v>
      </c>
      <c r="J226" s="15">
        <v>120</v>
      </c>
      <c r="K226" s="15">
        <v>13</v>
      </c>
      <c r="L226" s="309"/>
      <c r="M226" s="15"/>
      <c r="N226" s="253">
        <f t="shared" si="55"/>
        <v>0</v>
      </c>
      <c r="O226" s="253">
        <f t="shared" si="56"/>
        <v>0.69897000433601886</v>
      </c>
      <c r="P226" s="253"/>
      <c r="Q226" s="253">
        <f t="shared" si="57"/>
        <v>0.90308998699194354</v>
      </c>
      <c r="R226" s="253">
        <f t="shared" si="58"/>
        <v>2.0791812460476247</v>
      </c>
      <c r="S226" s="253">
        <f t="shared" si="59"/>
        <v>1.1139433523068367</v>
      </c>
      <c r="T226" s="15">
        <v>9357100</v>
      </c>
      <c r="AD226"/>
    </row>
    <row r="227" spans="1:30" x14ac:dyDescent="0.25">
      <c r="A227" s="19" t="s">
        <v>26</v>
      </c>
      <c r="B227" s="324" t="s">
        <v>17</v>
      </c>
      <c r="C227" s="15">
        <v>197</v>
      </c>
      <c r="D227" s="250">
        <v>28969.9375</v>
      </c>
      <c r="E227" s="210"/>
      <c r="F227" s="15">
        <v>1</v>
      </c>
      <c r="G227" s="15">
        <v>2</v>
      </c>
      <c r="H227" s="15"/>
      <c r="I227" s="15">
        <v>5</v>
      </c>
      <c r="J227" s="15">
        <v>100</v>
      </c>
      <c r="K227" s="15">
        <v>4</v>
      </c>
      <c r="L227" s="309"/>
      <c r="M227" s="15"/>
      <c r="N227" s="253">
        <f t="shared" si="55"/>
        <v>0</v>
      </c>
      <c r="O227" s="253">
        <f t="shared" si="56"/>
        <v>0.3010299956639812</v>
      </c>
      <c r="P227" s="253"/>
      <c r="Q227" s="253">
        <f t="shared" si="57"/>
        <v>0.69897000433601886</v>
      </c>
      <c r="R227" s="253">
        <f t="shared" si="58"/>
        <v>2</v>
      </c>
      <c r="S227" s="253">
        <f t="shared" si="59"/>
        <v>0.6020599913279624</v>
      </c>
      <c r="T227" s="15">
        <v>9357100</v>
      </c>
      <c r="AD227"/>
    </row>
    <row r="228" spans="1:30" x14ac:dyDescent="0.25">
      <c r="A228" s="19" t="s">
        <v>26</v>
      </c>
      <c r="B228" s="324" t="s">
        <v>18</v>
      </c>
      <c r="C228" s="15">
        <v>245</v>
      </c>
      <c r="D228" s="250">
        <v>28718.708333333332</v>
      </c>
      <c r="E228" s="210"/>
      <c r="F228" s="15">
        <v>13</v>
      </c>
      <c r="G228" s="15">
        <v>17</v>
      </c>
      <c r="H228" s="15"/>
      <c r="I228" s="15">
        <v>100</v>
      </c>
      <c r="J228" s="15"/>
      <c r="K228" s="15"/>
      <c r="L228" s="309"/>
      <c r="M228" s="15"/>
      <c r="N228" s="253">
        <f t="shared" si="55"/>
        <v>1.1139433523068367</v>
      </c>
      <c r="O228" s="253">
        <f t="shared" si="56"/>
        <v>1.2304489213782739</v>
      </c>
      <c r="P228" s="253"/>
      <c r="Q228" s="253">
        <f t="shared" si="57"/>
        <v>2</v>
      </c>
      <c r="R228" s="253"/>
      <c r="S228" s="253"/>
      <c r="T228" s="15">
        <v>9368000</v>
      </c>
      <c r="AD228"/>
    </row>
    <row r="229" spans="1:30" x14ac:dyDescent="0.25">
      <c r="A229" s="19" t="s">
        <v>26</v>
      </c>
      <c r="B229" s="324" t="s">
        <v>18</v>
      </c>
      <c r="C229" s="15">
        <v>245</v>
      </c>
      <c r="D229" s="250">
        <v>29712.729166666668</v>
      </c>
      <c r="E229" s="210"/>
      <c r="F229" s="15">
        <v>1</v>
      </c>
      <c r="G229" s="15">
        <v>3</v>
      </c>
      <c r="H229" s="15">
        <v>210</v>
      </c>
      <c r="I229" s="15">
        <v>5</v>
      </c>
      <c r="J229" s="15">
        <v>210</v>
      </c>
      <c r="K229" s="15">
        <v>10</v>
      </c>
      <c r="L229" s="309"/>
      <c r="M229" s="15"/>
      <c r="N229" s="253">
        <f t="shared" si="55"/>
        <v>0</v>
      </c>
      <c r="O229" s="253">
        <f t="shared" si="56"/>
        <v>0.47712125471966244</v>
      </c>
      <c r="P229" s="253">
        <f t="shared" si="60"/>
        <v>2.3222192947339191</v>
      </c>
      <c r="Q229" s="253">
        <f t="shared" si="57"/>
        <v>0.69897000433601886</v>
      </c>
      <c r="R229" s="253">
        <f t="shared" si="58"/>
        <v>2.3222192947339191</v>
      </c>
      <c r="S229" s="253">
        <f t="shared" si="59"/>
        <v>1</v>
      </c>
      <c r="T229" s="15">
        <v>9368000</v>
      </c>
      <c r="AD229"/>
    </row>
    <row r="230" spans="1:30" x14ac:dyDescent="0.25">
      <c r="A230" s="19" t="s">
        <v>26</v>
      </c>
      <c r="B230" s="324" t="s">
        <v>18</v>
      </c>
      <c r="C230" s="15">
        <v>245</v>
      </c>
      <c r="D230" s="250">
        <v>30088.6875</v>
      </c>
      <c r="E230" s="210"/>
      <c r="F230" s="15">
        <v>1</v>
      </c>
      <c r="G230" s="15">
        <v>50</v>
      </c>
      <c r="H230" s="15">
        <v>1200</v>
      </c>
      <c r="I230" s="15">
        <v>5</v>
      </c>
      <c r="J230" s="15">
        <v>180</v>
      </c>
      <c r="K230" s="15">
        <v>26</v>
      </c>
      <c r="L230" s="309"/>
      <c r="M230" s="15"/>
      <c r="N230" s="253">
        <f t="shared" si="55"/>
        <v>0</v>
      </c>
      <c r="O230" s="253">
        <f t="shared" si="56"/>
        <v>1.6989700043360187</v>
      </c>
      <c r="P230" s="253">
        <f t="shared" si="60"/>
        <v>3.0791812460476247</v>
      </c>
      <c r="Q230" s="253">
        <f t="shared" si="57"/>
        <v>0.69897000433601886</v>
      </c>
      <c r="R230" s="253">
        <f t="shared" si="58"/>
        <v>2.255272505103306</v>
      </c>
      <c r="S230" s="253">
        <f t="shared" si="59"/>
        <v>1.414973347970818</v>
      </c>
      <c r="T230" s="15">
        <v>9368000</v>
      </c>
      <c r="AD230"/>
    </row>
    <row r="231" spans="1:30" x14ac:dyDescent="0.25">
      <c r="A231" s="19" t="s">
        <v>26</v>
      </c>
      <c r="B231" s="324" t="s">
        <v>18</v>
      </c>
      <c r="C231" s="15">
        <v>245</v>
      </c>
      <c r="D231" s="250">
        <v>30258.875</v>
      </c>
      <c r="E231" s="210"/>
      <c r="F231" s="15">
        <v>1</v>
      </c>
      <c r="G231" s="15">
        <v>1</v>
      </c>
      <c r="H231" s="15">
        <v>800</v>
      </c>
      <c r="I231" s="15">
        <v>5</v>
      </c>
      <c r="J231" s="15">
        <v>170</v>
      </c>
      <c r="K231" s="15">
        <v>16</v>
      </c>
      <c r="L231" s="309"/>
      <c r="M231" s="15"/>
      <c r="N231" s="253">
        <f t="shared" si="55"/>
        <v>0</v>
      </c>
      <c r="O231" s="253">
        <f t="shared" si="56"/>
        <v>0</v>
      </c>
      <c r="P231" s="253">
        <f t="shared" si="60"/>
        <v>2.9030899869919438</v>
      </c>
      <c r="Q231" s="253">
        <f t="shared" si="57"/>
        <v>0.69897000433601886</v>
      </c>
      <c r="R231" s="253">
        <f t="shared" si="58"/>
        <v>2.2304489213782741</v>
      </c>
      <c r="S231" s="253">
        <f t="shared" si="59"/>
        <v>1.2041199826559248</v>
      </c>
      <c r="T231" s="15">
        <v>9368000</v>
      </c>
      <c r="AD231"/>
    </row>
    <row r="232" spans="1:30" x14ac:dyDescent="0.25">
      <c r="A232" s="19" t="s">
        <v>26</v>
      </c>
      <c r="B232" s="324" t="s">
        <v>18</v>
      </c>
      <c r="C232" s="15">
        <v>245</v>
      </c>
      <c r="D232" s="250">
        <v>30622.729166666668</v>
      </c>
      <c r="E232" s="210"/>
      <c r="F232" s="15">
        <v>1</v>
      </c>
      <c r="G232" s="15">
        <v>1</v>
      </c>
      <c r="H232" s="15">
        <v>1300</v>
      </c>
      <c r="I232" s="15">
        <v>5</v>
      </c>
      <c r="J232" s="15">
        <v>180</v>
      </c>
      <c r="K232" s="15">
        <v>19</v>
      </c>
      <c r="L232" s="309"/>
      <c r="M232" s="15"/>
      <c r="N232" s="253">
        <f t="shared" si="55"/>
        <v>0</v>
      </c>
      <c r="O232" s="253">
        <f t="shared" si="56"/>
        <v>0</v>
      </c>
      <c r="P232" s="253">
        <f t="shared" si="60"/>
        <v>3.1139433523068369</v>
      </c>
      <c r="Q232" s="253">
        <f t="shared" si="57"/>
        <v>0.69897000433601886</v>
      </c>
      <c r="R232" s="253">
        <f t="shared" si="58"/>
        <v>2.255272505103306</v>
      </c>
      <c r="S232" s="253">
        <f t="shared" si="59"/>
        <v>1.2787536009528289</v>
      </c>
      <c r="T232" s="15">
        <v>9368000</v>
      </c>
    </row>
    <row r="233" spans="1:30" x14ac:dyDescent="0.25">
      <c r="A233" s="19" t="s">
        <v>26</v>
      </c>
      <c r="B233" s="324" t="s">
        <v>18</v>
      </c>
      <c r="C233" s="15">
        <v>245</v>
      </c>
      <c r="D233" s="250">
        <v>30993.833333333332</v>
      </c>
      <c r="E233" s="210"/>
      <c r="F233" s="15">
        <v>1</v>
      </c>
      <c r="G233" s="15">
        <v>5</v>
      </c>
      <c r="H233" s="15">
        <v>1800</v>
      </c>
      <c r="I233" s="15">
        <v>10</v>
      </c>
      <c r="J233" s="15">
        <v>130</v>
      </c>
      <c r="K233" s="15">
        <v>24</v>
      </c>
      <c r="L233" s="309"/>
      <c r="M233" s="15"/>
      <c r="N233" s="253">
        <f t="shared" si="55"/>
        <v>0</v>
      </c>
      <c r="O233" s="253">
        <f t="shared" si="56"/>
        <v>0.69897000433601886</v>
      </c>
      <c r="P233" s="253">
        <f t="shared" si="60"/>
        <v>3.255272505103306</v>
      </c>
      <c r="Q233" s="253">
        <f t="shared" si="57"/>
        <v>1</v>
      </c>
      <c r="R233" s="253">
        <f t="shared" si="58"/>
        <v>2.1139433523068369</v>
      </c>
      <c r="S233" s="253">
        <f t="shared" si="59"/>
        <v>1.3802112417116059</v>
      </c>
      <c r="T233" s="15">
        <v>9368000</v>
      </c>
    </row>
    <row r="234" spans="1:30" x14ac:dyDescent="0.25">
      <c r="A234" s="19" t="s">
        <v>26</v>
      </c>
      <c r="B234" s="324" t="s">
        <v>18</v>
      </c>
      <c r="C234" s="15">
        <v>245</v>
      </c>
      <c r="D234" s="250">
        <v>31734.854166666668</v>
      </c>
      <c r="E234" s="210"/>
      <c r="F234" s="15">
        <v>1</v>
      </c>
      <c r="G234" s="15">
        <v>3</v>
      </c>
      <c r="H234" s="15">
        <v>2600</v>
      </c>
      <c r="I234" s="15">
        <v>5</v>
      </c>
      <c r="J234" s="15">
        <v>150</v>
      </c>
      <c r="K234" s="15">
        <v>19</v>
      </c>
      <c r="L234" s="309"/>
      <c r="M234" s="15"/>
      <c r="N234" s="253">
        <f t="shared" si="55"/>
        <v>0</v>
      </c>
      <c r="O234" s="253">
        <f t="shared" si="56"/>
        <v>0.47712125471966244</v>
      </c>
      <c r="P234" s="253">
        <f t="shared" si="60"/>
        <v>3.4149733479708178</v>
      </c>
      <c r="Q234" s="253">
        <f t="shared" si="57"/>
        <v>0.69897000433601886</v>
      </c>
      <c r="R234" s="253">
        <f t="shared" si="58"/>
        <v>2.1760912590556813</v>
      </c>
      <c r="S234" s="253">
        <f t="shared" si="59"/>
        <v>1.2787536009528289</v>
      </c>
      <c r="T234" s="15">
        <v>9368000</v>
      </c>
    </row>
    <row r="235" spans="1:30" x14ac:dyDescent="0.25">
      <c r="A235" s="19" t="s">
        <v>26</v>
      </c>
      <c r="B235" s="324" t="s">
        <v>18</v>
      </c>
      <c r="C235" s="15">
        <v>245</v>
      </c>
      <c r="D235" s="250">
        <v>32098.918750000001</v>
      </c>
      <c r="E235" s="210"/>
      <c r="F235" s="15">
        <v>1</v>
      </c>
      <c r="G235" s="15">
        <v>8</v>
      </c>
      <c r="H235" s="15">
        <v>4400</v>
      </c>
      <c r="I235" s="15">
        <v>10</v>
      </c>
      <c r="J235" s="15">
        <v>220</v>
      </c>
      <c r="K235" s="15">
        <v>40</v>
      </c>
      <c r="L235" s="309"/>
      <c r="M235" s="15"/>
      <c r="N235" s="253">
        <f t="shared" si="55"/>
        <v>0</v>
      </c>
      <c r="O235" s="253">
        <f t="shared" si="56"/>
        <v>0.90308998699194354</v>
      </c>
      <c r="P235" s="253">
        <f t="shared" si="60"/>
        <v>3.6434526764861874</v>
      </c>
      <c r="Q235" s="253">
        <f t="shared" si="57"/>
        <v>1</v>
      </c>
      <c r="R235" s="253">
        <f t="shared" si="58"/>
        <v>2.3424226808222062</v>
      </c>
      <c r="S235" s="253">
        <f t="shared" si="59"/>
        <v>1.6020599913279623</v>
      </c>
      <c r="T235" s="15">
        <v>9368000</v>
      </c>
    </row>
    <row r="236" spans="1:30" x14ac:dyDescent="0.25">
      <c r="A236" s="19" t="s">
        <v>26</v>
      </c>
      <c r="B236" s="324" t="s">
        <v>18</v>
      </c>
      <c r="C236" s="15">
        <v>245</v>
      </c>
      <c r="D236" s="250">
        <v>32464.905555555557</v>
      </c>
      <c r="E236" s="210"/>
      <c r="F236" s="15">
        <v>1</v>
      </c>
      <c r="G236" s="15">
        <v>8</v>
      </c>
      <c r="H236" s="15">
        <v>6300</v>
      </c>
      <c r="I236" s="15">
        <v>5</v>
      </c>
      <c r="J236" s="15">
        <v>230</v>
      </c>
      <c r="K236" s="15">
        <v>28</v>
      </c>
      <c r="L236" s="309"/>
      <c r="M236" s="15"/>
      <c r="N236" s="253">
        <f t="shared" si="55"/>
        <v>0</v>
      </c>
      <c r="O236" s="253">
        <f t="shared" si="56"/>
        <v>0.90308998699194354</v>
      </c>
      <c r="P236" s="253">
        <f t="shared" si="60"/>
        <v>3.7993405494535817</v>
      </c>
      <c r="Q236" s="253">
        <f t="shared" si="57"/>
        <v>0.69897000433601886</v>
      </c>
      <c r="R236" s="253">
        <f t="shared" si="58"/>
        <v>2.3617278360175931</v>
      </c>
      <c r="S236" s="253">
        <f t="shared" si="59"/>
        <v>1.4471580313422192</v>
      </c>
      <c r="T236" s="15">
        <v>9368000</v>
      </c>
    </row>
    <row r="237" spans="1:30" x14ac:dyDescent="0.25">
      <c r="A237" s="19" t="s">
        <v>26</v>
      </c>
      <c r="B237" s="324" t="s">
        <v>18</v>
      </c>
      <c r="C237" s="15">
        <v>245</v>
      </c>
      <c r="D237" s="250">
        <v>33204.668749999997</v>
      </c>
      <c r="E237" s="210"/>
      <c r="F237" s="15">
        <v>1</v>
      </c>
      <c r="G237" s="15">
        <v>4</v>
      </c>
      <c r="H237" s="15">
        <v>2900</v>
      </c>
      <c r="I237" s="15">
        <v>5</v>
      </c>
      <c r="J237" s="15">
        <v>240</v>
      </c>
      <c r="K237" s="15">
        <v>29</v>
      </c>
      <c r="L237" s="309"/>
      <c r="M237" s="15"/>
      <c r="N237" s="253">
        <f t="shared" si="55"/>
        <v>0</v>
      </c>
      <c r="O237" s="253">
        <f t="shared" si="56"/>
        <v>0.6020599913279624</v>
      </c>
      <c r="P237" s="253">
        <f t="shared" si="60"/>
        <v>3.4623979978989561</v>
      </c>
      <c r="Q237" s="253">
        <f t="shared" si="57"/>
        <v>0.69897000433601886</v>
      </c>
      <c r="R237" s="253">
        <f t="shared" si="58"/>
        <v>2.3802112417116059</v>
      </c>
      <c r="S237" s="253">
        <f t="shared" si="59"/>
        <v>1.4623979978989561</v>
      </c>
      <c r="T237" s="15">
        <v>9368000</v>
      </c>
    </row>
    <row r="238" spans="1:30" x14ac:dyDescent="0.25">
      <c r="A238" s="19" t="s">
        <v>26</v>
      </c>
      <c r="B238" s="324" t="s">
        <v>18</v>
      </c>
      <c r="C238" s="15">
        <v>245</v>
      </c>
      <c r="D238" s="250">
        <v>33617.833333333336</v>
      </c>
      <c r="E238" s="210"/>
      <c r="F238" s="15">
        <v>1</v>
      </c>
      <c r="G238" s="15">
        <v>3</v>
      </c>
      <c r="H238" s="15">
        <v>2900</v>
      </c>
      <c r="I238" s="15">
        <v>5</v>
      </c>
      <c r="J238" s="15">
        <v>190</v>
      </c>
      <c r="K238" s="15">
        <v>18</v>
      </c>
      <c r="L238" s="309"/>
      <c r="M238" s="15"/>
      <c r="N238" s="253">
        <f t="shared" si="55"/>
        <v>0</v>
      </c>
      <c r="O238" s="253">
        <f t="shared" si="56"/>
        <v>0.47712125471966244</v>
      </c>
      <c r="P238" s="253">
        <f t="shared" si="60"/>
        <v>3.4623979978989561</v>
      </c>
      <c r="Q238" s="253">
        <f t="shared" si="57"/>
        <v>0.69897000433601886</v>
      </c>
      <c r="R238" s="253">
        <f t="shared" si="58"/>
        <v>2.2787536009528289</v>
      </c>
      <c r="S238" s="253">
        <f t="shared" si="59"/>
        <v>1.255272505103306</v>
      </c>
      <c r="T238" s="15">
        <v>9368000</v>
      </c>
    </row>
    <row r="239" spans="1:30" x14ac:dyDescent="0.25">
      <c r="A239" s="19" t="s">
        <v>26</v>
      </c>
      <c r="B239" s="324" t="s">
        <v>18</v>
      </c>
      <c r="C239" s="15">
        <v>245</v>
      </c>
      <c r="D239" s="250">
        <v>34038.6875</v>
      </c>
      <c r="E239" s="210"/>
      <c r="F239" s="15">
        <v>1</v>
      </c>
      <c r="G239" s="15">
        <v>5</v>
      </c>
      <c r="H239" s="15">
        <v>3800</v>
      </c>
      <c r="I239" s="15">
        <v>5</v>
      </c>
      <c r="J239" s="15">
        <v>81</v>
      </c>
      <c r="K239" s="15">
        <v>26</v>
      </c>
      <c r="L239" s="309"/>
      <c r="M239" s="15"/>
      <c r="N239" s="253">
        <f t="shared" si="55"/>
        <v>0</v>
      </c>
      <c r="O239" s="253">
        <f t="shared" si="56"/>
        <v>0.69897000433601886</v>
      </c>
      <c r="P239" s="253">
        <f t="shared" si="60"/>
        <v>3.5797835966168101</v>
      </c>
      <c r="Q239" s="253">
        <f t="shared" si="57"/>
        <v>0.69897000433601886</v>
      </c>
      <c r="R239" s="253">
        <f t="shared" si="58"/>
        <v>1.9084850188786497</v>
      </c>
      <c r="S239" s="253">
        <f t="shared" si="59"/>
        <v>1.414973347970818</v>
      </c>
      <c r="T239" s="15">
        <v>9368000</v>
      </c>
    </row>
    <row r="240" spans="1:30" x14ac:dyDescent="0.25">
      <c r="A240" s="19" t="s">
        <v>26</v>
      </c>
      <c r="B240" s="324" t="s">
        <v>18</v>
      </c>
      <c r="C240" s="15">
        <v>245</v>
      </c>
      <c r="D240" s="250">
        <v>34276.708333333336</v>
      </c>
      <c r="E240" s="210"/>
      <c r="F240" s="15">
        <v>1</v>
      </c>
      <c r="G240" s="15">
        <v>13</v>
      </c>
      <c r="H240" s="15">
        <v>8900</v>
      </c>
      <c r="I240" s="15">
        <v>10</v>
      </c>
      <c r="J240" s="15">
        <v>330</v>
      </c>
      <c r="K240" s="15">
        <v>62</v>
      </c>
      <c r="L240" s="309"/>
      <c r="M240" s="15"/>
      <c r="N240" s="253">
        <f t="shared" si="55"/>
        <v>0</v>
      </c>
      <c r="O240" s="253">
        <f t="shared" si="56"/>
        <v>1.1139433523068367</v>
      </c>
      <c r="P240" s="253">
        <f t="shared" si="60"/>
        <v>3.9493900066449128</v>
      </c>
      <c r="Q240" s="253">
        <f t="shared" si="57"/>
        <v>1</v>
      </c>
      <c r="R240" s="253">
        <f t="shared" si="58"/>
        <v>2.5185139398778875</v>
      </c>
      <c r="S240" s="253">
        <f t="shared" si="59"/>
        <v>1.7923916894982539</v>
      </c>
      <c r="T240" s="15">
        <v>9368000</v>
      </c>
    </row>
    <row r="241" spans="1:20" x14ac:dyDescent="0.25">
      <c r="A241" s="19" t="s">
        <v>26</v>
      </c>
      <c r="B241" s="324" t="s">
        <v>18</v>
      </c>
      <c r="C241" s="15">
        <v>245</v>
      </c>
      <c r="D241" s="250">
        <v>34655.854166666664</v>
      </c>
      <c r="E241" s="210"/>
      <c r="F241" s="15">
        <v>1</v>
      </c>
      <c r="G241" s="15">
        <v>3</v>
      </c>
      <c r="H241" s="15">
        <v>26000</v>
      </c>
      <c r="I241" s="15">
        <v>5</v>
      </c>
      <c r="J241" s="15">
        <v>190</v>
      </c>
      <c r="K241" s="15">
        <v>22</v>
      </c>
      <c r="L241" s="309"/>
      <c r="M241" s="15"/>
      <c r="N241" s="253">
        <f t="shared" si="55"/>
        <v>0</v>
      </c>
      <c r="O241" s="253">
        <f t="shared" si="56"/>
        <v>0.47712125471966244</v>
      </c>
      <c r="P241" s="253">
        <f t="shared" si="60"/>
        <v>4.4149733479708182</v>
      </c>
      <c r="Q241" s="253">
        <f t="shared" si="57"/>
        <v>0.69897000433601886</v>
      </c>
      <c r="R241" s="253">
        <f t="shared" si="58"/>
        <v>2.2787536009528289</v>
      </c>
      <c r="S241" s="253">
        <f t="shared" si="59"/>
        <v>1.3424226808222062</v>
      </c>
      <c r="T241" s="15">
        <v>9368000</v>
      </c>
    </row>
    <row r="242" spans="1:20" x14ac:dyDescent="0.25">
      <c r="A242" s="19" t="s">
        <v>26</v>
      </c>
      <c r="B242" s="324" t="s">
        <v>18</v>
      </c>
      <c r="C242" s="15">
        <v>245</v>
      </c>
      <c r="D242" s="250">
        <v>35038.791666666664</v>
      </c>
      <c r="E242" s="210"/>
      <c r="F242" s="15">
        <v>1</v>
      </c>
      <c r="G242" s="15">
        <v>4</v>
      </c>
      <c r="H242" s="15">
        <v>630</v>
      </c>
      <c r="I242" s="15">
        <v>5</v>
      </c>
      <c r="J242" s="15">
        <v>170</v>
      </c>
      <c r="K242" s="15">
        <v>13</v>
      </c>
      <c r="L242" s="309"/>
      <c r="M242" s="15"/>
      <c r="N242" s="253">
        <f t="shared" si="55"/>
        <v>0</v>
      </c>
      <c r="O242" s="253">
        <f t="shared" si="56"/>
        <v>0.6020599913279624</v>
      </c>
      <c r="P242" s="253">
        <f t="shared" si="60"/>
        <v>2.7993405494535817</v>
      </c>
      <c r="Q242" s="253">
        <f t="shared" si="57"/>
        <v>0.69897000433601886</v>
      </c>
      <c r="R242" s="253">
        <f t="shared" si="58"/>
        <v>2.2304489213782741</v>
      </c>
      <c r="S242" s="253">
        <f t="shared" si="59"/>
        <v>1.1139433523068367</v>
      </c>
      <c r="T242" s="15">
        <v>9368000</v>
      </c>
    </row>
    <row r="243" spans="1:20" x14ac:dyDescent="0.25">
      <c r="A243" s="19" t="s">
        <v>26</v>
      </c>
      <c r="B243" s="324" t="s">
        <v>18</v>
      </c>
      <c r="C243" s="15">
        <v>245</v>
      </c>
      <c r="D243" s="250">
        <v>35368.791666666664</v>
      </c>
      <c r="E243" s="210"/>
      <c r="F243" s="15">
        <v>1</v>
      </c>
      <c r="G243" s="15">
        <v>9</v>
      </c>
      <c r="H243" s="15">
        <v>11000</v>
      </c>
      <c r="I243" s="15">
        <v>10</v>
      </c>
      <c r="J243" s="15">
        <v>340</v>
      </c>
      <c r="K243" s="15">
        <v>36</v>
      </c>
      <c r="L243" s="309"/>
      <c r="M243" s="15"/>
      <c r="N243" s="253">
        <f t="shared" si="55"/>
        <v>0</v>
      </c>
      <c r="O243" s="253">
        <f t="shared" si="56"/>
        <v>0.95424250943932487</v>
      </c>
      <c r="P243" s="253">
        <f t="shared" si="60"/>
        <v>4.0413926851582254</v>
      </c>
      <c r="Q243" s="253">
        <f t="shared" si="57"/>
        <v>1</v>
      </c>
      <c r="R243" s="253">
        <f t="shared" si="58"/>
        <v>2.5314789170422549</v>
      </c>
      <c r="S243" s="253">
        <f t="shared" si="59"/>
        <v>1.5563025007672873</v>
      </c>
      <c r="T243" s="15">
        <v>9368000</v>
      </c>
    </row>
    <row r="244" spans="1:20" x14ac:dyDescent="0.25">
      <c r="A244" s="19" t="s">
        <v>26</v>
      </c>
      <c r="B244" s="324" t="s">
        <v>18</v>
      </c>
      <c r="C244" s="15">
        <v>245</v>
      </c>
      <c r="D244" s="250">
        <v>35774.746527777781</v>
      </c>
      <c r="E244" s="210"/>
      <c r="F244" s="15">
        <v>1</v>
      </c>
      <c r="G244" s="15">
        <v>8</v>
      </c>
      <c r="H244" s="15">
        <v>13093</v>
      </c>
      <c r="I244" s="15">
        <v>11</v>
      </c>
      <c r="J244" s="15">
        <v>274</v>
      </c>
      <c r="K244" s="15">
        <v>45</v>
      </c>
      <c r="L244" s="309"/>
      <c r="M244" s="15"/>
      <c r="N244" s="253">
        <f t="shared" si="55"/>
        <v>0</v>
      </c>
      <c r="O244" s="253">
        <f t="shared" si="56"/>
        <v>0.90308998699194354</v>
      </c>
      <c r="P244" s="253">
        <f t="shared" si="60"/>
        <v>4.117039167877679</v>
      </c>
      <c r="Q244" s="253">
        <f t="shared" si="57"/>
        <v>1.0413926851582251</v>
      </c>
      <c r="R244" s="253">
        <f t="shared" si="58"/>
        <v>2.4377505628203879</v>
      </c>
      <c r="S244" s="253">
        <f t="shared" si="59"/>
        <v>1.6532125137753437</v>
      </c>
      <c r="T244" s="15">
        <v>9368000</v>
      </c>
    </row>
    <row r="245" spans="1:20" x14ac:dyDescent="0.25">
      <c r="A245" s="19" t="s">
        <v>26</v>
      </c>
      <c r="B245" s="324" t="s">
        <v>18</v>
      </c>
      <c r="C245" s="15">
        <v>245</v>
      </c>
      <c r="D245" s="250">
        <v>36229.739583333336</v>
      </c>
      <c r="E245" s="210"/>
      <c r="F245" s="15">
        <v>1</v>
      </c>
      <c r="G245" s="15">
        <v>6.1</v>
      </c>
      <c r="H245" s="15">
        <v>7326</v>
      </c>
      <c r="I245" s="15">
        <v>5</v>
      </c>
      <c r="J245" s="15">
        <v>149</v>
      </c>
      <c r="K245" s="15">
        <v>23</v>
      </c>
      <c r="L245" s="309"/>
      <c r="M245" s="15"/>
      <c r="N245" s="253">
        <f t="shared" si="55"/>
        <v>0</v>
      </c>
      <c r="O245" s="253">
        <f t="shared" si="56"/>
        <v>0.78532983501076703</v>
      </c>
      <c r="P245" s="253">
        <f t="shared" si="60"/>
        <v>3.8648669143285259</v>
      </c>
      <c r="Q245" s="253">
        <f t="shared" si="57"/>
        <v>0.69897000433601886</v>
      </c>
      <c r="R245" s="253">
        <f t="shared" si="58"/>
        <v>2.173186268412274</v>
      </c>
      <c r="S245" s="253">
        <f t="shared" si="59"/>
        <v>1.3617278360175928</v>
      </c>
      <c r="T245" s="15">
        <v>9368000</v>
      </c>
    </row>
    <row r="246" spans="1:20" x14ac:dyDescent="0.25">
      <c r="A246" s="19" t="s">
        <v>26</v>
      </c>
      <c r="B246" s="324" t="s">
        <v>18</v>
      </c>
      <c r="C246" s="15">
        <v>245</v>
      </c>
      <c r="D246" s="250">
        <v>36501.798611111109</v>
      </c>
      <c r="E246" s="210"/>
      <c r="F246" s="15">
        <v>0.11</v>
      </c>
      <c r="G246" s="15">
        <v>2</v>
      </c>
      <c r="H246" s="15">
        <v>1308</v>
      </c>
      <c r="I246" s="15">
        <v>8.5</v>
      </c>
      <c r="J246" s="15">
        <v>36.11</v>
      </c>
      <c r="K246" s="15">
        <v>6.36</v>
      </c>
      <c r="L246" s="309"/>
      <c r="M246" s="15"/>
      <c r="N246" s="253">
        <f t="shared" si="55"/>
        <v>-0.95860731484177497</v>
      </c>
      <c r="O246" s="253">
        <f t="shared" si="56"/>
        <v>0.3010299956639812</v>
      </c>
      <c r="P246" s="253">
        <f t="shared" si="60"/>
        <v>3.1166077439882485</v>
      </c>
      <c r="Q246" s="253">
        <f t="shared" si="57"/>
        <v>0.92941892571429274</v>
      </c>
      <c r="R246" s="253">
        <f t="shared" si="58"/>
        <v>1.5576274884268266</v>
      </c>
      <c r="S246" s="253">
        <f t="shared" si="59"/>
        <v>0.80345711564841393</v>
      </c>
      <c r="T246" s="15">
        <v>9368000</v>
      </c>
    </row>
    <row r="247" spans="1:20" x14ac:dyDescent="0.25">
      <c r="A247" s="19" t="s">
        <v>26</v>
      </c>
      <c r="B247" s="324" t="s">
        <v>18</v>
      </c>
      <c r="C247" s="15">
        <v>245</v>
      </c>
      <c r="D247" s="250">
        <v>29096.802083333332</v>
      </c>
      <c r="E247" s="210"/>
      <c r="F247" s="15">
        <v>1</v>
      </c>
      <c r="G247" s="15">
        <v>4</v>
      </c>
      <c r="H247" s="15"/>
      <c r="I247" s="15">
        <v>6</v>
      </c>
      <c r="J247" s="15"/>
      <c r="K247" s="15"/>
      <c r="L247" s="309"/>
      <c r="M247" s="15"/>
      <c r="N247" s="253">
        <f t="shared" si="55"/>
        <v>0</v>
      </c>
      <c r="O247" s="253">
        <f t="shared" si="56"/>
        <v>0.6020599913279624</v>
      </c>
      <c r="P247" s="253"/>
      <c r="Q247" s="253">
        <f t="shared" si="57"/>
        <v>0.77815125038364363</v>
      </c>
      <c r="R247" s="253"/>
      <c r="S247" s="253"/>
      <c r="T247" s="15">
        <v>9368000</v>
      </c>
    </row>
    <row r="248" spans="1:20" x14ac:dyDescent="0.25">
      <c r="A248" s="19" t="s">
        <v>26</v>
      </c>
      <c r="B248" s="324" t="s">
        <v>18</v>
      </c>
      <c r="C248" s="15">
        <v>245</v>
      </c>
      <c r="D248" s="250">
        <v>36858.767361111109</v>
      </c>
      <c r="E248" s="210"/>
      <c r="F248" s="15">
        <v>0.1</v>
      </c>
      <c r="G248" s="15">
        <v>9</v>
      </c>
      <c r="H248" s="15">
        <v>9600</v>
      </c>
      <c r="I248" s="15">
        <v>9.5</v>
      </c>
      <c r="J248" s="15">
        <v>280</v>
      </c>
      <c r="K248" s="15">
        <v>40</v>
      </c>
      <c r="L248" s="309"/>
      <c r="M248" s="15"/>
      <c r="N248" s="253">
        <f t="shared" si="55"/>
        <v>-1</v>
      </c>
      <c r="O248" s="253">
        <f t="shared" si="56"/>
        <v>0.95424250943932487</v>
      </c>
      <c r="P248" s="253">
        <f t="shared" si="60"/>
        <v>3.9822712330395684</v>
      </c>
      <c r="Q248" s="253">
        <f t="shared" si="57"/>
        <v>0.97772360528884772</v>
      </c>
      <c r="R248" s="253">
        <f t="shared" si="58"/>
        <v>2.4471580313422194</v>
      </c>
      <c r="S248" s="253">
        <f t="shared" si="59"/>
        <v>1.6020599913279623</v>
      </c>
      <c r="T248" s="15">
        <v>9368000</v>
      </c>
    </row>
    <row r="249" spans="1:20" x14ac:dyDescent="0.25">
      <c r="A249" s="15"/>
      <c r="B249" s="15"/>
      <c r="C249" s="15"/>
      <c r="D249" s="210"/>
      <c r="E249" s="210"/>
      <c r="F249" s="15"/>
      <c r="G249" s="15"/>
      <c r="H249" s="15"/>
      <c r="I249" s="15"/>
      <c r="J249" s="15"/>
      <c r="K249" s="15"/>
      <c r="L249" s="15"/>
      <c r="M249" s="15"/>
      <c r="N249" s="15"/>
      <c r="O249" s="15"/>
      <c r="P249" s="15"/>
      <c r="Q249" s="15"/>
      <c r="R249" s="15"/>
      <c r="S249" s="15"/>
    </row>
    <row r="250" spans="1:20" ht="2.25" customHeight="1" thickBot="1" x14ac:dyDescent="0.3">
      <c r="F250" s="125"/>
      <c r="G250" s="125"/>
      <c r="H250" s="125"/>
      <c r="I250" s="125"/>
      <c r="J250" s="125"/>
      <c r="K250" s="125"/>
    </row>
    <row r="251" spans="1:20" ht="15.75" customHeight="1" x14ac:dyDescent="0.25">
      <c r="B251" s="426" t="s">
        <v>243</v>
      </c>
      <c r="C251" s="238"/>
      <c r="D251" s="429" t="s">
        <v>182</v>
      </c>
      <c r="E251" s="429"/>
      <c r="F251" s="429"/>
      <c r="G251" s="429"/>
      <c r="H251" s="429"/>
      <c r="I251" s="429"/>
      <c r="J251" s="429"/>
      <c r="K251" s="429"/>
      <c r="L251" s="429" t="s">
        <v>182</v>
      </c>
      <c r="M251" s="429"/>
      <c r="N251" s="429"/>
      <c r="O251" s="429"/>
      <c r="P251" s="429"/>
      <c r="Q251" s="429"/>
      <c r="R251" s="429"/>
      <c r="S251" s="430"/>
    </row>
    <row r="252" spans="1:20" x14ac:dyDescent="0.25">
      <c r="B252" s="427"/>
      <c r="C252" s="2"/>
      <c r="D252" s="274" t="s">
        <v>211</v>
      </c>
      <c r="E252" s="2" t="s">
        <v>7</v>
      </c>
      <c r="F252" s="2" t="s">
        <v>1</v>
      </c>
      <c r="G252" s="2" t="s">
        <v>2</v>
      </c>
      <c r="H252" s="2" t="s">
        <v>3</v>
      </c>
      <c r="I252" s="2" t="s">
        <v>4</v>
      </c>
      <c r="J252" s="2" t="s">
        <v>5</v>
      </c>
      <c r="K252" s="2" t="s">
        <v>6</v>
      </c>
      <c r="L252" s="2" t="s">
        <v>211</v>
      </c>
      <c r="M252" s="2" t="s">
        <v>7</v>
      </c>
      <c r="N252" s="2" t="s">
        <v>1</v>
      </c>
      <c r="O252" s="2" t="s">
        <v>2</v>
      </c>
      <c r="P252" s="2" t="s">
        <v>3</v>
      </c>
      <c r="Q252" s="2" t="s">
        <v>4</v>
      </c>
      <c r="R252" s="2" t="s">
        <v>5</v>
      </c>
      <c r="S252" s="243" t="s">
        <v>6</v>
      </c>
    </row>
    <row r="253" spans="1:20" x14ac:dyDescent="0.25">
      <c r="B253" s="427"/>
      <c r="C253" s="2"/>
      <c r="D253" s="274" t="s">
        <v>174</v>
      </c>
      <c r="E253" s="221" t="s">
        <v>20</v>
      </c>
      <c r="F253" s="216">
        <f t="shared" ref="F253:K253" si="61">GEOMEAN(F214:F248)</f>
        <v>0.91121318310304067</v>
      </c>
      <c r="G253" s="216">
        <f t="shared" si="61"/>
        <v>4.3209968210307972</v>
      </c>
      <c r="H253" s="216">
        <f t="shared" si="61"/>
        <v>3472.3602936988013</v>
      </c>
      <c r="I253" s="216">
        <f t="shared" si="61"/>
        <v>7.0975183455217117</v>
      </c>
      <c r="J253" s="216">
        <f t="shared" si="61"/>
        <v>165.31692822101411</v>
      </c>
      <c r="K253" s="216">
        <f t="shared" si="61"/>
        <v>20.617727429204717</v>
      </c>
      <c r="L253" s="221" t="s">
        <v>117</v>
      </c>
      <c r="M253" s="221" t="s">
        <v>20</v>
      </c>
      <c r="N253" s="216">
        <f t="shared" ref="N253:S253" si="62">AVERAGE(N214:N248)</f>
        <v>-4.0380005667884307E-2</v>
      </c>
      <c r="O253" s="216">
        <f t="shared" si="62"/>
        <v>0.6355839467997072</v>
      </c>
      <c r="P253" s="216">
        <f t="shared" si="62"/>
        <v>3.5406247814373715</v>
      </c>
      <c r="Q253" s="216">
        <f t="shared" si="62"/>
        <v>0.85110652375492901</v>
      </c>
      <c r="R253" s="216">
        <f t="shared" si="62"/>
        <v>2.2183173269928234</v>
      </c>
      <c r="S253" s="275">
        <f t="shared" si="62"/>
        <v>1.3142407938598255</v>
      </c>
    </row>
    <row r="254" spans="1:20" x14ac:dyDescent="0.25">
      <c r="B254" s="427"/>
      <c r="C254" s="2"/>
      <c r="D254" s="274" t="s">
        <v>172</v>
      </c>
      <c r="E254" s="221" t="s">
        <v>20</v>
      </c>
      <c r="F254" s="216">
        <f t="shared" ref="F254:K254" si="63">STDEV(F214:F248)</f>
        <v>2.0548885348739243</v>
      </c>
      <c r="G254" s="216">
        <f t="shared" si="63"/>
        <v>8.4826306764633639</v>
      </c>
      <c r="H254" s="216">
        <f t="shared" si="63"/>
        <v>6296.8664954804917</v>
      </c>
      <c r="I254" s="216">
        <f t="shared" si="63"/>
        <v>16.072528365730978</v>
      </c>
      <c r="J254" s="216">
        <f t="shared" si="63"/>
        <v>79.660663277828931</v>
      </c>
      <c r="K254" s="216">
        <f t="shared" si="63"/>
        <v>14.512971728322796</v>
      </c>
      <c r="L254" s="221" t="s">
        <v>10</v>
      </c>
      <c r="M254" s="221" t="s">
        <v>20</v>
      </c>
      <c r="N254" s="216">
        <f t="shared" ref="N254:S254" si="64">STDEV(N214:N248)</f>
        <v>0.31743808450983768</v>
      </c>
      <c r="O254" s="216">
        <f t="shared" si="64"/>
        <v>0.37301064630200942</v>
      </c>
      <c r="P254" s="216">
        <f t="shared" si="64"/>
        <v>0.52541538464390303</v>
      </c>
      <c r="Q254" s="216">
        <f t="shared" si="64"/>
        <v>0.26200407242912327</v>
      </c>
      <c r="R254" s="216">
        <f t="shared" si="64"/>
        <v>0.23764100983741906</v>
      </c>
      <c r="S254" s="275">
        <f t="shared" si="64"/>
        <v>0.31875194075220542</v>
      </c>
    </row>
    <row r="255" spans="1:20" x14ac:dyDescent="0.25">
      <c r="B255" s="427"/>
      <c r="C255" s="2"/>
      <c r="D255" s="274" t="s">
        <v>147</v>
      </c>
      <c r="E255" s="221" t="s">
        <v>20</v>
      </c>
      <c r="F255" s="216">
        <f>F254/SQRT(F256)</f>
        <v>0.34733955764830898</v>
      </c>
      <c r="G255" s="216">
        <f t="shared" ref="G255:K255" si="65">G254/SQRT(G256)</f>
        <v>1.4338262815007292</v>
      </c>
      <c r="H255" s="216">
        <f t="shared" si="65"/>
        <v>1374.0889217414599</v>
      </c>
      <c r="I255" s="216">
        <f t="shared" si="65"/>
        <v>2.7167531465084616</v>
      </c>
      <c r="J255" s="216">
        <f t="shared" si="65"/>
        <v>13.867141535280597</v>
      </c>
      <c r="K255" s="216">
        <f t="shared" si="65"/>
        <v>2.5655551810664243</v>
      </c>
      <c r="L255" s="221" t="s">
        <v>116</v>
      </c>
      <c r="M255" s="221" t="s">
        <v>20</v>
      </c>
      <c r="N255" s="216">
        <f t="shared" ref="N255:S255" si="66">N254/SQRT(N256)</f>
        <v>5.3656829547271946E-2</v>
      </c>
      <c r="O255" s="216">
        <f t="shared" si="66"/>
        <v>6.3050306956235411E-2</v>
      </c>
      <c r="P255" s="216">
        <f t="shared" si="66"/>
        <v>0.11465503673452496</v>
      </c>
      <c r="Q255" s="216">
        <f t="shared" si="66"/>
        <v>4.4286771313934388E-2</v>
      </c>
      <c r="R255" s="216">
        <f t="shared" si="66"/>
        <v>4.1367989951442842E-2</v>
      </c>
      <c r="S255" s="275">
        <f t="shared" si="66"/>
        <v>5.6347914705564266E-2</v>
      </c>
    </row>
    <row r="256" spans="1:20" ht="16.5" thickBot="1" x14ac:dyDescent="0.3">
      <c r="B256" s="428"/>
      <c r="C256" s="254"/>
      <c r="D256" s="235" t="s">
        <v>173</v>
      </c>
      <c r="E256" s="277" t="s">
        <v>20</v>
      </c>
      <c r="F256" s="254">
        <v>35</v>
      </c>
      <c r="G256" s="254">
        <v>35</v>
      </c>
      <c r="H256" s="254">
        <v>21</v>
      </c>
      <c r="I256" s="254">
        <v>35</v>
      </c>
      <c r="J256" s="254">
        <v>33</v>
      </c>
      <c r="K256" s="254">
        <v>32</v>
      </c>
      <c r="L256" s="254" t="s">
        <v>173</v>
      </c>
      <c r="M256" s="277" t="s">
        <v>20</v>
      </c>
      <c r="N256" s="254">
        <v>35</v>
      </c>
      <c r="O256" s="254">
        <v>35</v>
      </c>
      <c r="P256" s="254">
        <v>21</v>
      </c>
      <c r="Q256" s="254">
        <v>35</v>
      </c>
      <c r="R256" s="254">
        <v>33</v>
      </c>
      <c r="S256" s="255">
        <v>32</v>
      </c>
    </row>
    <row r="261" spans="2:19" ht="18.75" x14ac:dyDescent="0.25">
      <c r="B261" s="431" t="s">
        <v>321</v>
      </c>
      <c r="C261" s="431"/>
      <c r="D261" s="431"/>
      <c r="E261" s="431"/>
      <c r="F261" s="431"/>
      <c r="G261" s="431"/>
      <c r="H261" s="431"/>
      <c r="I261" s="431"/>
      <c r="J261" s="431"/>
      <c r="K261" s="431"/>
      <c r="L261" s="431"/>
      <c r="M261" s="431"/>
      <c r="N261" s="431"/>
      <c r="O261" s="431"/>
      <c r="P261" s="431"/>
      <c r="Q261" s="431"/>
      <c r="R261" s="431"/>
      <c r="S261" s="431"/>
    </row>
    <row r="263" spans="2:19" x14ac:dyDescent="0.25">
      <c r="B263" s="349" t="s">
        <v>306</v>
      </c>
    </row>
    <row r="264" spans="2:19" x14ac:dyDescent="0.25">
      <c r="B264" s="3" t="s">
        <v>263</v>
      </c>
      <c r="M264" t="s">
        <v>288</v>
      </c>
    </row>
    <row r="266" spans="2:19" ht="16.5" thickBot="1" x14ac:dyDescent="0.3">
      <c r="B266" s="3" t="s">
        <v>264</v>
      </c>
      <c r="E266" s="1" t="s">
        <v>265</v>
      </c>
      <c r="F266" s="1">
        <v>0</v>
      </c>
      <c r="N266" t="s">
        <v>289</v>
      </c>
      <c r="O266" t="s">
        <v>290</v>
      </c>
    </row>
    <row r="267" spans="2:19" ht="16.5" thickTop="1" x14ac:dyDescent="0.25">
      <c r="B267" s="333" t="s">
        <v>266</v>
      </c>
      <c r="C267" s="332" t="s">
        <v>267</v>
      </c>
      <c r="D267" s="332" t="s">
        <v>117</v>
      </c>
      <c r="E267" s="332" t="s">
        <v>268</v>
      </c>
      <c r="F267" s="332" t="s">
        <v>269</v>
      </c>
      <c r="M267" t="s">
        <v>291</v>
      </c>
      <c r="N267" s="382">
        <f>COUNT(O6:O180)</f>
        <v>175</v>
      </c>
      <c r="O267" s="383">
        <f>COUNT(O214:O248)</f>
        <v>35</v>
      </c>
    </row>
    <row r="268" spans="2:19" x14ac:dyDescent="0.25">
      <c r="B268" s="3" t="s">
        <v>270</v>
      </c>
      <c r="C268" s="1">
        <f>COUNT(O6:O180)</f>
        <v>175</v>
      </c>
      <c r="D268" s="379">
        <f>AVERAGE(O6:O180)</f>
        <v>0.64923058851378979</v>
      </c>
      <c r="E268" s="1">
        <f>VAR(O6:O180)</f>
        <v>4.4938642455085956E-2</v>
      </c>
      <c r="M268" t="s">
        <v>292</v>
      </c>
      <c r="N268" s="384">
        <f>MEDIAN(O6:O180)</f>
        <v>0.62324929039790045</v>
      </c>
      <c r="O268" s="385">
        <f>MEDIAN(O214:O248)</f>
        <v>0.6020599913279624</v>
      </c>
    </row>
    <row r="269" spans="2:19" x14ac:dyDescent="0.25">
      <c r="B269" s="3" t="s">
        <v>271</v>
      </c>
      <c r="C269" s="1">
        <f>COUNT(O214:O248)</f>
        <v>35</v>
      </c>
      <c r="D269" s="379">
        <f>AVERAGE(O214:O248)</f>
        <v>0.6355839467997072</v>
      </c>
      <c r="E269" s="1">
        <f>VAR(O214:O248)</f>
        <v>0.13913694225464279</v>
      </c>
      <c r="M269" t="s">
        <v>293</v>
      </c>
      <c r="N269" s="386">
        <v>18607.5</v>
      </c>
      <c r="O269" s="387">
        <v>3547.5</v>
      </c>
    </row>
    <row r="270" spans="2:19" x14ac:dyDescent="0.25">
      <c r="B270" s="335" t="s">
        <v>272</v>
      </c>
      <c r="C270" s="334"/>
      <c r="D270" s="334"/>
      <c r="E270" s="334">
        <f>((C268-1)*E268+(C269-1)*E269)/(C268+C269-2)</f>
        <v>6.033644146078275E-2</v>
      </c>
      <c r="F270" s="334">
        <f>ABS(D268-D269-F266)/SQRT(E270)</f>
        <v>5.5556636282517731E-2</v>
      </c>
      <c r="M270" t="s">
        <v>294</v>
      </c>
      <c r="N270" s="388">
        <f>N267*O267+N267*(N267+1)/2-N269</f>
        <v>2917.5</v>
      </c>
      <c r="O270" s="389">
        <f>N267*O267+O267*(O267+1)/2-O269</f>
        <v>3207.5</v>
      </c>
    </row>
    <row r="272" spans="2:19" ht="16.5" thickBot="1" x14ac:dyDescent="0.3">
      <c r="B272" s="3" t="s">
        <v>273</v>
      </c>
      <c r="F272" s="1" t="s">
        <v>274</v>
      </c>
      <c r="G272" s="1">
        <v>0.05</v>
      </c>
      <c r="N272" s="390" t="s">
        <v>295</v>
      </c>
      <c r="O272" s="390" t="s">
        <v>296</v>
      </c>
    </row>
    <row r="273" spans="2:15" ht="16.5" thickTop="1" x14ac:dyDescent="0.25">
      <c r="B273" s="333" t="s">
        <v>275</v>
      </c>
      <c r="C273" s="332" t="s">
        <v>276</v>
      </c>
      <c r="D273" s="332" t="s">
        <v>277</v>
      </c>
      <c r="E273" s="332" t="s">
        <v>278</v>
      </c>
      <c r="F273" s="332" t="s">
        <v>279</v>
      </c>
      <c r="G273" s="332" t="s">
        <v>280</v>
      </c>
      <c r="H273" s="332" t="s">
        <v>281</v>
      </c>
      <c r="I273" s="332" t="s">
        <v>282</v>
      </c>
      <c r="J273" s="332" t="s">
        <v>283</v>
      </c>
      <c r="K273" s="380" t="s">
        <v>284</v>
      </c>
      <c r="M273" t="s">
        <v>297</v>
      </c>
      <c r="N273" s="391">
        <v>0.05</v>
      </c>
    </row>
    <row r="274" spans="2:15" x14ac:dyDescent="0.25">
      <c r="B274" s="3" t="s">
        <v>285</v>
      </c>
      <c r="C274" s="1">
        <f>SQRT(E270*(1/C268+1/C269))</f>
        <v>4.5482721916581939E-2</v>
      </c>
      <c r="D274" s="1">
        <f>(ABS(D268-D269-F266))/C274</f>
        <v>0.30004012818562953</v>
      </c>
      <c r="E274" s="1">
        <f>C268+C269-2</f>
        <v>208</v>
      </c>
      <c r="F274" s="1">
        <f>TDIST(D274,E274,1)</f>
        <v>0.38222309441095748</v>
      </c>
      <c r="G274" s="1">
        <f>TINV(G272*2,E274)</f>
        <v>1.6522123760661407</v>
      </c>
      <c r="J274" s="327" t="str">
        <f>IF(F274&lt;G272,"yes","no")</f>
        <v>no</v>
      </c>
      <c r="K274">
        <f>SQRT(D274^2/(D274^2+E274))</f>
        <v>2.0799539130232633E-2</v>
      </c>
      <c r="M274" t="s">
        <v>294</v>
      </c>
      <c r="N274" s="392">
        <f>MIN(N270,O270)</f>
        <v>2917.5</v>
      </c>
    </row>
    <row r="275" spans="2:15" x14ac:dyDescent="0.25">
      <c r="B275" s="3" t="s">
        <v>286</v>
      </c>
      <c r="C275" s="1">
        <f>C274</f>
        <v>4.5482721916581939E-2</v>
      </c>
      <c r="D275" s="327">
        <f t="shared" ref="D275:E275" si="67">D274</f>
        <v>0.30004012818562953</v>
      </c>
      <c r="E275" s="327">
        <f t="shared" si="67"/>
        <v>208</v>
      </c>
      <c r="F275" s="1">
        <f>TDIST(D275,E275,2)</f>
        <v>0.76444618882191495</v>
      </c>
      <c r="G275" s="1">
        <f>TINV(G272,E275)</f>
        <v>1.9714346585202402</v>
      </c>
      <c r="H275" s="1">
        <f>(D268-D269)-G275*C275</f>
        <v>-7.6019572636105176E-2</v>
      </c>
      <c r="I275" s="1">
        <f>(D268-D269)+G275*C275</f>
        <v>0.10331285606427035</v>
      </c>
      <c r="J275" s="327" t="str">
        <f>IF(F275&lt;G272,"yes","no")</f>
        <v>no</v>
      </c>
      <c r="K275">
        <f>K274</f>
        <v>2.0799539130232633E-2</v>
      </c>
      <c r="M275" t="s">
        <v>298</v>
      </c>
      <c r="N275" s="392">
        <f>N267*O267/2</f>
        <v>3062.5</v>
      </c>
    </row>
    <row r="276" spans="2:15" x14ac:dyDescent="0.25">
      <c r="B276" s="335"/>
      <c r="C276" s="334"/>
      <c r="D276" s="334"/>
      <c r="E276" s="334"/>
      <c r="F276" s="334"/>
      <c r="G276" s="334"/>
      <c r="H276" s="334"/>
      <c r="I276" s="334"/>
      <c r="J276" s="334"/>
      <c r="K276" s="381"/>
      <c r="M276" t="s">
        <v>299</v>
      </c>
      <c r="N276" s="392">
        <v>328.07631882366451</v>
      </c>
      <c r="O276" t="s">
        <v>300</v>
      </c>
    </row>
    <row r="277" spans="2:15" ht="16.5" thickBot="1" x14ac:dyDescent="0.3">
      <c r="B277" s="3" t="s">
        <v>287</v>
      </c>
      <c r="F277" s="1" t="s">
        <v>274</v>
      </c>
      <c r="G277" s="1">
        <f>G272</f>
        <v>0.05</v>
      </c>
      <c r="M277" t="s">
        <v>19</v>
      </c>
      <c r="N277" s="392">
        <f>ABS(STANDARDIZE(N274,N275,N276))</f>
        <v>0.44197033336604541</v>
      </c>
    </row>
    <row r="278" spans="2:15" ht="16.5" thickTop="1" x14ac:dyDescent="0.25">
      <c r="B278" s="333" t="s">
        <v>275</v>
      </c>
      <c r="C278" s="332" t="s">
        <v>276</v>
      </c>
      <c r="D278" s="332" t="s">
        <v>277</v>
      </c>
      <c r="E278" s="332" t="s">
        <v>278</v>
      </c>
      <c r="F278" s="332" t="s">
        <v>279</v>
      </c>
      <c r="G278" s="332" t="s">
        <v>280</v>
      </c>
      <c r="H278" s="332" t="s">
        <v>281</v>
      </c>
      <c r="I278" s="332" t="s">
        <v>282</v>
      </c>
      <c r="J278" s="332" t="s">
        <v>283</v>
      </c>
      <c r="K278" s="380" t="s">
        <v>284</v>
      </c>
      <c r="M278" t="s">
        <v>284</v>
      </c>
      <c r="N278" s="392">
        <f>N277/SQRT(N267+O267)</f>
        <v>3.0498850530696689E-2</v>
      </c>
    </row>
    <row r="279" spans="2:15" x14ac:dyDescent="0.25">
      <c r="B279" s="3" t="s">
        <v>285</v>
      </c>
      <c r="C279" s="1">
        <f>SQRT(E268/C268+E269/C269)</f>
        <v>6.5054849549253432E-2</v>
      </c>
      <c r="D279" s="1">
        <f>(ABS(D268-D269-F266))/C279</f>
        <v>0.20977132079524108</v>
      </c>
      <c r="E279" s="1">
        <f>(E268/C268+E269/C269)^2/((E268/C268)^2/(C268-1)+(E269/C269)^2/(C269-1))</f>
        <v>38.503024454389632</v>
      </c>
      <c r="F279" s="1">
        <f>TDIST(D279,ROUND(E279,0),1)</f>
        <v>0.41746908325616894</v>
      </c>
      <c r="G279" s="1">
        <f>TINV(G277*2,ROUND(E279,0))</f>
        <v>1.6848751217112248</v>
      </c>
      <c r="J279" s="327" t="str">
        <f>IF(F279&lt;G277,"yes","no")</f>
        <v>no</v>
      </c>
      <c r="K279">
        <f>SQRT(D279^2/(D279^2+E279))</f>
        <v>3.3787080024755639E-2</v>
      </c>
      <c r="M279" t="s">
        <v>301</v>
      </c>
      <c r="N279" s="391">
        <f>N275+N276*NORMSINV(N273)</f>
        <v>2522.8624770660076</v>
      </c>
      <c r="O279" s="383">
        <f>N275+N276*NORMSINV(N273/2)</f>
        <v>2419.4822309251376</v>
      </c>
    </row>
    <row r="280" spans="2:15" x14ac:dyDescent="0.25">
      <c r="B280" s="3" t="s">
        <v>286</v>
      </c>
      <c r="C280" s="1">
        <f>C279</f>
        <v>6.5054849549253432E-2</v>
      </c>
      <c r="D280" s="327">
        <f t="shared" ref="D280:E280" si="68">D279</f>
        <v>0.20977132079524108</v>
      </c>
      <c r="E280" s="327">
        <f t="shared" si="68"/>
        <v>38.503024454389632</v>
      </c>
      <c r="F280" s="1">
        <f>TDIST(D280,ROUND(E280,0),2)</f>
        <v>0.83493816651233788</v>
      </c>
      <c r="G280" s="1">
        <f>TINV(G277,ROUND(E280,0))</f>
        <v>2.0226909200367595</v>
      </c>
      <c r="H280" s="1">
        <f>(D268-D269)-G280*C280</f>
        <v>-0.11793921177354982</v>
      </c>
      <c r="I280" s="1">
        <f>(D268-D269)+G280*C280</f>
        <v>0.145232495201715</v>
      </c>
      <c r="J280" s="327" t="str">
        <f>IF(F280&lt;G277,"yes","no")</f>
        <v>no</v>
      </c>
      <c r="K280">
        <f>K279</f>
        <v>3.3787080024755639E-2</v>
      </c>
      <c r="M280" t="s">
        <v>279</v>
      </c>
      <c r="N280" s="392">
        <f>1-NORMSDIST(N277)</f>
        <v>0.32925533688547182</v>
      </c>
      <c r="O280" s="387">
        <f>2*N280</f>
        <v>0.65851067377094363</v>
      </c>
    </row>
    <row r="281" spans="2:15" x14ac:dyDescent="0.25">
      <c r="B281" s="335"/>
      <c r="C281" s="334"/>
      <c r="D281" s="334"/>
      <c r="E281" s="334"/>
      <c r="F281" s="334"/>
      <c r="G281" s="334"/>
      <c r="H281" s="334"/>
      <c r="I281" s="334"/>
      <c r="J281" s="334"/>
      <c r="K281" s="381"/>
      <c r="M281" t="s">
        <v>302</v>
      </c>
      <c r="N281" s="393" t="str">
        <f>IF(N280&lt;N273,"yes","no")</f>
        <v>no</v>
      </c>
      <c r="O281" s="394" t="str">
        <f>IF(O280&lt;N273,"yes","no")</f>
        <v>no</v>
      </c>
    </row>
    <row r="291" spans="2:15" x14ac:dyDescent="0.25">
      <c r="B291" s="349" t="s">
        <v>307</v>
      </c>
    </row>
    <row r="292" spans="2:15" x14ac:dyDescent="0.25">
      <c r="B292" s="3" t="s">
        <v>263</v>
      </c>
      <c r="M292" t="s">
        <v>288</v>
      </c>
    </row>
    <row r="294" spans="2:15" ht="16.5" thickBot="1" x14ac:dyDescent="0.3">
      <c r="B294" s="3" t="s">
        <v>264</v>
      </c>
      <c r="E294" s="1" t="s">
        <v>265</v>
      </c>
      <c r="F294" s="1">
        <v>0</v>
      </c>
      <c r="N294" t="s">
        <v>289</v>
      </c>
      <c r="O294" t="s">
        <v>290</v>
      </c>
    </row>
    <row r="295" spans="2:15" ht="16.5" thickTop="1" x14ac:dyDescent="0.25">
      <c r="B295" s="333" t="s">
        <v>266</v>
      </c>
      <c r="C295" s="332" t="s">
        <v>267</v>
      </c>
      <c r="D295" s="332" t="s">
        <v>117</v>
      </c>
      <c r="E295" s="332" t="s">
        <v>268</v>
      </c>
      <c r="F295" s="332" t="s">
        <v>269</v>
      </c>
      <c r="M295" t="s">
        <v>291</v>
      </c>
      <c r="N295" s="382">
        <f>COUNT(P6:P180)</f>
        <v>175</v>
      </c>
      <c r="O295" s="383">
        <f>COUNT(P214:P248)</f>
        <v>21</v>
      </c>
    </row>
    <row r="296" spans="2:15" x14ac:dyDescent="0.25">
      <c r="B296" s="3" t="s">
        <v>270</v>
      </c>
      <c r="C296" s="1">
        <f>COUNT(P6:P180)</f>
        <v>175</v>
      </c>
      <c r="D296" s="379">
        <f>AVERAGE(P6:P180)</f>
        <v>3.796333866238689</v>
      </c>
      <c r="E296" s="1">
        <f>VAR(P6:P180)</f>
        <v>2.8773439194434366E-2</v>
      </c>
      <c r="M296" t="s">
        <v>292</v>
      </c>
      <c r="N296" s="384">
        <f>MEDIAN(P6:P180)</f>
        <v>3.7923916894982539</v>
      </c>
      <c r="O296" s="385">
        <f>MEDIAN(P214:P248)</f>
        <v>3.5797835966168101</v>
      </c>
    </row>
    <row r="297" spans="2:15" x14ac:dyDescent="0.25">
      <c r="B297" s="3" t="s">
        <v>271</v>
      </c>
      <c r="C297" s="1">
        <f>COUNT(P214:P248)</f>
        <v>21</v>
      </c>
      <c r="D297" s="379">
        <f>AVERAGE(P214:P248)</f>
        <v>3.5406247814373715</v>
      </c>
      <c r="E297" s="1">
        <f>VAR(P214:P248)</f>
        <v>0.27606132642050057</v>
      </c>
      <c r="M297" t="s">
        <v>293</v>
      </c>
      <c r="N297" s="386">
        <v>17714.5</v>
      </c>
      <c r="O297" s="387">
        <v>1591.5</v>
      </c>
    </row>
    <row r="298" spans="2:15" x14ac:dyDescent="0.25">
      <c r="B298" s="335" t="s">
        <v>272</v>
      </c>
      <c r="C298" s="334"/>
      <c r="D298" s="334"/>
      <c r="E298" s="334">
        <f>((C296-1)*E296+(C297-1)*E297)/(C296+C297-2)</f>
        <v>5.4267035815678308E-2</v>
      </c>
      <c r="F298" s="334">
        <f>ABS(D296-D297-F294)/SQRT(E298)</f>
        <v>1.0976859560237764</v>
      </c>
      <c r="M298" t="s">
        <v>294</v>
      </c>
      <c r="N298" s="388">
        <f>N295*O295+N295*(N295+1)/2-N297</f>
        <v>1360.5</v>
      </c>
      <c r="O298" s="389">
        <f>N295*O295+O295*(O295+1)/2-O297</f>
        <v>2314.5</v>
      </c>
    </row>
    <row r="300" spans="2:15" ht="16.5" thickBot="1" x14ac:dyDescent="0.3">
      <c r="B300" s="3" t="s">
        <v>273</v>
      </c>
      <c r="F300" s="1" t="s">
        <v>274</v>
      </c>
      <c r="G300" s="1">
        <v>0.05</v>
      </c>
      <c r="N300" s="390" t="s">
        <v>295</v>
      </c>
      <c r="O300" s="390" t="s">
        <v>296</v>
      </c>
    </row>
    <row r="301" spans="2:15" ht="16.5" thickTop="1" x14ac:dyDescent="0.25">
      <c r="B301" s="333" t="s">
        <v>275</v>
      </c>
      <c r="C301" s="332" t="s">
        <v>276</v>
      </c>
      <c r="D301" s="332" t="s">
        <v>277</v>
      </c>
      <c r="E301" s="332" t="s">
        <v>278</v>
      </c>
      <c r="F301" s="332" t="s">
        <v>279</v>
      </c>
      <c r="G301" s="332" t="s">
        <v>280</v>
      </c>
      <c r="H301" s="332" t="s">
        <v>281</v>
      </c>
      <c r="I301" s="332" t="s">
        <v>282</v>
      </c>
      <c r="J301" s="332" t="s">
        <v>283</v>
      </c>
      <c r="K301" s="380" t="s">
        <v>284</v>
      </c>
      <c r="M301" t="s">
        <v>297</v>
      </c>
      <c r="N301" s="391">
        <v>0.05</v>
      </c>
    </row>
    <row r="302" spans="2:15" x14ac:dyDescent="0.25">
      <c r="B302" s="3" t="s">
        <v>285</v>
      </c>
      <c r="C302" s="1">
        <f>SQRT(E298*(1/C296+1/C297))</f>
        <v>5.3798158984945846E-2</v>
      </c>
      <c r="D302" s="1">
        <f>(ABS(D296-D297-F294))/C302</f>
        <v>4.7531196164699923</v>
      </c>
      <c r="E302" s="1">
        <f>C296+C297-2</f>
        <v>194</v>
      </c>
      <c r="F302" s="1">
        <f>TDIST(D302,E302,1)</f>
        <v>1.9472007914924033E-6</v>
      </c>
      <c r="G302" s="1">
        <f>TINV(G300*2,E302)</f>
        <v>1.6527459772592878</v>
      </c>
      <c r="J302" s="327" t="str">
        <f>IF(F302&lt;G300,"yes","no")</f>
        <v>yes</v>
      </c>
      <c r="K302">
        <f>SQRT(D302^2/(D302^2+E302))</f>
        <v>0.32296643643334494</v>
      </c>
      <c r="M302" t="s">
        <v>294</v>
      </c>
      <c r="N302" s="392">
        <f>MIN(N298,O298)</f>
        <v>1360.5</v>
      </c>
    </row>
    <row r="303" spans="2:15" x14ac:dyDescent="0.25">
      <c r="B303" s="3" t="s">
        <v>286</v>
      </c>
      <c r="C303" s="1">
        <f>C302</f>
        <v>5.3798158984945846E-2</v>
      </c>
      <c r="D303" s="327">
        <f t="shared" ref="D303:E303" si="69">D302</f>
        <v>4.7531196164699923</v>
      </c>
      <c r="E303" s="327">
        <f t="shared" si="69"/>
        <v>194</v>
      </c>
      <c r="F303" s="1">
        <f>TDIST(D303,E303,2)</f>
        <v>3.8944015829848066E-6</v>
      </c>
      <c r="G303" s="1">
        <f>TINV(G300,E303)</f>
        <v>1.9722675325821368</v>
      </c>
      <c r="H303" s="1">
        <f>(D296-D297)-G303*C303</f>
        <v>0.14960472252261683</v>
      </c>
      <c r="I303" s="1">
        <f>(D296-D297)+G303*C303</f>
        <v>0.36181344708001817</v>
      </c>
      <c r="J303" s="327" t="str">
        <f>IF(F303&lt;G300,"yes","no")</f>
        <v>yes</v>
      </c>
      <c r="K303">
        <f>K302</f>
        <v>0.32296643643334494</v>
      </c>
      <c r="M303" t="s">
        <v>298</v>
      </c>
      <c r="N303" s="392">
        <f>N295*O295/2</f>
        <v>1837.5</v>
      </c>
    </row>
    <row r="304" spans="2:15" x14ac:dyDescent="0.25">
      <c r="B304" s="335"/>
      <c r="C304" s="334"/>
      <c r="D304" s="334"/>
      <c r="E304" s="334"/>
      <c r="F304" s="334"/>
      <c r="G304" s="334"/>
      <c r="H304" s="334"/>
      <c r="I304" s="334"/>
      <c r="J304" s="334"/>
      <c r="K304" s="381"/>
      <c r="M304" t="s">
        <v>299</v>
      </c>
      <c r="N304" s="392">
        <v>245.5743855660721</v>
      </c>
      <c r="O304" t="s">
        <v>300</v>
      </c>
    </row>
    <row r="305" spans="2:15" ht="16.5" thickBot="1" x14ac:dyDescent="0.3">
      <c r="B305" s="3" t="s">
        <v>287</v>
      </c>
      <c r="F305" s="1" t="s">
        <v>274</v>
      </c>
      <c r="G305" s="1">
        <f>G300</f>
        <v>0.05</v>
      </c>
      <c r="M305" t="s">
        <v>19</v>
      </c>
      <c r="N305" s="392">
        <f>ABS(STANDARDIZE(N302,N303,N304))</f>
        <v>1.942384988159372</v>
      </c>
    </row>
    <row r="306" spans="2:15" ht="16.5" thickTop="1" x14ac:dyDescent="0.25">
      <c r="B306" s="333" t="s">
        <v>275</v>
      </c>
      <c r="C306" s="332" t="s">
        <v>276</v>
      </c>
      <c r="D306" s="332" t="s">
        <v>277</v>
      </c>
      <c r="E306" s="332" t="s">
        <v>278</v>
      </c>
      <c r="F306" s="332" t="s">
        <v>279</v>
      </c>
      <c r="G306" s="332" t="s">
        <v>280</v>
      </c>
      <c r="H306" s="332" t="s">
        <v>281</v>
      </c>
      <c r="I306" s="332" t="s">
        <v>282</v>
      </c>
      <c r="J306" s="332" t="s">
        <v>283</v>
      </c>
      <c r="K306" s="380" t="s">
        <v>284</v>
      </c>
      <c r="M306" t="s">
        <v>284</v>
      </c>
      <c r="N306" s="392">
        <f>N305/SQRT(N295+O295)</f>
        <v>0.13874178486852656</v>
      </c>
    </row>
    <row r="307" spans="2:15" x14ac:dyDescent="0.25">
      <c r="B307" s="3" t="s">
        <v>285</v>
      </c>
      <c r="C307" s="1">
        <f>SQRT(E296/C296+E297/C297)</f>
        <v>0.11536982751627434</v>
      </c>
      <c r="D307" s="1">
        <f>(ABS(D296-D297-F294))/C307</f>
        <v>2.2164294625927785</v>
      </c>
      <c r="E307" s="1">
        <f>(E296/C296+E297/C297)^2/((E296/C296)^2/(C296-1)+(E297/C297)^2/(C297-1))</f>
        <v>20.503056513727195</v>
      </c>
      <c r="F307" s="1">
        <f>TDIST(D307,ROUND(E307,0),1)</f>
        <v>1.8918586589340553E-2</v>
      </c>
      <c r="G307" s="1">
        <f>TINV(G305*2,ROUND(E307,0))</f>
        <v>1.7207429028118781</v>
      </c>
      <c r="J307" s="327" t="str">
        <f>IF(F307&lt;G305,"yes","no")</f>
        <v>yes</v>
      </c>
      <c r="K307">
        <f>SQRT(D307^2/(D307^2+E307))</f>
        <v>0.43964647333601342</v>
      </c>
      <c r="M307" t="s">
        <v>301</v>
      </c>
      <c r="N307" s="391">
        <f>N303+N304*NORMSINV(N301)</f>
        <v>1433.5660812152669</v>
      </c>
      <c r="O307" s="383">
        <f>N303+N304*NORMSINV(N301/2)</f>
        <v>1356.1830487649459</v>
      </c>
    </row>
    <row r="308" spans="2:15" x14ac:dyDescent="0.25">
      <c r="B308" s="3" t="s">
        <v>286</v>
      </c>
      <c r="C308" s="1">
        <f>C307</f>
        <v>0.11536982751627434</v>
      </c>
      <c r="D308" s="327">
        <f t="shared" ref="D308:E308" si="70">D307</f>
        <v>2.2164294625927785</v>
      </c>
      <c r="E308" s="327">
        <f t="shared" si="70"/>
        <v>20.503056513727195</v>
      </c>
      <c r="F308" s="1">
        <f>TDIST(D308,ROUND(E308,0),2)</f>
        <v>3.7837173178681106E-2</v>
      </c>
      <c r="G308" s="1">
        <f>TINV(G305,ROUND(E308,0))</f>
        <v>2.07961384472768</v>
      </c>
      <c r="H308" s="1">
        <f>(D296-D297)-G308*C308</f>
        <v>1.5784394234628935E-2</v>
      </c>
      <c r="I308" s="1">
        <f>(D296-D297)+G308*C308</f>
        <v>0.49563377536800601</v>
      </c>
      <c r="J308" s="327" t="str">
        <f>IF(F308&lt;G305,"yes","no")</f>
        <v>yes</v>
      </c>
      <c r="K308">
        <f>K307</f>
        <v>0.43964647333601342</v>
      </c>
      <c r="M308" t="s">
        <v>279</v>
      </c>
      <c r="N308" s="392">
        <f>1-NORMSDIST(N305)</f>
        <v>2.6045255625663732E-2</v>
      </c>
      <c r="O308" s="387">
        <f>2*N308</f>
        <v>5.2090511251327465E-2</v>
      </c>
    </row>
    <row r="309" spans="2:15" x14ac:dyDescent="0.25">
      <c r="B309" s="335"/>
      <c r="C309" s="334"/>
      <c r="D309" s="334"/>
      <c r="E309" s="334"/>
      <c r="F309" s="334"/>
      <c r="G309" s="334"/>
      <c r="H309" s="334"/>
      <c r="I309" s="334"/>
      <c r="J309" s="334"/>
      <c r="K309" s="381"/>
      <c r="M309" t="s">
        <v>302</v>
      </c>
      <c r="N309" s="393" t="str">
        <f>IF(N308&lt;N301,"yes","no")</f>
        <v>yes</v>
      </c>
      <c r="O309" s="394" t="str">
        <f>IF(O308&lt;N301,"yes","no")</f>
        <v>no</v>
      </c>
    </row>
    <row r="316" spans="2:15" x14ac:dyDescent="0.25">
      <c r="B316" s="349" t="s">
        <v>308</v>
      </c>
    </row>
    <row r="317" spans="2:15" x14ac:dyDescent="0.25">
      <c r="B317" s="3" t="s">
        <v>263</v>
      </c>
      <c r="M317" t="s">
        <v>288</v>
      </c>
    </row>
    <row r="319" spans="2:15" ht="16.5" thickBot="1" x14ac:dyDescent="0.3">
      <c r="B319" s="3" t="s">
        <v>264</v>
      </c>
      <c r="E319" s="1" t="s">
        <v>265</v>
      </c>
      <c r="F319" s="1">
        <v>0</v>
      </c>
      <c r="N319" t="s">
        <v>289</v>
      </c>
      <c r="O319" t="s">
        <v>290</v>
      </c>
    </row>
    <row r="320" spans="2:15" ht="16.5" thickTop="1" x14ac:dyDescent="0.25">
      <c r="B320" s="333" t="s">
        <v>266</v>
      </c>
      <c r="C320" s="332" t="s">
        <v>267</v>
      </c>
      <c r="D320" s="332" t="s">
        <v>117</v>
      </c>
      <c r="E320" s="332" t="s">
        <v>268</v>
      </c>
      <c r="F320" s="332" t="s">
        <v>269</v>
      </c>
      <c r="M320" t="s">
        <v>291</v>
      </c>
      <c r="N320" s="382">
        <f>COUNT(Q6:Q180)</f>
        <v>175</v>
      </c>
      <c r="O320" s="383">
        <f>COUNT(Q214:Q248)</f>
        <v>35</v>
      </c>
    </row>
    <row r="321" spans="2:15" x14ac:dyDescent="0.25">
      <c r="B321" s="3" t="s">
        <v>270</v>
      </c>
      <c r="C321" s="1">
        <f>COUNT(Q6:Q180)</f>
        <v>175</v>
      </c>
      <c r="D321" s="379">
        <f>AVERAGE(Q6:Q180)</f>
        <v>0.74687984743983005</v>
      </c>
      <c r="E321" s="1">
        <f>VAR(Q6:Q180)</f>
        <v>3.2100016805471469E-2</v>
      </c>
      <c r="M321" t="s">
        <v>292</v>
      </c>
      <c r="N321" s="384">
        <f>MEDIAN(Q6:Q180)</f>
        <v>0.70757017609793638</v>
      </c>
      <c r="O321" s="385">
        <f>MEDIAN(Q214:Q248)</f>
        <v>0.69897000433601886</v>
      </c>
    </row>
    <row r="322" spans="2:15" x14ac:dyDescent="0.25">
      <c r="B322" s="3" t="s">
        <v>271</v>
      </c>
      <c r="C322" s="1">
        <f>COUNT(Q214:Q248)</f>
        <v>35</v>
      </c>
      <c r="D322" s="379">
        <f>AVERAGE(Q214:Q248)</f>
        <v>0.85110652375492901</v>
      </c>
      <c r="E322" s="1">
        <f>VAR(Q214:Q248)</f>
        <v>6.8646133969445258E-2</v>
      </c>
      <c r="M322" t="s">
        <v>293</v>
      </c>
      <c r="N322" s="386">
        <v>17595.5</v>
      </c>
      <c r="O322" s="387">
        <v>4559.5</v>
      </c>
    </row>
    <row r="323" spans="2:15" x14ac:dyDescent="0.25">
      <c r="B323" s="335" t="s">
        <v>272</v>
      </c>
      <c r="C323" s="334"/>
      <c r="D323" s="334"/>
      <c r="E323" s="334">
        <f>((C321-1)*E321+(C322-1)*E322)/(C321+C322-2)</f>
        <v>3.8073901341890266E-2</v>
      </c>
      <c r="F323" s="334">
        <f>ABS(D321-D322-F319)/SQRT(E323)</f>
        <v>0.53415241795546564</v>
      </c>
      <c r="M323" t="s">
        <v>294</v>
      </c>
      <c r="N323" s="388">
        <f>N320*O320+N320*(N320+1)/2-N322</f>
        <v>3929.5</v>
      </c>
      <c r="O323" s="389">
        <f>N320*O320+O320*(O320+1)/2-O322</f>
        <v>2195.5</v>
      </c>
    </row>
    <row r="325" spans="2:15" ht="16.5" thickBot="1" x14ac:dyDescent="0.3">
      <c r="B325" s="3" t="s">
        <v>273</v>
      </c>
      <c r="F325" s="1" t="s">
        <v>274</v>
      </c>
      <c r="G325" s="1">
        <v>0.05</v>
      </c>
      <c r="N325" s="390" t="s">
        <v>295</v>
      </c>
      <c r="O325" s="390" t="s">
        <v>296</v>
      </c>
    </row>
    <row r="326" spans="2:15" ht="16.5" thickTop="1" x14ac:dyDescent="0.25">
      <c r="B326" s="333" t="s">
        <v>275</v>
      </c>
      <c r="C326" s="332" t="s">
        <v>276</v>
      </c>
      <c r="D326" s="332" t="s">
        <v>277</v>
      </c>
      <c r="E326" s="332" t="s">
        <v>278</v>
      </c>
      <c r="F326" s="332" t="s">
        <v>279</v>
      </c>
      <c r="G326" s="332" t="s">
        <v>280</v>
      </c>
      <c r="H326" s="332" t="s">
        <v>281</v>
      </c>
      <c r="I326" s="332" t="s">
        <v>282</v>
      </c>
      <c r="J326" s="332" t="s">
        <v>283</v>
      </c>
      <c r="K326" s="380" t="s">
        <v>284</v>
      </c>
      <c r="M326" t="s">
        <v>297</v>
      </c>
      <c r="N326" s="391">
        <v>0.05</v>
      </c>
    </row>
    <row r="327" spans="2:15" x14ac:dyDescent="0.25">
      <c r="B327" s="3" t="s">
        <v>285</v>
      </c>
      <c r="C327" s="1">
        <f>SQRT(E323*(1/C321+1/C322))</f>
        <v>3.6130193787890529E-2</v>
      </c>
      <c r="D327" s="1">
        <f>(ABS(D321-D322-F319))/C327</f>
        <v>2.8847527618307929</v>
      </c>
      <c r="E327" s="1">
        <f>C321+C322-2</f>
        <v>208</v>
      </c>
      <c r="F327" s="1">
        <f>TDIST(D327,E327,1)</f>
        <v>2.1648317950271057E-3</v>
      </c>
      <c r="G327" s="1">
        <f>TINV(G325*2,E327)</f>
        <v>1.6522123760661407</v>
      </c>
      <c r="J327" s="327" t="str">
        <f>IF(F327&lt;G325,"yes","no")</f>
        <v>yes</v>
      </c>
      <c r="K327">
        <f>SQRT(D327^2/(D327^2+E327))</f>
        <v>0.19613651541976379</v>
      </c>
      <c r="M327" t="s">
        <v>294</v>
      </c>
      <c r="N327" s="392">
        <f>MIN(N323,O323)</f>
        <v>2195.5</v>
      </c>
    </row>
    <row r="328" spans="2:15" x14ac:dyDescent="0.25">
      <c r="B328" s="3" t="s">
        <v>286</v>
      </c>
      <c r="C328" s="1">
        <f>C327</f>
        <v>3.6130193787890529E-2</v>
      </c>
      <c r="D328" s="327">
        <f t="shared" ref="D328:E328" si="71">D327</f>
        <v>2.8847527618307929</v>
      </c>
      <c r="E328" s="327">
        <f t="shared" si="71"/>
        <v>208</v>
      </c>
      <c r="F328" s="1">
        <f>TDIST(D328,E328,2)</f>
        <v>4.3296635900542113E-3</v>
      </c>
      <c r="G328" s="1">
        <f>TINV(G325,E328)</f>
        <v>1.9714346585202402</v>
      </c>
      <c r="H328" s="1">
        <f>(D321-D322)-G328*C328</f>
        <v>-0.17545499256759906</v>
      </c>
      <c r="I328" s="1">
        <f>(D321-D322)+G328*C328</f>
        <v>-3.2998360062598889E-2</v>
      </c>
      <c r="J328" s="327" t="str">
        <f>IF(F328&lt;G325,"yes","no")</f>
        <v>yes</v>
      </c>
      <c r="K328">
        <f>K327</f>
        <v>0.19613651541976379</v>
      </c>
      <c r="M328" t="s">
        <v>298</v>
      </c>
      <c r="N328" s="392">
        <f>N320*O320/2</f>
        <v>3062.5</v>
      </c>
    </row>
    <row r="329" spans="2:15" x14ac:dyDescent="0.25">
      <c r="B329" s="335"/>
      <c r="C329" s="334"/>
      <c r="D329" s="334"/>
      <c r="E329" s="334"/>
      <c r="F329" s="334"/>
      <c r="G329" s="334"/>
      <c r="H329" s="334"/>
      <c r="I329" s="334"/>
      <c r="J329" s="334"/>
      <c r="K329" s="381"/>
      <c r="M329" t="s">
        <v>299</v>
      </c>
      <c r="N329" s="392">
        <v>327.76437519342005</v>
      </c>
      <c r="O329" t="s">
        <v>300</v>
      </c>
    </row>
    <row r="330" spans="2:15" ht="16.5" thickBot="1" x14ac:dyDescent="0.3">
      <c r="B330" s="3" t="s">
        <v>287</v>
      </c>
      <c r="F330" s="1" t="s">
        <v>274</v>
      </c>
      <c r="G330" s="1">
        <f>G325</f>
        <v>0.05</v>
      </c>
      <c r="M330" t="s">
        <v>19</v>
      </c>
      <c r="N330" s="392">
        <f>ABS(STANDARDIZE(N327,N328,N329))</f>
        <v>2.6451929056913723</v>
      </c>
    </row>
    <row r="331" spans="2:15" ht="16.5" thickTop="1" x14ac:dyDescent="0.25">
      <c r="B331" s="333" t="s">
        <v>275</v>
      </c>
      <c r="C331" s="332" t="s">
        <v>276</v>
      </c>
      <c r="D331" s="332" t="s">
        <v>277</v>
      </c>
      <c r="E331" s="332" t="s">
        <v>278</v>
      </c>
      <c r="F331" s="332" t="s">
        <v>279</v>
      </c>
      <c r="G331" s="332" t="s">
        <v>280</v>
      </c>
      <c r="H331" s="332" t="s">
        <v>281</v>
      </c>
      <c r="I331" s="332" t="s">
        <v>282</v>
      </c>
      <c r="J331" s="332" t="s">
        <v>283</v>
      </c>
      <c r="K331" s="380" t="s">
        <v>284</v>
      </c>
      <c r="M331" t="s">
        <v>284</v>
      </c>
      <c r="N331" s="392">
        <f>N330/SQRT(N320+O320)</f>
        <v>0.1825356522034344</v>
      </c>
    </row>
    <row r="332" spans="2:15" x14ac:dyDescent="0.25">
      <c r="B332" s="3" t="s">
        <v>285</v>
      </c>
      <c r="C332" s="1">
        <f>SQRT(E321/C321+E322/C322)</f>
        <v>4.6311410914293666E-2</v>
      </c>
      <c r="D332" s="1">
        <f>(ABS(D321-D322-F319))/C332</f>
        <v>2.2505614546701316</v>
      </c>
      <c r="E332" s="1">
        <f>(E321/C321+E322/C322)^2/((E321/C321)^2/(C321-1)+(E322/C322)^2/(C322-1))</f>
        <v>40.58759030263888</v>
      </c>
      <c r="F332" s="1">
        <f>TDIST(D332,ROUND(E332,0),1)</f>
        <v>1.4920369190531175E-2</v>
      </c>
      <c r="G332" s="1">
        <f>TINV(G330*2,ROUND(E332,0))</f>
        <v>1.6828780021327077</v>
      </c>
      <c r="J332" s="327" t="str">
        <f>IF(F332&lt;G330,"yes","no")</f>
        <v>yes</v>
      </c>
      <c r="K332">
        <f>SQRT(D332^2/(D332^2+E332))</f>
        <v>0.33308727117289266</v>
      </c>
      <c r="M332" t="s">
        <v>301</v>
      </c>
      <c r="N332" s="391">
        <f>N328+N329*NORMSINV(N326)</f>
        <v>2523.3755786776196</v>
      </c>
      <c r="O332" s="383">
        <f>N328+N329*NORMSINV(N326/2)</f>
        <v>2420.0936292056231</v>
      </c>
    </row>
    <row r="333" spans="2:15" x14ac:dyDescent="0.25">
      <c r="B333" s="3" t="s">
        <v>286</v>
      </c>
      <c r="C333" s="1">
        <f>C332</f>
        <v>4.6311410914293666E-2</v>
      </c>
      <c r="D333" s="327">
        <f t="shared" ref="D333:E333" si="72">D332</f>
        <v>2.2505614546701316</v>
      </c>
      <c r="E333" s="327">
        <f t="shared" si="72"/>
        <v>40.58759030263888</v>
      </c>
      <c r="F333" s="1">
        <f>TDIST(D333,ROUND(E333,0),2)</f>
        <v>2.984073838106235E-2</v>
      </c>
      <c r="G333" s="1">
        <f>TINV(G330,ROUND(E333,0))</f>
        <v>2.0195409704413767</v>
      </c>
      <c r="H333" s="1">
        <f>(D321-D322)-G333*C333</f>
        <v>-0.19775446805546096</v>
      </c>
      <c r="I333" s="1">
        <f>(D321-D322)+G333*C333</f>
        <v>-1.0698884574736972E-2</v>
      </c>
      <c r="J333" s="327" t="str">
        <f>IF(F333&lt;G330,"yes","no")</f>
        <v>yes</v>
      </c>
      <c r="K333">
        <f>K332</f>
        <v>0.33308727117289266</v>
      </c>
      <c r="M333" t="s">
        <v>279</v>
      </c>
      <c r="N333" s="392">
        <f>1-NORMSDIST(N330)</f>
        <v>4.0822178849695412E-3</v>
      </c>
      <c r="O333" s="387">
        <f>2*N333</f>
        <v>8.1644357699390824E-3</v>
      </c>
    </row>
    <row r="334" spans="2:15" x14ac:dyDescent="0.25">
      <c r="B334" s="335"/>
      <c r="C334" s="334"/>
      <c r="D334" s="334"/>
      <c r="E334" s="334"/>
      <c r="F334" s="334"/>
      <c r="G334" s="334"/>
      <c r="H334" s="334"/>
      <c r="I334" s="334"/>
      <c r="J334" s="334"/>
      <c r="K334" s="381"/>
      <c r="M334" t="s">
        <v>302</v>
      </c>
      <c r="N334" s="393" t="str">
        <f>IF(N333&lt;N326,"yes","no")</f>
        <v>yes</v>
      </c>
      <c r="O334" s="394" t="str">
        <f>IF(O333&lt;N326,"yes","no")</f>
        <v>yes</v>
      </c>
    </row>
    <row r="344" spans="2:15" x14ac:dyDescent="0.25">
      <c r="B344" s="349" t="s">
        <v>309</v>
      </c>
    </row>
    <row r="345" spans="2:15" x14ac:dyDescent="0.25">
      <c r="B345" s="3" t="s">
        <v>263</v>
      </c>
      <c r="M345" t="s">
        <v>288</v>
      </c>
    </row>
    <row r="347" spans="2:15" ht="16.5" thickBot="1" x14ac:dyDescent="0.3">
      <c r="B347" s="3" t="s">
        <v>264</v>
      </c>
      <c r="E347" s="1" t="s">
        <v>265</v>
      </c>
      <c r="F347" s="1">
        <v>0</v>
      </c>
      <c r="N347" t="s">
        <v>289</v>
      </c>
      <c r="O347" t="s">
        <v>290</v>
      </c>
    </row>
    <row r="348" spans="2:15" ht="16.5" thickTop="1" x14ac:dyDescent="0.25">
      <c r="B348" s="333" t="s">
        <v>266</v>
      </c>
      <c r="C348" s="332" t="s">
        <v>267</v>
      </c>
      <c r="D348" s="332" t="s">
        <v>117</v>
      </c>
      <c r="E348" s="332" t="s">
        <v>268</v>
      </c>
      <c r="F348" s="332" t="s">
        <v>269</v>
      </c>
      <c r="M348" t="s">
        <v>291</v>
      </c>
      <c r="N348" s="382">
        <f>COUNT(R6:R180)</f>
        <v>175</v>
      </c>
      <c r="O348" s="383">
        <f>COUNT(R214:R248)</f>
        <v>33</v>
      </c>
    </row>
    <row r="349" spans="2:15" x14ac:dyDescent="0.25">
      <c r="B349" s="3" t="s">
        <v>270</v>
      </c>
      <c r="C349" s="1">
        <f>COUNT(R6:R180)</f>
        <v>175</v>
      </c>
      <c r="D349" s="379">
        <f>AVERAGE(R6:R180)</f>
        <v>2.2644424926049456</v>
      </c>
      <c r="E349" s="1">
        <f>VAR(R6:R180)</f>
        <v>1.6820600446474775E-2</v>
      </c>
      <c r="M349" t="s">
        <v>292</v>
      </c>
      <c r="N349" s="384">
        <f>MEDIAN(R6:R180)</f>
        <v>2.255272505103306</v>
      </c>
      <c r="O349" s="385">
        <f>MEDIAN(R214:R248)</f>
        <v>2.255272505103306</v>
      </c>
    </row>
    <row r="350" spans="2:15" x14ac:dyDescent="0.25">
      <c r="B350" s="3" t="s">
        <v>271</v>
      </c>
      <c r="C350" s="1">
        <f>COUNT(R214:R248)</f>
        <v>33</v>
      </c>
      <c r="D350" s="379">
        <f>AVERAGE(R214:R248)</f>
        <v>2.2183173269928234</v>
      </c>
      <c r="E350" s="1">
        <f>VAR(R214:R248)</f>
        <v>5.6473249556548311E-2</v>
      </c>
      <c r="M350" t="s">
        <v>293</v>
      </c>
      <c r="N350" s="386">
        <v>18486.5</v>
      </c>
      <c r="O350" s="387">
        <v>3249.5</v>
      </c>
    </row>
    <row r="351" spans="2:15" x14ac:dyDescent="0.25">
      <c r="B351" s="335" t="s">
        <v>272</v>
      </c>
      <c r="C351" s="334"/>
      <c r="D351" s="334"/>
      <c r="E351" s="334">
        <f>((C349-1)*E349+(C350-1)*E350)/(C349+C350-2)</f>
        <v>2.298023525969008E-2</v>
      </c>
      <c r="F351" s="334">
        <f>ABS(D349-D350-F347)/SQRT(E351)</f>
        <v>0.30427109910238787</v>
      </c>
      <c r="M351" t="s">
        <v>294</v>
      </c>
      <c r="N351" s="388">
        <f>N348*O348+N348*(N348+1)/2-N350</f>
        <v>2688.5</v>
      </c>
      <c r="O351" s="389">
        <f>N348*O348+O348*(O348+1)/2-O350</f>
        <v>3086.5</v>
      </c>
    </row>
    <row r="353" spans="2:15" ht="16.5" thickBot="1" x14ac:dyDescent="0.3">
      <c r="B353" s="3" t="s">
        <v>273</v>
      </c>
      <c r="F353" s="1" t="s">
        <v>274</v>
      </c>
      <c r="G353" s="1">
        <v>0.05</v>
      </c>
      <c r="N353" s="390" t="s">
        <v>295</v>
      </c>
      <c r="O353" s="390" t="s">
        <v>296</v>
      </c>
    </row>
    <row r="354" spans="2:15" ht="16.5" thickTop="1" x14ac:dyDescent="0.25">
      <c r="B354" s="333" t="s">
        <v>275</v>
      </c>
      <c r="C354" s="332" t="s">
        <v>276</v>
      </c>
      <c r="D354" s="332" t="s">
        <v>277</v>
      </c>
      <c r="E354" s="332" t="s">
        <v>278</v>
      </c>
      <c r="F354" s="332" t="s">
        <v>279</v>
      </c>
      <c r="G354" s="332" t="s">
        <v>280</v>
      </c>
      <c r="H354" s="332" t="s">
        <v>281</v>
      </c>
      <c r="I354" s="332" t="s">
        <v>282</v>
      </c>
      <c r="J354" s="332" t="s">
        <v>283</v>
      </c>
      <c r="K354" s="380" t="s">
        <v>284</v>
      </c>
      <c r="M354" t="s">
        <v>297</v>
      </c>
      <c r="N354" s="391">
        <v>0.05</v>
      </c>
    </row>
    <row r="355" spans="2:15" x14ac:dyDescent="0.25">
      <c r="B355" s="3" t="s">
        <v>285</v>
      </c>
      <c r="C355" s="1">
        <f>SQRT(E351*(1/C349+1/C350))</f>
        <v>2.8769539368931958E-2</v>
      </c>
      <c r="D355" s="1">
        <f>(ABS(D349-D350-F347))/C355</f>
        <v>1.603263959864873</v>
      </c>
      <c r="E355" s="1">
        <f>C349+C350-2</f>
        <v>206</v>
      </c>
      <c r="F355" s="1">
        <f>TDIST(D355,E355,1)</f>
        <v>5.5204261250215513E-2</v>
      </c>
      <c r="G355" s="1">
        <f>TINV(G353*2,E355)</f>
        <v>1.6522841441887575</v>
      </c>
      <c r="J355" s="327" t="str">
        <f>IF(F355&lt;G353,"yes","no")</f>
        <v>no</v>
      </c>
      <c r="K355">
        <f>SQRT(D355^2/(D355^2+E355))</f>
        <v>0.11101422602936643</v>
      </c>
      <c r="M355" t="s">
        <v>294</v>
      </c>
      <c r="N355" s="392">
        <f>MIN(N351,O351)</f>
        <v>2688.5</v>
      </c>
    </row>
    <row r="356" spans="2:15" x14ac:dyDescent="0.25">
      <c r="B356" s="3" t="s">
        <v>286</v>
      </c>
      <c r="C356" s="1">
        <f>C355</f>
        <v>2.8769539368931958E-2</v>
      </c>
      <c r="D356" s="327">
        <f t="shared" ref="D356:E356" si="73">D355</f>
        <v>1.603263959864873</v>
      </c>
      <c r="E356" s="327">
        <f t="shared" si="73"/>
        <v>206</v>
      </c>
      <c r="F356" s="1">
        <f>TDIST(D356,E356,2)</f>
        <v>0.11040852250043103</v>
      </c>
      <c r="G356" s="1">
        <f>TINV(G353,E356)</f>
        <v>1.9715466694452266</v>
      </c>
      <c r="H356" s="1">
        <f>(D349-D350)-G356*C356</f>
        <v>-1.059532391216892E-2</v>
      </c>
      <c r="I356" s="1">
        <f>(D349-D350)+G356*C356</f>
        <v>0.10284565513641333</v>
      </c>
      <c r="J356" s="327" t="str">
        <f>IF(F356&lt;G353,"yes","no")</f>
        <v>no</v>
      </c>
      <c r="K356">
        <f>K355</f>
        <v>0.11101422602936643</v>
      </c>
      <c r="M356" t="s">
        <v>298</v>
      </c>
      <c r="N356" s="392">
        <f>N348*O348/2</f>
        <v>2887.5</v>
      </c>
    </row>
    <row r="357" spans="2:15" x14ac:dyDescent="0.25">
      <c r="B357" s="335"/>
      <c r="C357" s="334"/>
      <c r="D357" s="334"/>
      <c r="E357" s="334"/>
      <c r="F357" s="334"/>
      <c r="G357" s="334"/>
      <c r="H357" s="334"/>
      <c r="I357" s="334"/>
      <c r="J357" s="334"/>
      <c r="K357" s="381"/>
      <c r="M357" t="s">
        <v>299</v>
      </c>
      <c r="N357" s="392">
        <v>316.53312419897173</v>
      </c>
      <c r="O357" t="s">
        <v>300</v>
      </c>
    </row>
    <row r="358" spans="2:15" ht="16.5" thickBot="1" x14ac:dyDescent="0.3">
      <c r="B358" s="3" t="s">
        <v>287</v>
      </c>
      <c r="F358" s="1" t="s">
        <v>274</v>
      </c>
      <c r="G358" s="1">
        <f>G353</f>
        <v>0.05</v>
      </c>
      <c r="M358" t="s">
        <v>19</v>
      </c>
      <c r="N358" s="392">
        <f>ABS(STANDARDIZE(N355,N356,N357))</f>
        <v>0.62868617780080804</v>
      </c>
    </row>
    <row r="359" spans="2:15" ht="16.5" thickTop="1" x14ac:dyDescent="0.25">
      <c r="B359" s="333" t="s">
        <v>275</v>
      </c>
      <c r="C359" s="332" t="s">
        <v>276</v>
      </c>
      <c r="D359" s="332" t="s">
        <v>277</v>
      </c>
      <c r="E359" s="332" t="s">
        <v>278</v>
      </c>
      <c r="F359" s="332" t="s">
        <v>279</v>
      </c>
      <c r="G359" s="332" t="s">
        <v>280</v>
      </c>
      <c r="H359" s="332" t="s">
        <v>281</v>
      </c>
      <c r="I359" s="332" t="s">
        <v>282</v>
      </c>
      <c r="J359" s="332" t="s">
        <v>283</v>
      </c>
      <c r="K359" s="380" t="s">
        <v>284</v>
      </c>
      <c r="M359" t="s">
        <v>284</v>
      </c>
      <c r="N359" s="392">
        <f>N358/SQRT(N348+O348)</f>
        <v>4.3591543273774687E-2</v>
      </c>
    </row>
    <row r="360" spans="2:15" x14ac:dyDescent="0.25">
      <c r="B360" s="3" t="s">
        <v>285</v>
      </c>
      <c r="C360" s="1">
        <f>SQRT(E349/C349+E350/C350)</f>
        <v>4.2513860204169591E-2</v>
      </c>
      <c r="D360" s="1">
        <f>(ABS(D349-D350-F347))/C360</f>
        <v>1.0849441897444645</v>
      </c>
      <c r="E360" s="1">
        <f>(E349/C349+E350/C350)^2/((E349/C349)^2/(C349-1)+(E350/C350)^2/(C350-1))</f>
        <v>35.674884302162006</v>
      </c>
      <c r="F360" s="1">
        <f>TDIST(D360,ROUND(E360,0),1)</f>
        <v>0.14257936001460381</v>
      </c>
      <c r="G360" s="1">
        <f>TINV(G358*2,ROUND(E360,0))</f>
        <v>1.6882977141168172</v>
      </c>
      <c r="J360" s="327" t="str">
        <f>IF(F360&lt;G358,"yes","no")</f>
        <v>no</v>
      </c>
      <c r="K360">
        <f>SQRT(D360^2/(D360^2+E360))</f>
        <v>0.17872155591165528</v>
      </c>
      <c r="M360" t="s">
        <v>301</v>
      </c>
      <c r="N360" s="391">
        <f>N356+N357*NORMSINV(N354)</f>
        <v>2366.8493426110404</v>
      </c>
      <c r="O360" s="383">
        <f>N356+N357*NORMSINV(N354/2)</f>
        <v>2267.1064766560717</v>
      </c>
    </row>
    <row r="361" spans="2:15" x14ac:dyDescent="0.25">
      <c r="B361" s="3" t="s">
        <v>286</v>
      </c>
      <c r="C361" s="1">
        <f>C360</f>
        <v>4.2513860204169591E-2</v>
      </c>
      <c r="D361" s="327">
        <f t="shared" ref="D361:E361" si="74">D360</f>
        <v>1.0849441897444645</v>
      </c>
      <c r="E361" s="327">
        <f t="shared" si="74"/>
        <v>35.674884302162006</v>
      </c>
      <c r="F361" s="1">
        <f>TDIST(D361,ROUND(E361,0),2)</f>
        <v>0.28515872002920761</v>
      </c>
      <c r="G361" s="1">
        <f>TINV(G358,ROUND(E361,0))</f>
        <v>2.028094000980452</v>
      </c>
      <c r="H361" s="1">
        <f>(D349-D350)-G361*C361</f>
        <v>-4.0096939226475711E-2</v>
      </c>
      <c r="I361" s="1">
        <f>(D349-D350)+G361*C361</f>
        <v>0.13234727045072014</v>
      </c>
      <c r="J361" s="327" t="str">
        <f>IF(F361&lt;G358,"yes","no")</f>
        <v>no</v>
      </c>
      <c r="K361">
        <f>K360</f>
        <v>0.17872155591165528</v>
      </c>
      <c r="M361" t="s">
        <v>279</v>
      </c>
      <c r="N361" s="392">
        <f>1-NORMSDIST(N358)</f>
        <v>0.26477726448052941</v>
      </c>
      <c r="O361" s="387">
        <f>2*N361</f>
        <v>0.52955452896105881</v>
      </c>
    </row>
    <row r="362" spans="2:15" x14ac:dyDescent="0.25">
      <c r="B362" s="335"/>
      <c r="C362" s="334"/>
      <c r="D362" s="334"/>
      <c r="E362" s="334"/>
      <c r="F362" s="334"/>
      <c r="G362" s="334"/>
      <c r="H362" s="334"/>
      <c r="I362" s="334"/>
      <c r="J362" s="334"/>
      <c r="K362" s="381"/>
      <c r="M362" t="s">
        <v>302</v>
      </c>
      <c r="N362" s="393" t="str">
        <f>IF(N361&lt;N354,"yes","no")</f>
        <v>no</v>
      </c>
      <c r="O362" s="394" t="str">
        <f>IF(O361&lt;N354,"yes","no")</f>
        <v>no</v>
      </c>
    </row>
    <row r="372" spans="2:15" x14ac:dyDescent="0.25">
      <c r="B372" s="349" t="s">
        <v>310</v>
      </c>
    </row>
    <row r="373" spans="2:15" x14ac:dyDescent="0.25">
      <c r="B373" s="3" t="s">
        <v>263</v>
      </c>
      <c r="M373" t="s">
        <v>288</v>
      </c>
    </row>
    <row r="375" spans="2:15" ht="16.5" thickBot="1" x14ac:dyDescent="0.3">
      <c r="B375" s="3" t="s">
        <v>264</v>
      </c>
      <c r="E375" s="1" t="s">
        <v>265</v>
      </c>
      <c r="F375" s="1">
        <v>0</v>
      </c>
      <c r="N375" t="s">
        <v>289</v>
      </c>
      <c r="O375" t="s">
        <v>290</v>
      </c>
    </row>
    <row r="376" spans="2:15" ht="16.5" thickTop="1" x14ac:dyDescent="0.25">
      <c r="B376" s="333" t="s">
        <v>266</v>
      </c>
      <c r="C376" s="332" t="s">
        <v>267</v>
      </c>
      <c r="D376" s="332" t="s">
        <v>117</v>
      </c>
      <c r="E376" s="332" t="s">
        <v>268</v>
      </c>
      <c r="F376" s="332" t="s">
        <v>269</v>
      </c>
      <c r="M376" t="s">
        <v>291</v>
      </c>
      <c r="N376" s="382">
        <f>COUNT(S6:S180)</f>
        <v>175</v>
      </c>
      <c r="O376" s="383">
        <f>COUNT(S214:S248)</f>
        <v>32</v>
      </c>
    </row>
    <row r="377" spans="2:15" x14ac:dyDescent="0.25">
      <c r="B377" s="3" t="s">
        <v>270</v>
      </c>
      <c r="C377" s="1">
        <f>COUNT(S6:S180)</f>
        <v>175</v>
      </c>
      <c r="D377" s="379">
        <f>AVERAGE(S6:S180)</f>
        <v>1.3051115321677595</v>
      </c>
      <c r="E377" s="1">
        <f>VAR(S6:S180)</f>
        <v>4.5956497145057423E-2</v>
      </c>
      <c r="M377" t="s">
        <v>292</v>
      </c>
      <c r="N377" s="384">
        <f>MEDIAN(S6:S180)</f>
        <v>1.2787536009528289</v>
      </c>
      <c r="O377" s="385">
        <f>MEDIAN(S214:S248)</f>
        <v>1.3975922948412118</v>
      </c>
    </row>
    <row r="378" spans="2:15" x14ac:dyDescent="0.25">
      <c r="B378" s="3" t="s">
        <v>271</v>
      </c>
      <c r="C378" s="1">
        <f>COUNT(S214:S248)</f>
        <v>32</v>
      </c>
      <c r="D378" s="379">
        <f>AVERAGE(S214:S248)</f>
        <v>1.3142407938598255</v>
      </c>
      <c r="E378" s="1">
        <f>VAR(S214:S248)</f>
        <v>0.10160279973329749</v>
      </c>
      <c r="M378" t="s">
        <v>293</v>
      </c>
      <c r="N378" s="386">
        <v>17740</v>
      </c>
      <c r="O378" s="387">
        <v>3788</v>
      </c>
    </row>
    <row r="379" spans="2:15" x14ac:dyDescent="0.25">
      <c r="B379" s="335" t="s">
        <v>272</v>
      </c>
      <c r="C379" s="334"/>
      <c r="D379" s="334"/>
      <c r="E379" s="334">
        <f>((C377-1)*E377+(C378-1)*E378)/(C377+C378-2)</f>
        <v>5.4371303877913238E-2</v>
      </c>
      <c r="F379" s="334">
        <f>ABS(D377-D378-F375)/SQRT(E379)</f>
        <v>3.9151714260341614E-2</v>
      </c>
      <c r="M379" t="s">
        <v>294</v>
      </c>
      <c r="N379" s="388">
        <f>N376*O376+N376*(N376+1)/2-N378</f>
        <v>3260</v>
      </c>
      <c r="O379" s="389">
        <f>N376*O376+O376*(O376+1)/2-O378</f>
        <v>2340</v>
      </c>
    </row>
    <row r="381" spans="2:15" ht="16.5" thickBot="1" x14ac:dyDescent="0.3">
      <c r="B381" s="3" t="s">
        <v>273</v>
      </c>
      <c r="F381" s="1" t="s">
        <v>274</v>
      </c>
      <c r="G381" s="1">
        <v>0.05</v>
      </c>
      <c r="N381" s="390" t="s">
        <v>295</v>
      </c>
      <c r="O381" s="390" t="s">
        <v>296</v>
      </c>
    </row>
    <row r="382" spans="2:15" ht="16.5" thickTop="1" x14ac:dyDescent="0.25">
      <c r="B382" s="333" t="s">
        <v>275</v>
      </c>
      <c r="C382" s="332" t="s">
        <v>276</v>
      </c>
      <c r="D382" s="332" t="s">
        <v>277</v>
      </c>
      <c r="E382" s="332" t="s">
        <v>278</v>
      </c>
      <c r="F382" s="332" t="s">
        <v>279</v>
      </c>
      <c r="G382" s="332" t="s">
        <v>280</v>
      </c>
      <c r="H382" s="332" t="s">
        <v>281</v>
      </c>
      <c r="I382" s="332" t="s">
        <v>282</v>
      </c>
      <c r="J382" s="332" t="s">
        <v>283</v>
      </c>
      <c r="K382" s="380" t="s">
        <v>284</v>
      </c>
      <c r="M382" t="s">
        <v>297</v>
      </c>
      <c r="N382" s="391">
        <v>0.05</v>
      </c>
    </row>
    <row r="383" spans="2:15" x14ac:dyDescent="0.25">
      <c r="B383" s="3" t="s">
        <v>285</v>
      </c>
      <c r="C383" s="1">
        <f>SQRT(E379*(1/C377+1/C378))</f>
        <v>4.4830752962686626E-2</v>
      </c>
      <c r="D383" s="1">
        <f>(ABS(D377-D378-F375))/C383</f>
        <v>0.20363837519446515</v>
      </c>
      <c r="E383" s="1">
        <f>C377+C378-2</f>
        <v>205</v>
      </c>
      <c r="F383" s="1">
        <f>TDIST(D383,E383,1)</f>
        <v>0.41941905150398567</v>
      </c>
      <c r="G383" s="1">
        <f>TINV(G381*2,E383)</f>
        <v>1.6523205557726879</v>
      </c>
      <c r="J383" s="327" t="str">
        <f>IF(F383&lt;G381,"yes","no")</f>
        <v>no</v>
      </c>
      <c r="K383">
        <f>SQRT(D383^2/(D383^2+E383))</f>
        <v>1.422128275270485E-2</v>
      </c>
      <c r="M383" t="s">
        <v>294</v>
      </c>
      <c r="N383" s="392">
        <f>MIN(N379,O379)</f>
        <v>2340</v>
      </c>
    </row>
    <row r="384" spans="2:15" x14ac:dyDescent="0.25">
      <c r="B384" s="3" t="s">
        <v>286</v>
      </c>
      <c r="C384" s="1">
        <f>C383</f>
        <v>4.4830752962686626E-2</v>
      </c>
      <c r="D384" s="327">
        <f t="shared" ref="D384:E384" si="75">D383</f>
        <v>0.20363837519446515</v>
      </c>
      <c r="E384" s="327">
        <f t="shared" si="75"/>
        <v>205</v>
      </c>
      <c r="F384" s="1">
        <f>TDIST(D384,E384,2)</f>
        <v>0.83883810300797135</v>
      </c>
      <c r="G384" s="1">
        <f>TINV(G381,E384)</f>
        <v>1.9716034992645053</v>
      </c>
      <c r="H384" s="1">
        <f>(D377-D378)-G384*C384</f>
        <v>-9.7517731107961497E-2</v>
      </c>
      <c r="I384" s="1">
        <f>(D377-D378)+G384*C384</f>
        <v>7.9259207723829578E-2</v>
      </c>
      <c r="J384" s="327" t="str">
        <f>IF(F384&lt;G381,"yes","no")</f>
        <v>no</v>
      </c>
      <c r="K384">
        <f>K383</f>
        <v>1.422128275270485E-2</v>
      </c>
      <c r="M384" t="s">
        <v>298</v>
      </c>
      <c r="N384" s="392">
        <f>N376*O376/2</f>
        <v>2800</v>
      </c>
    </row>
    <row r="385" spans="2:15" x14ac:dyDescent="0.25">
      <c r="B385" s="335"/>
      <c r="C385" s="334"/>
      <c r="D385" s="334"/>
      <c r="E385" s="334"/>
      <c r="F385" s="334"/>
      <c r="G385" s="334"/>
      <c r="H385" s="334"/>
      <c r="I385" s="334"/>
      <c r="J385" s="334"/>
      <c r="K385" s="381"/>
      <c r="M385" t="s">
        <v>299</v>
      </c>
      <c r="N385" s="392">
        <v>311.25845439172718</v>
      </c>
      <c r="O385" t="s">
        <v>300</v>
      </c>
    </row>
    <row r="386" spans="2:15" ht="16.5" thickBot="1" x14ac:dyDescent="0.3">
      <c r="B386" s="3" t="s">
        <v>287</v>
      </c>
      <c r="F386" s="1" t="s">
        <v>274</v>
      </c>
      <c r="G386" s="1">
        <f>G381</f>
        <v>0.05</v>
      </c>
      <c r="M386" t="s">
        <v>19</v>
      </c>
      <c r="N386" s="392">
        <f>ABS(STANDARDIZE(N383,N384,N385))</f>
        <v>1.4778715035996342</v>
      </c>
    </row>
    <row r="387" spans="2:15" ht="16.5" thickTop="1" x14ac:dyDescent="0.25">
      <c r="B387" s="333" t="s">
        <v>275</v>
      </c>
      <c r="C387" s="332" t="s">
        <v>276</v>
      </c>
      <c r="D387" s="332" t="s">
        <v>277</v>
      </c>
      <c r="E387" s="332" t="s">
        <v>278</v>
      </c>
      <c r="F387" s="332" t="s">
        <v>279</v>
      </c>
      <c r="G387" s="332" t="s">
        <v>280</v>
      </c>
      <c r="H387" s="332" t="s">
        <v>281</v>
      </c>
      <c r="I387" s="332" t="s">
        <v>282</v>
      </c>
      <c r="J387" s="332" t="s">
        <v>283</v>
      </c>
      <c r="K387" s="380" t="s">
        <v>284</v>
      </c>
      <c r="M387" t="s">
        <v>284</v>
      </c>
      <c r="N387" s="392">
        <f>N386/SQRT(N376+O376)</f>
        <v>0.10271917020824192</v>
      </c>
    </row>
    <row r="388" spans="2:15" x14ac:dyDescent="0.25">
      <c r="B388" s="3" t="s">
        <v>285</v>
      </c>
      <c r="C388" s="1">
        <f>SQRT(E377/C377+E378/C378)</f>
        <v>5.8631868866514565E-2</v>
      </c>
      <c r="D388" s="1">
        <f>(ABS(D377-D378-F375))/C388</f>
        <v>0.15570477060607224</v>
      </c>
      <c r="E388" s="1">
        <f>(E377/C377+E378/C378)^2/((E377/C377)^2/(C377-1)+(E378/C378)^2/(C378-1))</f>
        <v>36.295791373068539</v>
      </c>
      <c r="F388" s="1">
        <f>TDIST(D388,ROUND(E388,0),1)</f>
        <v>0.43856777974167094</v>
      </c>
      <c r="G388" s="1">
        <f>TINV(G386*2,ROUND(E388,0))</f>
        <v>1.6882977141168172</v>
      </c>
      <c r="J388" s="327" t="str">
        <f>IF(F388&lt;G386,"yes","no")</f>
        <v>no</v>
      </c>
      <c r="K388">
        <f>SQRT(D388^2/(D388^2+E388))</f>
        <v>2.5836208922024408E-2</v>
      </c>
      <c r="M388" t="s">
        <v>301</v>
      </c>
      <c r="N388" s="391">
        <f>N384+N385*NORMSINV(N382)</f>
        <v>2288.0254023744578</v>
      </c>
      <c r="O388" s="383">
        <f>N384+N385*NORMSINV(N382/2)</f>
        <v>2189.9446395086115</v>
      </c>
    </row>
    <row r="389" spans="2:15" x14ac:dyDescent="0.25">
      <c r="B389" s="3" t="s">
        <v>286</v>
      </c>
      <c r="C389" s="1">
        <f>C388</f>
        <v>5.8631868866514565E-2</v>
      </c>
      <c r="D389" s="327">
        <f t="shared" ref="D389:E389" si="76">D388</f>
        <v>0.15570477060607224</v>
      </c>
      <c r="E389" s="327">
        <f t="shared" si="76"/>
        <v>36.295791373068539</v>
      </c>
      <c r="F389" s="1">
        <f>TDIST(D389,ROUND(E389,0),2)</f>
        <v>0.87713555948334188</v>
      </c>
      <c r="G389" s="1">
        <f>TINV(G386,ROUND(E389,0))</f>
        <v>2.028094000980452</v>
      </c>
      <c r="H389" s="1">
        <f>(D377-D378)-G389*C389</f>
        <v>-0.12804020320651668</v>
      </c>
      <c r="I389" s="1">
        <f>(D377-D378)+G389*C389</f>
        <v>0.10978167982238476</v>
      </c>
      <c r="J389" s="327" t="str">
        <f>IF(F389&lt;G386,"yes","no")</f>
        <v>no</v>
      </c>
      <c r="K389">
        <f>K388</f>
        <v>2.5836208922024408E-2</v>
      </c>
      <c r="M389" t="s">
        <v>279</v>
      </c>
      <c r="N389" s="392">
        <f>1-NORMSDIST(N386)</f>
        <v>6.9721087503518131E-2</v>
      </c>
      <c r="O389" s="387">
        <f>2*N389</f>
        <v>0.13944217500703626</v>
      </c>
    </row>
    <row r="390" spans="2:15" x14ac:dyDescent="0.25">
      <c r="B390" s="335"/>
      <c r="C390" s="334"/>
      <c r="D390" s="334"/>
      <c r="E390" s="334"/>
      <c r="F390" s="334"/>
      <c r="G390" s="334"/>
      <c r="H390" s="334"/>
      <c r="I390" s="334"/>
      <c r="J390" s="334"/>
      <c r="K390" s="381"/>
      <c r="M390" t="s">
        <v>302</v>
      </c>
      <c r="N390" s="393" t="str">
        <f>IF(N389&lt;N382,"yes","no")</f>
        <v>no</v>
      </c>
      <c r="O390" s="394" t="str">
        <f>IF(O389&lt;N382,"yes","no")</f>
        <v>no</v>
      </c>
    </row>
    <row r="396" spans="2:15" x14ac:dyDescent="0.25">
      <c r="B396" s="349" t="s">
        <v>314</v>
      </c>
    </row>
    <row r="397" spans="2:15" x14ac:dyDescent="0.25">
      <c r="B397" s="3" t="s">
        <v>263</v>
      </c>
      <c r="M397" t="s">
        <v>288</v>
      </c>
    </row>
    <row r="399" spans="2:15" ht="16.5" thickBot="1" x14ac:dyDescent="0.3">
      <c r="B399" s="3" t="s">
        <v>264</v>
      </c>
      <c r="E399" s="1" t="s">
        <v>265</v>
      </c>
      <c r="F399" s="1">
        <v>0</v>
      </c>
      <c r="N399" t="s">
        <v>289</v>
      </c>
      <c r="O399" t="s">
        <v>290</v>
      </c>
    </row>
    <row r="400" spans="2:15" ht="16.5" thickTop="1" x14ac:dyDescent="0.25">
      <c r="B400" s="333" t="s">
        <v>266</v>
      </c>
      <c r="C400" s="332" t="s">
        <v>267</v>
      </c>
      <c r="D400" s="332" t="s">
        <v>117</v>
      </c>
      <c r="E400" s="332" t="s">
        <v>268</v>
      </c>
      <c r="F400" s="332" t="s">
        <v>269</v>
      </c>
      <c r="M400" t="s">
        <v>291</v>
      </c>
      <c r="N400" s="382">
        <f>COUNT(O196:O200)</f>
        <v>5</v>
      </c>
      <c r="O400" s="383">
        <f>COUNT(O214:O248)</f>
        <v>35</v>
      </c>
    </row>
    <row r="401" spans="2:15" x14ac:dyDescent="0.25">
      <c r="B401" s="3" t="s">
        <v>270</v>
      </c>
      <c r="C401" s="1">
        <f>COUNT(O196:O200)</f>
        <v>5</v>
      </c>
      <c r="D401" s="1">
        <f>AVERAGE(O196:O200)</f>
        <v>1.0856229787621563</v>
      </c>
      <c r="E401" s="1">
        <f>VAR(O196:O200)</f>
        <v>2.0837887955126533E-2</v>
      </c>
      <c r="M401" t="s">
        <v>292</v>
      </c>
      <c r="N401" s="386">
        <f>MEDIAN(O196:O200)</f>
        <v>1.0413926851582251</v>
      </c>
      <c r="O401" s="385">
        <f>MEDIAN(O214:O248)</f>
        <v>0.6020599913279624</v>
      </c>
    </row>
    <row r="402" spans="2:15" x14ac:dyDescent="0.25">
      <c r="B402" s="3" t="s">
        <v>271</v>
      </c>
      <c r="C402" s="1">
        <f>COUNT(O214:O248)</f>
        <v>35</v>
      </c>
      <c r="D402" s="379">
        <f>AVERAGE(O214:O248)</f>
        <v>0.6355839467997072</v>
      </c>
      <c r="E402" s="1">
        <f>VAR(O214:O248)</f>
        <v>0.13913694225464279</v>
      </c>
      <c r="M402" t="s">
        <v>293</v>
      </c>
      <c r="N402" s="386">
        <v>172.5</v>
      </c>
      <c r="O402" s="387">
        <v>647.5</v>
      </c>
    </row>
    <row r="403" spans="2:15" x14ac:dyDescent="0.25">
      <c r="B403" s="335" t="s">
        <v>272</v>
      </c>
      <c r="C403" s="334"/>
      <c r="D403" s="334"/>
      <c r="E403" s="334">
        <f>((C401-1)*E401+(C402-1)*E402)/(C401+C402-2)</f>
        <v>0.12668441022311477</v>
      </c>
      <c r="F403" s="334">
        <f>ABS(D401-D402-F399)/SQRT(E403)</f>
        <v>1.2644119592214036</v>
      </c>
      <c r="M403" t="s">
        <v>294</v>
      </c>
      <c r="N403" s="388">
        <f>N400*O400+N400*(N400+1)/2-N402</f>
        <v>17.5</v>
      </c>
      <c r="O403" s="389">
        <f>N400*O400+O400*(O400+1)/2-O402</f>
        <v>157.5</v>
      </c>
    </row>
    <row r="405" spans="2:15" ht="16.5" thickBot="1" x14ac:dyDescent="0.3">
      <c r="B405" s="3" t="s">
        <v>273</v>
      </c>
      <c r="F405" s="1" t="s">
        <v>274</v>
      </c>
      <c r="G405" s="1">
        <v>0.05</v>
      </c>
      <c r="N405" s="390" t="s">
        <v>295</v>
      </c>
      <c r="O405" s="390" t="s">
        <v>296</v>
      </c>
    </row>
    <row r="406" spans="2:15" ht="16.5" thickTop="1" x14ac:dyDescent="0.25">
      <c r="B406" s="333" t="s">
        <v>275</v>
      </c>
      <c r="C406" s="332" t="s">
        <v>276</v>
      </c>
      <c r="D406" s="332" t="s">
        <v>277</v>
      </c>
      <c r="E406" s="332" t="s">
        <v>278</v>
      </c>
      <c r="F406" s="332" t="s">
        <v>279</v>
      </c>
      <c r="G406" s="332" t="s">
        <v>280</v>
      </c>
      <c r="H406" s="332" t="s">
        <v>281</v>
      </c>
      <c r="I406" s="332" t="s">
        <v>282</v>
      </c>
      <c r="J406" s="332" t="s">
        <v>283</v>
      </c>
      <c r="K406" s="380" t="s">
        <v>284</v>
      </c>
      <c r="M406" t="s">
        <v>297</v>
      </c>
      <c r="N406" s="391">
        <v>0.05</v>
      </c>
    </row>
    <row r="407" spans="2:15" x14ac:dyDescent="0.25">
      <c r="B407" s="3" t="s">
        <v>285</v>
      </c>
      <c r="C407" s="1">
        <f>SQRT(E403*(1/C401+1/C402))</f>
        <v>0.17016590910763013</v>
      </c>
      <c r="D407" s="1">
        <f>(ABS(D401-D402-F399))/C407</f>
        <v>2.644707358380455</v>
      </c>
      <c r="E407" s="1">
        <f>C401+C402-2</f>
        <v>38</v>
      </c>
      <c r="F407" s="1">
        <f>TDIST(D407,E407,1)</f>
        <v>5.9105323222276313E-3</v>
      </c>
      <c r="G407" s="1">
        <f>TINV(G405*2,E407)</f>
        <v>1.6859544601667387</v>
      </c>
      <c r="J407" s="327" t="str">
        <f>IF(F407&lt;G405,"yes","no")</f>
        <v>yes</v>
      </c>
      <c r="K407">
        <f>SQRT(D407^2/(D407^2+E407))</f>
        <v>0.3942738915621638</v>
      </c>
      <c r="M407" t="s">
        <v>294</v>
      </c>
      <c r="N407" s="392">
        <f>MIN(N403,O403)</f>
        <v>17.5</v>
      </c>
    </row>
    <row r="408" spans="2:15" x14ac:dyDescent="0.25">
      <c r="B408" s="3" t="s">
        <v>286</v>
      </c>
      <c r="C408" s="1">
        <f>C407</f>
        <v>0.17016590910763013</v>
      </c>
      <c r="D408" s="327">
        <f t="shared" ref="D408:E408" si="77">D407</f>
        <v>2.644707358380455</v>
      </c>
      <c r="E408" s="327">
        <f t="shared" si="77"/>
        <v>38</v>
      </c>
      <c r="F408" s="1">
        <f>TDIST(D408,E408,2)</f>
        <v>1.1821064644455263E-2</v>
      </c>
      <c r="G408" s="1">
        <f>TINV(G405,E408)</f>
        <v>2.0243941639119702</v>
      </c>
      <c r="H408" s="1">
        <f>(D401-D402)-G408*C408</f>
        <v>0.10555615866818785</v>
      </c>
      <c r="I408" s="1">
        <f>(D401-D402)+G408*C408</f>
        <v>0.79452190525671029</v>
      </c>
      <c r="J408" s="327" t="str">
        <f>IF(F408&lt;G405,"yes","no")</f>
        <v>yes</v>
      </c>
      <c r="K408">
        <f>K407</f>
        <v>0.3942738915621638</v>
      </c>
      <c r="M408" t="s">
        <v>298</v>
      </c>
      <c r="N408" s="392">
        <f>N400*O400/2</f>
        <v>87.5</v>
      </c>
    </row>
    <row r="409" spans="2:15" x14ac:dyDescent="0.25">
      <c r="B409" s="335"/>
      <c r="C409" s="334"/>
      <c r="D409" s="334"/>
      <c r="E409" s="334"/>
      <c r="F409" s="334"/>
      <c r="G409" s="334"/>
      <c r="H409" s="334"/>
      <c r="I409" s="334"/>
      <c r="J409" s="334"/>
      <c r="K409" s="381"/>
      <c r="M409" t="s">
        <v>299</v>
      </c>
      <c r="N409" s="392">
        <v>24.316621412586841</v>
      </c>
      <c r="O409" t="s">
        <v>300</v>
      </c>
    </row>
    <row r="410" spans="2:15" ht="16.5" thickBot="1" x14ac:dyDescent="0.3">
      <c r="B410" s="3" t="s">
        <v>287</v>
      </c>
      <c r="F410" s="1" t="s">
        <v>274</v>
      </c>
      <c r="G410" s="1">
        <f>G405</f>
        <v>0.05</v>
      </c>
      <c r="M410" t="s">
        <v>19</v>
      </c>
      <c r="N410" s="392">
        <f>ABS(STANDARDIZE(N407,N408,N409))</f>
        <v>2.8786893874889379</v>
      </c>
    </row>
    <row r="411" spans="2:15" ht="16.5" thickTop="1" x14ac:dyDescent="0.25">
      <c r="B411" s="333" t="s">
        <v>275</v>
      </c>
      <c r="C411" s="332" t="s">
        <v>276</v>
      </c>
      <c r="D411" s="332" t="s">
        <v>277</v>
      </c>
      <c r="E411" s="332" t="s">
        <v>278</v>
      </c>
      <c r="F411" s="332" t="s">
        <v>279</v>
      </c>
      <c r="G411" s="332" t="s">
        <v>280</v>
      </c>
      <c r="H411" s="332" t="s">
        <v>281</v>
      </c>
      <c r="I411" s="332" t="s">
        <v>282</v>
      </c>
      <c r="J411" s="332" t="s">
        <v>283</v>
      </c>
      <c r="K411" s="380" t="s">
        <v>284</v>
      </c>
      <c r="M411" t="s">
        <v>284</v>
      </c>
      <c r="N411" s="392">
        <f>N410/SQRT(N400+O400)</f>
        <v>0.45516075703100317</v>
      </c>
    </row>
    <row r="412" spans="2:15" x14ac:dyDescent="0.25">
      <c r="B412" s="3" t="s">
        <v>285</v>
      </c>
      <c r="C412" s="1">
        <f>SQRT(E401/C401+E402/C402)</f>
        <v>9.0238122754747144E-2</v>
      </c>
      <c r="D412" s="1">
        <f>(ABS(D401-D402-F399))/C412</f>
        <v>4.9872384112597681</v>
      </c>
      <c r="E412" s="1">
        <f>(E401/C401+E402/C402)^2/((E401/C401)^2/(C401-1)+(E402/C402)^2/(C402-1))</f>
        <v>13.793926620724214</v>
      </c>
      <c r="F412" s="1">
        <f>TDIST(D412,ROUND(E412,0),1)</f>
        <v>9.9587799099582194E-5</v>
      </c>
      <c r="G412" s="1">
        <f>TINV(G410*2,ROUND(E412,0))</f>
        <v>1.7613101357748921</v>
      </c>
      <c r="J412" s="327" t="str">
        <f>IF(F412&lt;G410,"yes","no")</f>
        <v>yes</v>
      </c>
      <c r="K412">
        <f>SQRT(D412^2/(D412^2+E412))</f>
        <v>0.80203412465107082</v>
      </c>
      <c r="M412" t="s">
        <v>301</v>
      </c>
      <c r="N412" s="391">
        <f>N408+N409*NORMSINV(N406)</f>
        <v>47.502717074300691</v>
      </c>
      <c r="O412" s="383">
        <f>N408+N409*NORMSINV(N406/2)</f>
        <v>39.8402978056343</v>
      </c>
    </row>
    <row r="413" spans="2:15" x14ac:dyDescent="0.25">
      <c r="B413" s="3" t="s">
        <v>286</v>
      </c>
      <c r="C413" s="1">
        <f>C412</f>
        <v>9.0238122754747144E-2</v>
      </c>
      <c r="D413" s="327">
        <f t="shared" ref="D413:E413" si="78">D412</f>
        <v>4.9872384112597681</v>
      </c>
      <c r="E413" s="327">
        <f t="shared" si="78"/>
        <v>13.793926620724214</v>
      </c>
      <c r="F413" s="1">
        <f>TDIST(D413,ROUND(E413,0),2)</f>
        <v>1.9917559819916439E-4</v>
      </c>
      <c r="G413" s="1">
        <f>TINV(G410,ROUND(E413,0))</f>
        <v>2.1447866879178044</v>
      </c>
      <c r="H413" s="1">
        <f>(D401-D402)-G413*C413</f>
        <v>0.2564975075353747</v>
      </c>
      <c r="I413" s="1">
        <f>(D401-D402)+G413*C413</f>
        <v>0.64358055638952349</v>
      </c>
      <c r="J413" s="327" t="str">
        <f>IF(F413&lt;G410,"yes","no")</f>
        <v>yes</v>
      </c>
      <c r="K413">
        <f>K412</f>
        <v>0.80203412465107082</v>
      </c>
      <c r="M413" t="s">
        <v>279</v>
      </c>
      <c r="N413" s="392">
        <f>1-NORMSDIST(N410)</f>
        <v>1.9966571463447824E-3</v>
      </c>
      <c r="O413" s="387">
        <f>2*N413</f>
        <v>3.9933142926895648E-3</v>
      </c>
    </row>
    <row r="414" spans="2:15" x14ac:dyDescent="0.25">
      <c r="B414" s="335"/>
      <c r="C414" s="334"/>
      <c r="D414" s="334"/>
      <c r="E414" s="334"/>
      <c r="F414" s="334"/>
      <c r="G414" s="334"/>
      <c r="H414" s="334"/>
      <c r="I414" s="334"/>
      <c r="J414" s="334"/>
      <c r="K414" s="381"/>
      <c r="M414" t="s">
        <v>302</v>
      </c>
      <c r="N414" s="393" t="str">
        <f>IF(N413&lt;N406,"yes","no")</f>
        <v>yes</v>
      </c>
      <c r="O414" s="394" t="str">
        <f>IF(O413&lt;N406,"yes","no")</f>
        <v>yes</v>
      </c>
    </row>
    <row r="421" spans="2:15" x14ac:dyDescent="0.25">
      <c r="B421" s="349" t="s">
        <v>315</v>
      </c>
    </row>
    <row r="422" spans="2:15" x14ac:dyDescent="0.25">
      <c r="B422" s="3" t="s">
        <v>263</v>
      </c>
      <c r="M422" t="s">
        <v>288</v>
      </c>
    </row>
    <row r="424" spans="2:15" ht="16.5" thickBot="1" x14ac:dyDescent="0.3">
      <c r="B424" s="3" t="s">
        <v>264</v>
      </c>
      <c r="E424" s="1" t="s">
        <v>265</v>
      </c>
      <c r="F424" s="1">
        <v>0</v>
      </c>
      <c r="N424" t="s">
        <v>289</v>
      </c>
      <c r="O424" t="s">
        <v>290</v>
      </c>
    </row>
    <row r="425" spans="2:15" ht="16.5" thickTop="1" x14ac:dyDescent="0.25">
      <c r="B425" s="333" t="s">
        <v>266</v>
      </c>
      <c r="C425" s="332" t="s">
        <v>267</v>
      </c>
      <c r="D425" s="332" t="s">
        <v>117</v>
      </c>
      <c r="E425" s="332" t="s">
        <v>268</v>
      </c>
      <c r="F425" s="332" t="s">
        <v>269</v>
      </c>
      <c r="M425" t="s">
        <v>291</v>
      </c>
      <c r="N425" s="382">
        <f>COUNT(P196:P200)</f>
        <v>5</v>
      </c>
      <c r="O425" s="383">
        <f>COUNT(P214:P248)</f>
        <v>21</v>
      </c>
    </row>
    <row r="426" spans="2:15" x14ac:dyDescent="0.25">
      <c r="B426" s="3" t="s">
        <v>270</v>
      </c>
      <c r="C426" s="1">
        <f>COUNT(P196:P200)</f>
        <v>5</v>
      </c>
      <c r="D426" s="1">
        <f>AVERAGE(P196:P200)</f>
        <v>4.0488851144345874</v>
      </c>
      <c r="E426" s="1">
        <f>VAR(P196:P200)</f>
        <v>4.4709731540891421E-3</v>
      </c>
      <c r="M426" t="s">
        <v>292</v>
      </c>
      <c r="N426" s="386">
        <f>MEDIAN(P196:P200)</f>
        <v>4.0413926851582254</v>
      </c>
      <c r="O426" s="385">
        <f>MEDIAN(P214:P248)</f>
        <v>3.5797835966168101</v>
      </c>
    </row>
    <row r="427" spans="2:15" x14ac:dyDescent="0.25">
      <c r="B427" s="3" t="s">
        <v>271</v>
      </c>
      <c r="C427" s="1">
        <f>COUNT(P214:P248)</f>
        <v>21</v>
      </c>
      <c r="D427" s="379">
        <f>AVERAGE(P214:P248)</f>
        <v>3.5406247814373715</v>
      </c>
      <c r="E427" s="1">
        <f>VAR(P214:P248)</f>
        <v>0.27606132642050057</v>
      </c>
      <c r="M427" t="s">
        <v>293</v>
      </c>
      <c r="N427" s="386">
        <v>102.5</v>
      </c>
      <c r="O427" s="387">
        <v>248.5</v>
      </c>
    </row>
    <row r="428" spans="2:15" x14ac:dyDescent="0.25">
      <c r="B428" s="335" t="s">
        <v>272</v>
      </c>
      <c r="C428" s="334"/>
      <c r="D428" s="334"/>
      <c r="E428" s="334">
        <f>((C426-1)*E426+(C427-1)*E427)/(C426+C427-2)</f>
        <v>0.2307962675427653</v>
      </c>
      <c r="F428" s="334">
        <f>ABS(D426-D427-F424)/SQRT(E428)</f>
        <v>1.0579662805708541</v>
      </c>
      <c r="M428" t="s">
        <v>294</v>
      </c>
      <c r="N428" s="388">
        <f>N425*O425+N425*(N425+1)/2-N427</f>
        <v>17.5</v>
      </c>
      <c r="O428" s="389">
        <f>N425*O425+O425*(O425+1)/2-O427</f>
        <v>87.5</v>
      </c>
    </row>
    <row r="430" spans="2:15" ht="16.5" thickBot="1" x14ac:dyDescent="0.3">
      <c r="B430" s="3" t="s">
        <v>273</v>
      </c>
      <c r="F430" s="1" t="s">
        <v>274</v>
      </c>
      <c r="G430" s="1">
        <v>0.05</v>
      </c>
      <c r="N430" s="390" t="s">
        <v>295</v>
      </c>
      <c r="O430" s="390" t="s">
        <v>296</v>
      </c>
    </row>
    <row r="431" spans="2:15" ht="16.5" thickTop="1" x14ac:dyDescent="0.25">
      <c r="B431" s="333" t="s">
        <v>275</v>
      </c>
      <c r="C431" s="332" t="s">
        <v>276</v>
      </c>
      <c r="D431" s="332" t="s">
        <v>277</v>
      </c>
      <c r="E431" s="332" t="s">
        <v>278</v>
      </c>
      <c r="F431" s="332" t="s">
        <v>279</v>
      </c>
      <c r="G431" s="332" t="s">
        <v>280</v>
      </c>
      <c r="H431" s="332" t="s">
        <v>281</v>
      </c>
      <c r="I431" s="332" t="s">
        <v>282</v>
      </c>
      <c r="J431" s="332" t="s">
        <v>283</v>
      </c>
      <c r="K431" s="380" t="s">
        <v>284</v>
      </c>
      <c r="M431" t="s">
        <v>297</v>
      </c>
      <c r="N431" s="391">
        <v>0.05</v>
      </c>
    </row>
    <row r="432" spans="2:15" x14ac:dyDescent="0.25">
      <c r="B432" s="3" t="s">
        <v>285</v>
      </c>
      <c r="C432" s="1">
        <f>SQRT(E428*(1/C426+1/C427))</f>
        <v>0.2390597246776848</v>
      </c>
      <c r="D432" s="1">
        <f>(ABS(D426-D427-F424))/C432</f>
        <v>2.1260809769712745</v>
      </c>
      <c r="E432" s="1">
        <f>C426+C427-2</f>
        <v>24</v>
      </c>
      <c r="F432" s="1">
        <f>TDIST(D432,E432,1)</f>
        <v>2.1990333689924858E-2</v>
      </c>
      <c r="G432" s="1">
        <f>TINV(G430*2,E432)</f>
        <v>1.7108820799094284</v>
      </c>
      <c r="J432" s="327" t="str">
        <f>IF(F432&lt;G430,"yes","no")</f>
        <v>yes</v>
      </c>
      <c r="K432">
        <f>SQRT(D432^2/(D432^2+E432))</f>
        <v>0.39811025388792209</v>
      </c>
      <c r="M432" t="s">
        <v>294</v>
      </c>
      <c r="N432" s="392">
        <f>MIN(N428,O428)</f>
        <v>17.5</v>
      </c>
    </row>
    <row r="433" spans="2:15" x14ac:dyDescent="0.25">
      <c r="B433" s="3" t="s">
        <v>286</v>
      </c>
      <c r="C433" s="1">
        <f>C432</f>
        <v>0.2390597246776848</v>
      </c>
      <c r="D433" s="327">
        <f t="shared" ref="D433:E433" si="79">D432</f>
        <v>2.1260809769712745</v>
      </c>
      <c r="E433" s="327">
        <f t="shared" si="79"/>
        <v>24</v>
      </c>
      <c r="F433" s="1">
        <f>TDIST(D433,E433,2)</f>
        <v>4.3980667379849715E-2</v>
      </c>
      <c r="G433" s="1">
        <f>TINV(G430,E433)</f>
        <v>2.0638985616280254</v>
      </c>
      <c r="H433" s="1">
        <f>(D426-D427)-G433*C433</f>
        <v>1.4865311091750544E-2</v>
      </c>
      <c r="I433" s="1">
        <f>(D426-D427)+G433*C433</f>
        <v>1.0016553549026814</v>
      </c>
      <c r="J433" s="327" t="str">
        <f>IF(F433&lt;G430,"yes","no")</f>
        <v>yes</v>
      </c>
      <c r="K433">
        <f>K432</f>
        <v>0.39811025388792209</v>
      </c>
      <c r="M433" t="s">
        <v>298</v>
      </c>
      <c r="N433" s="392">
        <f>N425*O425/2</f>
        <v>52.5</v>
      </c>
    </row>
    <row r="434" spans="2:15" x14ac:dyDescent="0.25">
      <c r="B434" s="335"/>
      <c r="C434" s="334"/>
      <c r="D434" s="334"/>
      <c r="E434" s="334"/>
      <c r="F434" s="334"/>
      <c r="G434" s="334"/>
      <c r="H434" s="334"/>
      <c r="I434" s="334"/>
      <c r="J434" s="334"/>
      <c r="K434" s="381"/>
      <c r="M434" t="s">
        <v>299</v>
      </c>
      <c r="N434" s="392">
        <v>15.365170403821155</v>
      </c>
      <c r="O434" t="s">
        <v>300</v>
      </c>
    </row>
    <row r="435" spans="2:15" ht="16.5" thickBot="1" x14ac:dyDescent="0.3">
      <c r="B435" s="3" t="s">
        <v>287</v>
      </c>
      <c r="F435" s="1" t="s">
        <v>274</v>
      </c>
      <c r="G435" s="1">
        <f>G430</f>
        <v>0.05</v>
      </c>
      <c r="M435" t="s">
        <v>19</v>
      </c>
      <c r="N435" s="392">
        <f>ABS(STANDARDIZE(N432,N433,N434))</f>
        <v>2.2778790654541567</v>
      </c>
    </row>
    <row r="436" spans="2:15" ht="16.5" thickTop="1" x14ac:dyDescent="0.25">
      <c r="B436" s="333" t="s">
        <v>275</v>
      </c>
      <c r="C436" s="332" t="s">
        <v>276</v>
      </c>
      <c r="D436" s="332" t="s">
        <v>277</v>
      </c>
      <c r="E436" s="332" t="s">
        <v>278</v>
      </c>
      <c r="F436" s="332" t="s">
        <v>279</v>
      </c>
      <c r="G436" s="332" t="s">
        <v>280</v>
      </c>
      <c r="H436" s="332" t="s">
        <v>281</v>
      </c>
      <c r="I436" s="332" t="s">
        <v>282</v>
      </c>
      <c r="J436" s="332" t="s">
        <v>283</v>
      </c>
      <c r="K436" s="380" t="s">
        <v>284</v>
      </c>
      <c r="M436" t="s">
        <v>284</v>
      </c>
      <c r="N436" s="392">
        <f>N435/SQRT(N425+O425)</f>
        <v>0.44672883862904778</v>
      </c>
    </row>
    <row r="437" spans="2:15" x14ac:dyDescent="0.25">
      <c r="B437" s="3" t="s">
        <v>285</v>
      </c>
      <c r="C437" s="1">
        <f>SQRT(E426/C426+E427/C427)</f>
        <v>0.11849038813090745</v>
      </c>
      <c r="D437" s="1">
        <f>(ABS(D426-D427-F424))/C437</f>
        <v>4.2894646647261636</v>
      </c>
      <c r="E437" s="1">
        <f>(E426/C426+E427/C427)^2/((E426/C426)^2/(C426-1)+(E427/C427)^2/(C427-1))</f>
        <v>22.297551239526232</v>
      </c>
      <c r="F437" s="1">
        <f>TDIST(D437,ROUND(E437,0),1)</f>
        <v>1.4875552094170154E-4</v>
      </c>
      <c r="G437" s="1">
        <f>TINV(G435*2,ROUND(E437,0))</f>
        <v>1.7171443743802424</v>
      </c>
      <c r="J437" s="327" t="str">
        <f>IF(F437&lt;G435,"yes","no")</f>
        <v>yes</v>
      </c>
      <c r="K437">
        <f>SQRT(D437^2/(D437^2+E437))</f>
        <v>0.6723905253581941</v>
      </c>
      <c r="M437" t="s">
        <v>301</v>
      </c>
      <c r="N437" s="391">
        <f>N433+N434*NORMSINV(N431)</f>
        <v>27.226543732547348</v>
      </c>
      <c r="O437" s="383">
        <f>N433+N434*NORMSINV(N431/2)</f>
        <v>22.38481939218978</v>
      </c>
    </row>
    <row r="438" spans="2:15" x14ac:dyDescent="0.25">
      <c r="B438" s="3" t="s">
        <v>286</v>
      </c>
      <c r="C438" s="1">
        <f>C437</f>
        <v>0.11849038813090745</v>
      </c>
      <c r="D438" s="327">
        <f t="shared" ref="D438:E438" si="80">D437</f>
        <v>4.2894646647261636</v>
      </c>
      <c r="E438" s="327">
        <f t="shared" si="80"/>
        <v>22.297551239526232</v>
      </c>
      <c r="F438" s="1">
        <f>TDIST(D438,ROUND(E438,0),2)</f>
        <v>2.9751104188340308E-4</v>
      </c>
      <c r="G438" s="1">
        <f>TINV(G435,ROUND(E438,0))</f>
        <v>2.0738730679040258</v>
      </c>
      <c r="H438" s="1">
        <f>(D426-D427)-G438*C438</f>
        <v>0.26252630824703216</v>
      </c>
      <c r="I438" s="1">
        <f>(D426-D427)+G438*C438</f>
        <v>0.75399435774739976</v>
      </c>
      <c r="J438" s="327" t="str">
        <f>IF(F438&lt;G435,"yes","no")</f>
        <v>yes</v>
      </c>
      <c r="K438">
        <f>K437</f>
        <v>0.6723905253581941</v>
      </c>
      <c r="M438" t="s">
        <v>279</v>
      </c>
      <c r="N438" s="392">
        <f>1-NORMSDIST(N435)</f>
        <v>1.1366891942787838E-2</v>
      </c>
      <c r="O438" s="387">
        <f>2*N438</f>
        <v>2.2733783885575676E-2</v>
      </c>
    </row>
    <row r="439" spans="2:15" x14ac:dyDescent="0.25">
      <c r="B439" s="335"/>
      <c r="C439" s="334"/>
      <c r="D439" s="334"/>
      <c r="E439" s="334"/>
      <c r="F439" s="334"/>
      <c r="G439" s="334"/>
      <c r="H439" s="334"/>
      <c r="I439" s="334"/>
      <c r="J439" s="334"/>
      <c r="K439" s="381"/>
      <c r="M439" t="s">
        <v>302</v>
      </c>
      <c r="N439" s="393" t="str">
        <f>IF(N438&lt;N431,"yes","no")</f>
        <v>yes</v>
      </c>
      <c r="O439" s="394" t="str">
        <f>IF(O438&lt;N431,"yes","no")</f>
        <v>yes</v>
      </c>
    </row>
    <row r="441" spans="2:15" x14ac:dyDescent="0.25">
      <c r="M441" t="s">
        <v>279</v>
      </c>
      <c r="N441" s="391">
        <f>[1]!MANN_EXACT(P196:P200,P214:P248,1)</f>
        <v>9.5469747643660667E-3</v>
      </c>
      <c r="O441" s="391">
        <f>2*N441</f>
        <v>1.9093949528732133E-2</v>
      </c>
    </row>
    <row r="442" spans="2:15" x14ac:dyDescent="0.25">
      <c r="M442" t="s">
        <v>303</v>
      </c>
      <c r="N442" s="393" t="str">
        <f>IF(N441&lt;N431,"yes","no")</f>
        <v>yes</v>
      </c>
      <c r="O442" s="393" t="str">
        <f>IF(O441&lt;N431,"yes","no")</f>
        <v>yes</v>
      </c>
    </row>
    <row r="446" spans="2:15" x14ac:dyDescent="0.25">
      <c r="B446" s="349" t="s">
        <v>316</v>
      </c>
    </row>
    <row r="447" spans="2:15" x14ac:dyDescent="0.25">
      <c r="B447" s="3" t="s">
        <v>263</v>
      </c>
      <c r="M447" t="s">
        <v>288</v>
      </c>
    </row>
    <row r="449" spans="2:15" ht="16.5" thickBot="1" x14ac:dyDescent="0.3">
      <c r="B449" s="3" t="s">
        <v>264</v>
      </c>
      <c r="E449" s="1" t="s">
        <v>265</v>
      </c>
      <c r="F449" s="1">
        <v>0</v>
      </c>
      <c r="N449" t="s">
        <v>289</v>
      </c>
      <c r="O449" t="s">
        <v>290</v>
      </c>
    </row>
    <row r="450" spans="2:15" ht="16.5" thickTop="1" x14ac:dyDescent="0.25">
      <c r="B450" s="333" t="s">
        <v>266</v>
      </c>
      <c r="C450" s="332" t="s">
        <v>267</v>
      </c>
      <c r="D450" s="332" t="s">
        <v>117</v>
      </c>
      <c r="E450" s="332" t="s">
        <v>268</v>
      </c>
      <c r="F450" s="332" t="s">
        <v>269</v>
      </c>
      <c r="M450" t="s">
        <v>291</v>
      </c>
      <c r="N450" s="382">
        <f>COUNT(Q196:Q200)</f>
        <v>5</v>
      </c>
      <c r="O450" s="383">
        <f>COUNT(Q214:Q248)</f>
        <v>35</v>
      </c>
    </row>
    <row r="451" spans="2:15" x14ac:dyDescent="0.25">
      <c r="B451" s="3" t="s">
        <v>270</v>
      </c>
      <c r="C451" s="1">
        <f>COUNT(Q196:Q200)</f>
        <v>5</v>
      </c>
      <c r="D451" s="1">
        <f>AVERAGE(Q196:Q200)</f>
        <v>1.3219146134897333</v>
      </c>
      <c r="E451" s="1">
        <f>VAR(Q196:Q200)</f>
        <v>3.3269300101148147E-2</v>
      </c>
      <c r="M451" t="s">
        <v>292</v>
      </c>
      <c r="N451" s="386">
        <f>MEDIAN(Q196:Q200)</f>
        <v>1.2304489213782739</v>
      </c>
      <c r="O451" s="385">
        <f>MEDIAN(Q214:Q248)</f>
        <v>0.69897000433601886</v>
      </c>
    </row>
    <row r="452" spans="2:15" x14ac:dyDescent="0.25">
      <c r="B452" s="3" t="s">
        <v>271</v>
      </c>
      <c r="C452" s="1">
        <f>COUNT(Q214:Q248)</f>
        <v>35</v>
      </c>
      <c r="D452" s="379">
        <f>AVERAGE(Q214:Q248)</f>
        <v>0.85110652375492901</v>
      </c>
      <c r="E452" s="1">
        <f>VAR(Q214:Q248)</f>
        <v>6.8646133969445258E-2</v>
      </c>
      <c r="M452" t="s">
        <v>293</v>
      </c>
      <c r="N452" s="386">
        <v>181</v>
      </c>
      <c r="O452" s="387">
        <v>639</v>
      </c>
    </row>
    <row r="453" spans="2:15" x14ac:dyDescent="0.25">
      <c r="B453" s="335" t="s">
        <v>272</v>
      </c>
      <c r="C453" s="334"/>
      <c r="D453" s="334"/>
      <c r="E453" s="334">
        <f>((C451-1)*E451+(C452-1)*E452)/(C451+C452-2)</f>
        <v>6.4922256720150825E-2</v>
      </c>
      <c r="F453" s="334">
        <f>ABS(D451-D452-F449)/SQRT(E453)</f>
        <v>1.8477666006672355</v>
      </c>
      <c r="M453" t="s">
        <v>294</v>
      </c>
      <c r="N453" s="388">
        <f>N450*O450+N450*(N450+1)/2-N452</f>
        <v>9</v>
      </c>
      <c r="O453" s="389">
        <f>N450*O450+O450*(O450+1)/2-O452</f>
        <v>166</v>
      </c>
    </row>
    <row r="455" spans="2:15" ht="16.5" thickBot="1" x14ac:dyDescent="0.3">
      <c r="B455" s="3" t="s">
        <v>273</v>
      </c>
      <c r="F455" s="1" t="s">
        <v>274</v>
      </c>
      <c r="G455" s="1">
        <v>0.05</v>
      </c>
      <c r="N455" s="390" t="s">
        <v>295</v>
      </c>
      <c r="O455" s="390" t="s">
        <v>296</v>
      </c>
    </row>
    <row r="456" spans="2:15" ht="16.5" thickTop="1" x14ac:dyDescent="0.25">
      <c r="B456" s="333" t="s">
        <v>275</v>
      </c>
      <c r="C456" s="332" t="s">
        <v>276</v>
      </c>
      <c r="D456" s="332" t="s">
        <v>277</v>
      </c>
      <c r="E456" s="332" t="s">
        <v>278</v>
      </c>
      <c r="F456" s="332" t="s">
        <v>279</v>
      </c>
      <c r="G456" s="332" t="s">
        <v>280</v>
      </c>
      <c r="H456" s="332" t="s">
        <v>281</v>
      </c>
      <c r="I456" s="332" t="s">
        <v>282</v>
      </c>
      <c r="J456" s="332" t="s">
        <v>283</v>
      </c>
      <c r="K456" s="380" t="s">
        <v>284</v>
      </c>
      <c r="M456" t="s">
        <v>297</v>
      </c>
      <c r="N456" s="391">
        <v>0.05</v>
      </c>
    </row>
    <row r="457" spans="2:15" x14ac:dyDescent="0.25">
      <c r="B457" s="3" t="s">
        <v>285</v>
      </c>
      <c r="C457" s="1">
        <f>SQRT(E453*(1/C451+1/C452))</f>
        <v>0.12181696501147081</v>
      </c>
      <c r="D457" s="1">
        <f>(ABS(D451-D452-F449))/C457</f>
        <v>3.8648811328575698</v>
      </c>
      <c r="E457" s="1">
        <f>C451+C452-2</f>
        <v>38</v>
      </c>
      <c r="F457" s="1">
        <f>TDIST(D457,E457,1)</f>
        <v>2.1037040720997736E-4</v>
      </c>
      <c r="G457" s="1">
        <f>TINV(G455*2,E457)</f>
        <v>1.6859544601667387</v>
      </c>
      <c r="J457" s="327" t="str">
        <f>IF(F457&lt;G455,"yes","no")</f>
        <v>yes</v>
      </c>
      <c r="K457">
        <f>SQRT(D457^2/(D457^2+E457))</f>
        <v>0.5311965217977701</v>
      </c>
      <c r="M457" t="s">
        <v>294</v>
      </c>
      <c r="N457" s="392">
        <f>MIN(N453,O453)</f>
        <v>9</v>
      </c>
    </row>
    <row r="458" spans="2:15" x14ac:dyDescent="0.25">
      <c r="B458" s="3" t="s">
        <v>286</v>
      </c>
      <c r="C458" s="1">
        <f>C457</f>
        <v>0.12181696501147081</v>
      </c>
      <c r="D458" s="327">
        <f t="shared" ref="D458:E458" si="81">D457</f>
        <v>3.8648811328575698</v>
      </c>
      <c r="E458" s="327">
        <f t="shared" si="81"/>
        <v>38</v>
      </c>
      <c r="F458" s="1">
        <f>TDIST(D458,E458,2)</f>
        <v>4.2074081441995472E-4</v>
      </c>
      <c r="G458" s="1">
        <f>TINV(G455,E458)</f>
        <v>2.0243941639119702</v>
      </c>
      <c r="H458" s="1">
        <f>(D451-D452)-G458*C458</f>
        <v>0.22420253670011409</v>
      </c>
      <c r="I458" s="1">
        <f>(D451-D452)+G458*C458</f>
        <v>0.71741364276949438</v>
      </c>
      <c r="J458" s="327" t="str">
        <f>IF(F458&lt;G455,"yes","no")</f>
        <v>yes</v>
      </c>
      <c r="K458">
        <f>K457</f>
        <v>0.5311965217977701</v>
      </c>
      <c r="M458" t="s">
        <v>298</v>
      </c>
      <c r="N458" s="392">
        <f>N450*O450/2</f>
        <v>87.5</v>
      </c>
    </row>
    <row r="459" spans="2:15" x14ac:dyDescent="0.25">
      <c r="B459" s="335"/>
      <c r="C459" s="334"/>
      <c r="D459" s="334"/>
      <c r="E459" s="334"/>
      <c r="F459" s="334"/>
      <c r="G459" s="334"/>
      <c r="H459" s="334"/>
      <c r="I459" s="334"/>
      <c r="J459" s="334"/>
      <c r="K459" s="381"/>
      <c r="M459" t="s">
        <v>299</v>
      </c>
      <c r="N459" s="392">
        <v>22.598608704621956</v>
      </c>
      <c r="O459" t="s">
        <v>300</v>
      </c>
    </row>
    <row r="460" spans="2:15" ht="16.5" thickBot="1" x14ac:dyDescent="0.3">
      <c r="B460" s="3" t="s">
        <v>287</v>
      </c>
      <c r="F460" s="1" t="s">
        <v>274</v>
      </c>
      <c r="G460" s="1">
        <f>G455</f>
        <v>0.05</v>
      </c>
      <c r="M460" t="s">
        <v>19</v>
      </c>
      <c r="N460" s="392">
        <f>ABS(STANDARDIZE(N457,N458,N459))</f>
        <v>3.4736651723141199</v>
      </c>
    </row>
    <row r="461" spans="2:15" ht="16.5" thickTop="1" x14ac:dyDescent="0.25">
      <c r="B461" s="333" t="s">
        <v>275</v>
      </c>
      <c r="C461" s="332" t="s">
        <v>276</v>
      </c>
      <c r="D461" s="332" t="s">
        <v>277</v>
      </c>
      <c r="E461" s="332" t="s">
        <v>278</v>
      </c>
      <c r="F461" s="332" t="s">
        <v>279</v>
      </c>
      <c r="G461" s="332" t="s">
        <v>280</v>
      </c>
      <c r="H461" s="332" t="s">
        <v>281</v>
      </c>
      <c r="I461" s="332" t="s">
        <v>282</v>
      </c>
      <c r="J461" s="332" t="s">
        <v>283</v>
      </c>
      <c r="K461" s="380" t="s">
        <v>284</v>
      </c>
      <c r="M461" t="s">
        <v>284</v>
      </c>
      <c r="N461" s="392">
        <f>N460/SQRT(N450+O450)</f>
        <v>0.54923468866569425</v>
      </c>
    </row>
    <row r="462" spans="2:15" x14ac:dyDescent="0.25">
      <c r="B462" s="3" t="s">
        <v>285</v>
      </c>
      <c r="C462" s="1">
        <f>SQRT(E451/C451+E452/C452)</f>
        <v>9.281798389128236E-2</v>
      </c>
      <c r="D462" s="1">
        <f>(ABS(D451-D452-F449))/C462</f>
        <v>5.0723800496061351</v>
      </c>
      <c r="E462" s="1">
        <f>(E451/C451+E452/C452)^2/((E451/C451)^2/(C451-1)+(E452/C452)^2/(C452-1))</f>
        <v>6.6378041348909633</v>
      </c>
      <c r="F462" s="1">
        <f>TDIST(D462,ROUND(E462,0),1)</f>
        <v>7.216268766188635E-4</v>
      </c>
      <c r="G462" s="1">
        <f>TINV(G460*2,ROUND(E462,0))</f>
        <v>1.8945786050900073</v>
      </c>
      <c r="J462" s="327" t="str">
        <f>IF(F462&lt;G460,"yes","no")</f>
        <v>yes</v>
      </c>
      <c r="K462">
        <f>SQRT(D462^2/(D462^2+E462))</f>
        <v>0.89158265645170631</v>
      </c>
      <c r="M462" t="s">
        <v>301</v>
      </c>
      <c r="N462" s="391">
        <f>N458+N459*NORMSINV(N456)</f>
        <v>50.328596508145452</v>
      </c>
      <c r="O462" s="383">
        <f>N458+N459*NORMSINV(N456/2)</f>
        <v>43.207540838227608</v>
      </c>
    </row>
    <row r="463" spans="2:15" x14ac:dyDescent="0.25">
      <c r="B463" s="3" t="s">
        <v>286</v>
      </c>
      <c r="C463" s="1">
        <f>C462</f>
        <v>9.281798389128236E-2</v>
      </c>
      <c r="D463" s="327">
        <f t="shared" ref="D463:E463" si="82">D462</f>
        <v>5.0723800496061351</v>
      </c>
      <c r="E463" s="327">
        <f t="shared" si="82"/>
        <v>6.6378041348909633</v>
      </c>
      <c r="F463" s="1">
        <f>TDIST(D463,ROUND(E463,0),2)</f>
        <v>1.443253753237727E-3</v>
      </c>
      <c r="G463" s="1">
        <f>TINV(G460,ROUND(E463,0))</f>
        <v>2.3646242515927849</v>
      </c>
      <c r="H463" s="1">
        <f>(D451-D452)-G463*C463</f>
        <v>0.25132843404152955</v>
      </c>
      <c r="I463" s="1">
        <f>(D451-D452)+G463*C463</f>
        <v>0.69028774542807891</v>
      </c>
      <c r="J463" s="327" t="str">
        <f>IF(F463&lt;G460,"yes","no")</f>
        <v>yes</v>
      </c>
      <c r="K463">
        <f>K462</f>
        <v>0.89158265645170631</v>
      </c>
      <c r="M463" t="s">
        <v>279</v>
      </c>
      <c r="N463" s="392">
        <f>1-NORMSDIST(N460)</f>
        <v>2.5670063063387705E-4</v>
      </c>
      <c r="O463" s="387">
        <f>2*N463</f>
        <v>5.1340126126775409E-4</v>
      </c>
    </row>
    <row r="464" spans="2:15" x14ac:dyDescent="0.25">
      <c r="B464" s="335"/>
      <c r="C464" s="334"/>
      <c r="D464" s="334"/>
      <c r="E464" s="334"/>
      <c r="F464" s="334"/>
      <c r="G464" s="334"/>
      <c r="H464" s="334"/>
      <c r="I464" s="334"/>
      <c r="J464" s="334"/>
      <c r="K464" s="381"/>
      <c r="M464" t="s">
        <v>302</v>
      </c>
      <c r="N464" s="393" t="str">
        <f>IF(N463&lt;N456,"yes","no")</f>
        <v>yes</v>
      </c>
      <c r="O464" s="394" t="str">
        <f>IF(O463&lt;N456,"yes","no")</f>
        <v>yes</v>
      </c>
    </row>
    <row r="470" spans="2:15" x14ac:dyDescent="0.25">
      <c r="B470" s="349" t="s">
        <v>317</v>
      </c>
    </row>
    <row r="471" spans="2:15" x14ac:dyDescent="0.25">
      <c r="B471" s="3" t="s">
        <v>263</v>
      </c>
      <c r="M471" t="s">
        <v>288</v>
      </c>
    </row>
    <row r="473" spans="2:15" ht="16.5" thickBot="1" x14ac:dyDescent="0.3">
      <c r="B473" s="3" t="s">
        <v>264</v>
      </c>
      <c r="E473" s="1" t="s">
        <v>265</v>
      </c>
      <c r="F473" s="1">
        <v>0</v>
      </c>
      <c r="N473" t="s">
        <v>289</v>
      </c>
      <c r="O473" t="s">
        <v>290</v>
      </c>
    </row>
    <row r="474" spans="2:15" ht="16.5" thickTop="1" x14ac:dyDescent="0.25">
      <c r="B474" s="333" t="s">
        <v>266</v>
      </c>
      <c r="C474" s="332" t="s">
        <v>267</v>
      </c>
      <c r="D474" s="332" t="s">
        <v>117</v>
      </c>
      <c r="E474" s="332" t="s">
        <v>268</v>
      </c>
      <c r="F474" s="332" t="s">
        <v>269</v>
      </c>
      <c r="M474" t="s">
        <v>291</v>
      </c>
      <c r="N474" s="382">
        <f>COUNT(R196:R200)</f>
        <v>5</v>
      </c>
      <c r="O474" s="383">
        <f>COUNT(R214:R248)</f>
        <v>33</v>
      </c>
    </row>
    <row r="475" spans="2:15" x14ac:dyDescent="0.25">
      <c r="B475" s="3" t="s">
        <v>270</v>
      </c>
      <c r="C475" s="1">
        <f>COUNT(R196:R200)</f>
        <v>5</v>
      </c>
      <c r="D475" s="1">
        <f>AVERAGE(R196:R200)</f>
        <v>2.5285096806386491</v>
      </c>
      <c r="E475" s="1">
        <f>VAR(R196:R200)</f>
        <v>8.1964048129204194E-3</v>
      </c>
      <c r="M475" t="s">
        <v>292</v>
      </c>
      <c r="N475" s="386">
        <f>MEDIAN(R196:R200)</f>
        <v>2.5185139398778875</v>
      </c>
      <c r="O475" s="385">
        <f>MEDIAN(R214:R248)</f>
        <v>2.255272505103306</v>
      </c>
    </row>
    <row r="476" spans="2:15" x14ac:dyDescent="0.25">
      <c r="B476" s="3" t="s">
        <v>271</v>
      </c>
      <c r="C476" s="1">
        <f>COUNT(R214:R248)</f>
        <v>33</v>
      </c>
      <c r="D476" s="379">
        <f>AVERAGE(R214:R248)</f>
        <v>2.2183173269928234</v>
      </c>
      <c r="E476" s="1">
        <f>VAR(R214:R248)</f>
        <v>5.6473249556548311E-2</v>
      </c>
      <c r="M476" t="s">
        <v>293</v>
      </c>
      <c r="N476" s="386">
        <v>166.5</v>
      </c>
      <c r="O476" s="387">
        <v>574.5</v>
      </c>
    </row>
    <row r="477" spans="2:15" x14ac:dyDescent="0.25">
      <c r="B477" s="335" t="s">
        <v>272</v>
      </c>
      <c r="C477" s="334"/>
      <c r="D477" s="334"/>
      <c r="E477" s="334">
        <f>((C475-1)*E475+(C476-1)*E476)/(C475+C476-2)</f>
        <v>5.1109155696145214E-2</v>
      </c>
      <c r="F477" s="334">
        <f>ABS(D475-D476-F473)/SQRT(E477)</f>
        <v>1.3720872691649493</v>
      </c>
      <c r="M477" t="s">
        <v>294</v>
      </c>
      <c r="N477" s="388">
        <f>N474*O474+N474*(N474+1)/2-N476</f>
        <v>13.5</v>
      </c>
      <c r="O477" s="389">
        <f>N474*O474+O474*(O474+1)/2-O476</f>
        <v>151.5</v>
      </c>
    </row>
    <row r="479" spans="2:15" ht="16.5" thickBot="1" x14ac:dyDescent="0.3">
      <c r="B479" s="3" t="s">
        <v>273</v>
      </c>
      <c r="F479" s="1" t="s">
        <v>274</v>
      </c>
      <c r="G479" s="1">
        <v>0.05</v>
      </c>
      <c r="N479" s="390" t="s">
        <v>295</v>
      </c>
      <c r="O479" s="390" t="s">
        <v>296</v>
      </c>
    </row>
    <row r="480" spans="2:15" ht="16.5" thickTop="1" x14ac:dyDescent="0.25">
      <c r="B480" s="333" t="s">
        <v>275</v>
      </c>
      <c r="C480" s="332" t="s">
        <v>276</v>
      </c>
      <c r="D480" s="332" t="s">
        <v>277</v>
      </c>
      <c r="E480" s="332" t="s">
        <v>278</v>
      </c>
      <c r="F480" s="332" t="s">
        <v>279</v>
      </c>
      <c r="G480" s="332" t="s">
        <v>280</v>
      </c>
      <c r="H480" s="332" t="s">
        <v>281</v>
      </c>
      <c r="I480" s="332" t="s">
        <v>282</v>
      </c>
      <c r="J480" s="332" t="s">
        <v>283</v>
      </c>
      <c r="K480" s="380" t="s">
        <v>284</v>
      </c>
      <c r="M480" t="s">
        <v>297</v>
      </c>
      <c r="N480" s="391">
        <v>0.05</v>
      </c>
    </row>
    <row r="481" spans="2:15" x14ac:dyDescent="0.25">
      <c r="B481" s="3" t="s">
        <v>285</v>
      </c>
      <c r="C481" s="1">
        <f>SQRT(E477*(1/C475+1/C476))</f>
        <v>0.10849236578235183</v>
      </c>
      <c r="D481" s="1">
        <f>(ABS(D475-D476-F473))/C481</f>
        <v>2.8591168734222951</v>
      </c>
      <c r="E481" s="1">
        <f>C475+C476-2</f>
        <v>36</v>
      </c>
      <c r="F481" s="1">
        <f>TDIST(D481,E481,1)</f>
        <v>3.5119953859308784E-3</v>
      </c>
      <c r="G481" s="1">
        <f>TINV(G479*2,E481)</f>
        <v>1.6882977141168172</v>
      </c>
      <c r="J481" s="327" t="str">
        <f>IF(F481&lt;G479,"yes","no")</f>
        <v>yes</v>
      </c>
      <c r="K481">
        <f>SQRT(D481^2/(D481^2+E481))</f>
        <v>0.430175671179028</v>
      </c>
      <c r="M481" t="s">
        <v>294</v>
      </c>
      <c r="N481" s="392">
        <f>MIN(N477,O477)</f>
        <v>13.5</v>
      </c>
    </row>
    <row r="482" spans="2:15" x14ac:dyDescent="0.25">
      <c r="B482" s="3" t="s">
        <v>286</v>
      </c>
      <c r="C482" s="1">
        <f>C481</f>
        <v>0.10849236578235183</v>
      </c>
      <c r="D482" s="327">
        <f t="shared" ref="D482:E482" si="83">D481</f>
        <v>2.8591168734222951</v>
      </c>
      <c r="E482" s="327">
        <f t="shared" si="83"/>
        <v>36</v>
      </c>
      <c r="F482" s="1">
        <f>TDIST(D482,E482,2)</f>
        <v>7.0239907718617567E-3</v>
      </c>
      <c r="G482" s="1">
        <f>TINV(G479,E482)</f>
        <v>2.028094000980452</v>
      </c>
      <c r="H482" s="1">
        <f>(D475-D476)-G482*C482</f>
        <v>9.0159637450461155E-2</v>
      </c>
      <c r="I482" s="1">
        <f>(D475-D476)+G482*C482</f>
        <v>0.53022506984119033</v>
      </c>
      <c r="J482" s="327" t="str">
        <f>IF(F482&lt;G479,"yes","no")</f>
        <v>yes</v>
      </c>
      <c r="K482">
        <f>K481</f>
        <v>0.430175671179028</v>
      </c>
      <c r="M482" t="s">
        <v>298</v>
      </c>
      <c r="N482" s="392">
        <f>N474*O474/2</f>
        <v>82.5</v>
      </c>
    </row>
    <row r="483" spans="2:15" x14ac:dyDescent="0.25">
      <c r="B483" s="335"/>
      <c r="C483" s="334"/>
      <c r="D483" s="334"/>
      <c r="E483" s="334"/>
      <c r="F483" s="334"/>
      <c r="G483" s="334"/>
      <c r="H483" s="334"/>
      <c r="I483" s="334"/>
      <c r="J483" s="334"/>
      <c r="K483" s="381"/>
      <c r="M483" t="s">
        <v>299</v>
      </c>
      <c r="N483" s="392">
        <v>23.130451377758142</v>
      </c>
      <c r="O483" t="s">
        <v>300</v>
      </c>
    </row>
    <row r="484" spans="2:15" ht="16.5" thickBot="1" x14ac:dyDescent="0.3">
      <c r="B484" s="3" t="s">
        <v>287</v>
      </c>
      <c r="F484" s="1" t="s">
        <v>274</v>
      </c>
      <c r="G484" s="1">
        <f>G479</f>
        <v>0.05</v>
      </c>
      <c r="M484" t="s">
        <v>19</v>
      </c>
      <c r="N484" s="392">
        <f>ABS(STANDARDIZE(N481,N482,N483))</f>
        <v>2.9830805665275193</v>
      </c>
    </row>
    <row r="485" spans="2:15" ht="16.5" thickTop="1" x14ac:dyDescent="0.25">
      <c r="B485" s="333" t="s">
        <v>275</v>
      </c>
      <c r="C485" s="332" t="s">
        <v>276</v>
      </c>
      <c r="D485" s="332" t="s">
        <v>277</v>
      </c>
      <c r="E485" s="332" t="s">
        <v>278</v>
      </c>
      <c r="F485" s="332" t="s">
        <v>279</v>
      </c>
      <c r="G485" s="332" t="s">
        <v>280</v>
      </c>
      <c r="H485" s="332" t="s">
        <v>281</v>
      </c>
      <c r="I485" s="332" t="s">
        <v>282</v>
      </c>
      <c r="J485" s="332" t="s">
        <v>283</v>
      </c>
      <c r="K485" s="380" t="s">
        <v>284</v>
      </c>
      <c r="M485" t="s">
        <v>284</v>
      </c>
      <c r="N485" s="392">
        <f>N484/SQRT(N474+O474)</f>
        <v>0.48391956884965442</v>
      </c>
    </row>
    <row r="486" spans="2:15" x14ac:dyDescent="0.25">
      <c r="B486" s="3" t="s">
        <v>285</v>
      </c>
      <c r="C486" s="1">
        <f>SQRT(E475/C475+E476/C476)</f>
        <v>5.7884294547025102E-2</v>
      </c>
      <c r="D486" s="1">
        <f>(ABS(D475-D476-F473))/C486</f>
        <v>5.3588344830535339</v>
      </c>
      <c r="E486" s="1">
        <f>(E475/C475+E476/C476)^2/((E475/C475)^2/(C475-1)+(E476/C476)^2/(C476-1))</f>
        <v>14.707245760380161</v>
      </c>
      <c r="F486" s="1">
        <f>TDIST(D486,ROUND(E486,0),1)</f>
        <v>3.9823957722162882E-5</v>
      </c>
      <c r="G486" s="1">
        <f>TINV(G484*2,ROUND(E486,0))</f>
        <v>1.7530503556925723</v>
      </c>
      <c r="J486" s="327" t="str">
        <f>IF(F486&lt;G484,"yes","no")</f>
        <v>yes</v>
      </c>
      <c r="K486">
        <f>SQRT(D486^2/(D486^2+E486))</f>
        <v>0.8132117895807961</v>
      </c>
      <c r="M486" t="s">
        <v>301</v>
      </c>
      <c r="N486" s="391">
        <f>N482+N483*NORMSINV(N480)</f>
        <v>44.453793158269832</v>
      </c>
      <c r="O486" s="383">
        <f>N482+N483*NORMSINV(N480/2)</f>
        <v>37.165148353439172</v>
      </c>
    </row>
    <row r="487" spans="2:15" x14ac:dyDescent="0.25">
      <c r="B487" s="3" t="s">
        <v>286</v>
      </c>
      <c r="C487" s="1">
        <f>C486</f>
        <v>5.7884294547025102E-2</v>
      </c>
      <c r="D487" s="327">
        <f t="shared" ref="D487:E487" si="84">D486</f>
        <v>5.3588344830535339</v>
      </c>
      <c r="E487" s="327">
        <f t="shared" si="84"/>
        <v>14.707245760380161</v>
      </c>
      <c r="F487" s="1">
        <f>TDIST(D487,ROUND(E487,0),2)</f>
        <v>7.9647915444325764E-5</v>
      </c>
      <c r="G487" s="1">
        <f>TINV(G484,ROUND(E487,0))</f>
        <v>2.1314495455597742</v>
      </c>
      <c r="H487" s="1">
        <f>(D475-D476)-G487*C487</f>
        <v>0.18681490033852099</v>
      </c>
      <c r="I487" s="1">
        <f>(D475-D476)+G487*C487</f>
        <v>0.43356980695313052</v>
      </c>
      <c r="J487" s="327" t="str">
        <f>IF(F487&lt;G484,"yes","no")</f>
        <v>yes</v>
      </c>
      <c r="K487">
        <f>K486</f>
        <v>0.8132117895807961</v>
      </c>
      <c r="M487" t="s">
        <v>279</v>
      </c>
      <c r="N487" s="392">
        <f>1-NORMSDIST(N484)</f>
        <v>1.4268143301251479E-3</v>
      </c>
      <c r="O487" s="387">
        <f>2*N487</f>
        <v>2.8536286602502958E-3</v>
      </c>
    </row>
    <row r="488" spans="2:15" x14ac:dyDescent="0.25">
      <c r="B488" s="335"/>
      <c r="C488" s="334"/>
      <c r="D488" s="334"/>
      <c r="E488" s="334"/>
      <c r="F488" s="334"/>
      <c r="G488" s="334"/>
      <c r="H488" s="334"/>
      <c r="I488" s="334"/>
      <c r="J488" s="334"/>
      <c r="K488" s="381"/>
      <c r="M488" t="s">
        <v>302</v>
      </c>
      <c r="N488" s="393" t="str">
        <f>IF(N487&lt;N480,"yes","no")</f>
        <v>yes</v>
      </c>
      <c r="O488" s="394" t="str">
        <f>IF(O487&lt;N480,"yes","no")</f>
        <v>yes</v>
      </c>
    </row>
    <row r="495" spans="2:15" x14ac:dyDescent="0.25">
      <c r="B495" s="349" t="s">
        <v>318</v>
      </c>
    </row>
    <row r="496" spans="2:15" x14ac:dyDescent="0.25">
      <c r="B496" s="3" t="s">
        <v>263</v>
      </c>
      <c r="M496" t="s">
        <v>288</v>
      </c>
    </row>
    <row r="498" spans="2:15" ht="16.5" thickBot="1" x14ac:dyDescent="0.3">
      <c r="B498" s="3" t="s">
        <v>264</v>
      </c>
      <c r="E498" s="1" t="s">
        <v>265</v>
      </c>
      <c r="F498" s="1">
        <v>0</v>
      </c>
      <c r="N498" t="s">
        <v>289</v>
      </c>
      <c r="O498" t="s">
        <v>290</v>
      </c>
    </row>
    <row r="499" spans="2:15" ht="16.5" thickTop="1" x14ac:dyDescent="0.25">
      <c r="B499" s="333" t="s">
        <v>266</v>
      </c>
      <c r="C499" s="332" t="s">
        <v>267</v>
      </c>
      <c r="D499" s="332" t="s">
        <v>117</v>
      </c>
      <c r="E499" s="332" t="s">
        <v>268</v>
      </c>
      <c r="F499" s="332" t="s">
        <v>269</v>
      </c>
      <c r="M499" t="s">
        <v>291</v>
      </c>
      <c r="N499" s="382">
        <f>COUNT(S196:S200)</f>
        <v>5</v>
      </c>
      <c r="O499" s="383">
        <f>COUNT(S214:S248)</f>
        <v>32</v>
      </c>
    </row>
    <row r="500" spans="2:15" x14ac:dyDescent="0.25">
      <c r="B500" s="3" t="s">
        <v>270</v>
      </c>
      <c r="C500" s="1">
        <f>COUNT(S196:S200)</f>
        <v>5</v>
      </c>
      <c r="D500" s="1">
        <f>AVERAGE(S196:S200)</f>
        <v>1.9286599318862314</v>
      </c>
      <c r="E500" s="1">
        <f>VAR(S196:S200)</f>
        <v>2.604715038127061E-2</v>
      </c>
      <c r="M500" t="s">
        <v>292</v>
      </c>
      <c r="N500" s="386">
        <f>MEDIAN(S196:S200)</f>
        <v>1.8512583487190752</v>
      </c>
      <c r="O500" s="385">
        <f>MEDIAN(S214:S248)</f>
        <v>1.3975922948412118</v>
      </c>
    </row>
    <row r="501" spans="2:15" x14ac:dyDescent="0.25">
      <c r="B501" s="3" t="s">
        <v>271</v>
      </c>
      <c r="C501" s="1">
        <f>COUNT(S214:S248)</f>
        <v>32</v>
      </c>
      <c r="D501" s="379">
        <f>AVERAGE(S214:S248)</f>
        <v>1.3142407938598255</v>
      </c>
      <c r="E501" s="1">
        <f>VAR(S214:S248)</f>
        <v>0.10160279973329749</v>
      </c>
      <c r="M501" t="s">
        <v>293</v>
      </c>
      <c r="N501" s="386">
        <v>173</v>
      </c>
      <c r="O501" s="387">
        <v>530</v>
      </c>
    </row>
    <row r="502" spans="2:15" x14ac:dyDescent="0.25">
      <c r="B502" s="335" t="s">
        <v>272</v>
      </c>
      <c r="C502" s="334"/>
      <c r="D502" s="334"/>
      <c r="E502" s="334">
        <f>((C500-1)*E500+(C501-1)*E501)/(C500+C501-2)</f>
        <v>9.2967868378780127E-2</v>
      </c>
      <c r="F502" s="334">
        <f>ABS(D500-D501-F498)/SQRT(E502)</f>
        <v>2.0151078648594716</v>
      </c>
      <c r="M502" t="s">
        <v>294</v>
      </c>
      <c r="N502" s="388">
        <f>N499*O499+N499*(N499+1)/2-N501</f>
        <v>2</v>
      </c>
      <c r="O502" s="389">
        <f>N499*O499+O499*(O499+1)/2-O501</f>
        <v>158</v>
      </c>
    </row>
    <row r="504" spans="2:15" ht="16.5" thickBot="1" x14ac:dyDescent="0.3">
      <c r="B504" s="3" t="s">
        <v>273</v>
      </c>
      <c r="F504" s="1" t="s">
        <v>274</v>
      </c>
      <c r="G504" s="1">
        <v>0.05</v>
      </c>
      <c r="N504" s="390" t="s">
        <v>295</v>
      </c>
      <c r="O504" s="390" t="s">
        <v>296</v>
      </c>
    </row>
    <row r="505" spans="2:15" ht="16.5" thickTop="1" x14ac:dyDescent="0.25">
      <c r="B505" s="333" t="s">
        <v>275</v>
      </c>
      <c r="C505" s="332" t="s">
        <v>276</v>
      </c>
      <c r="D505" s="332" t="s">
        <v>277</v>
      </c>
      <c r="E505" s="332" t="s">
        <v>278</v>
      </c>
      <c r="F505" s="332" t="s">
        <v>279</v>
      </c>
      <c r="G505" s="332" t="s">
        <v>280</v>
      </c>
      <c r="H505" s="332" t="s">
        <v>281</v>
      </c>
      <c r="I505" s="332" t="s">
        <v>282</v>
      </c>
      <c r="J505" s="332" t="s">
        <v>283</v>
      </c>
      <c r="K505" s="380" t="s">
        <v>284</v>
      </c>
      <c r="M505" t="s">
        <v>297</v>
      </c>
      <c r="N505" s="391">
        <v>0.05</v>
      </c>
    </row>
    <row r="506" spans="2:15" x14ac:dyDescent="0.25">
      <c r="B506" s="3" t="s">
        <v>285</v>
      </c>
      <c r="C506" s="1">
        <f>SQRT(E502*(1/C500+1/C501))</f>
        <v>0.14662475767275085</v>
      </c>
      <c r="D506" s="1">
        <f>(ABS(D500-D501-F498))/C506</f>
        <v>4.1904187790558325</v>
      </c>
      <c r="E506" s="1">
        <f>C500+C501-2</f>
        <v>35</v>
      </c>
      <c r="F506" s="1">
        <f>TDIST(D506,E506,1)</f>
        <v>8.9670085259651797E-5</v>
      </c>
      <c r="G506" s="1">
        <f>TINV(G504*2,E506)</f>
        <v>1.6895724577802647</v>
      </c>
      <c r="J506" s="327" t="str">
        <f>IF(F506&lt;G504,"yes","no")</f>
        <v>yes</v>
      </c>
      <c r="K506">
        <f>SQRT(D506^2/(D506^2+E506))</f>
        <v>0.57800468981194675</v>
      </c>
      <c r="M506" t="s">
        <v>294</v>
      </c>
      <c r="N506" s="392">
        <f>MIN(N502,O502)</f>
        <v>2</v>
      </c>
    </row>
    <row r="507" spans="2:15" x14ac:dyDescent="0.25">
      <c r="B507" s="3" t="s">
        <v>286</v>
      </c>
      <c r="C507" s="1">
        <f>C506</f>
        <v>0.14662475767275085</v>
      </c>
      <c r="D507" s="327">
        <f t="shared" ref="D507:E507" si="85">D506</f>
        <v>4.1904187790558325</v>
      </c>
      <c r="E507" s="327">
        <f t="shared" si="85"/>
        <v>35</v>
      </c>
      <c r="F507" s="1">
        <f>TDIST(D507,E507,2)</f>
        <v>1.7934017051930359E-4</v>
      </c>
      <c r="G507" s="1">
        <f>TINV(G504,E507)</f>
        <v>2.0301079282503438</v>
      </c>
      <c r="H507" s="1">
        <f>(D500-D501)-G507*C507</f>
        <v>0.31675505499716899</v>
      </c>
      <c r="I507" s="1">
        <f>(D500-D501)+G507*C507</f>
        <v>0.91208322105564288</v>
      </c>
      <c r="J507" s="327" t="str">
        <f>IF(F507&lt;G504,"yes","no")</f>
        <v>yes</v>
      </c>
      <c r="K507">
        <f>K506</f>
        <v>0.57800468981194675</v>
      </c>
      <c r="M507" t="s">
        <v>298</v>
      </c>
      <c r="N507" s="392">
        <f>N499*O499/2</f>
        <v>80</v>
      </c>
    </row>
    <row r="508" spans="2:15" x14ac:dyDescent="0.25">
      <c r="B508" s="335"/>
      <c r="C508" s="334"/>
      <c r="D508" s="334"/>
      <c r="E508" s="334"/>
      <c r="F508" s="334"/>
      <c r="G508" s="334"/>
      <c r="H508" s="334"/>
      <c r="I508" s="334"/>
      <c r="J508" s="334"/>
      <c r="K508" s="381"/>
      <c r="M508" t="s">
        <v>299</v>
      </c>
      <c r="N508" s="392">
        <v>22.493242228410427</v>
      </c>
      <c r="O508" t="s">
        <v>300</v>
      </c>
    </row>
    <row r="509" spans="2:15" ht="16.5" thickBot="1" x14ac:dyDescent="0.3">
      <c r="B509" s="3" t="s">
        <v>287</v>
      </c>
      <c r="F509" s="1" t="s">
        <v>274</v>
      </c>
      <c r="G509" s="1">
        <f>G504</f>
        <v>0.05</v>
      </c>
      <c r="M509" t="s">
        <v>19</v>
      </c>
      <c r="N509" s="392">
        <f>ABS(STANDARDIZE(N506,N507,N508))</f>
        <v>3.46770817687994</v>
      </c>
    </row>
    <row r="510" spans="2:15" ht="16.5" thickTop="1" x14ac:dyDescent="0.25">
      <c r="B510" s="333" t="s">
        <v>275</v>
      </c>
      <c r="C510" s="332" t="s">
        <v>276</v>
      </c>
      <c r="D510" s="332" t="s">
        <v>277</v>
      </c>
      <c r="E510" s="332" t="s">
        <v>278</v>
      </c>
      <c r="F510" s="332" t="s">
        <v>279</v>
      </c>
      <c r="G510" s="332" t="s">
        <v>280</v>
      </c>
      <c r="H510" s="332" t="s">
        <v>281</v>
      </c>
      <c r="I510" s="332" t="s">
        <v>282</v>
      </c>
      <c r="J510" s="332" t="s">
        <v>283</v>
      </c>
      <c r="K510" s="380" t="s">
        <v>284</v>
      </c>
      <c r="M510" t="s">
        <v>284</v>
      </c>
      <c r="N510" s="392">
        <f>N509/SQRT(N499+O499)</f>
        <v>0.57008771254956891</v>
      </c>
    </row>
    <row r="511" spans="2:15" x14ac:dyDescent="0.25">
      <c r="B511" s="3" t="s">
        <v>285</v>
      </c>
      <c r="C511" s="1">
        <f>SQRT(E500/C500+E501/C501)</f>
        <v>9.1567011351903746E-2</v>
      </c>
      <c r="D511" s="1">
        <f>(ABS(D500-D501-F498))/C511</f>
        <v>6.7100490553864915</v>
      </c>
      <c r="E511" s="1">
        <f>(E500/C500+E501/C501)^2/((E500/C500)^2/(C500-1)+(E501/C501)^2/(C501-1))</f>
        <v>9.8878632398450748</v>
      </c>
      <c r="F511" s="1">
        <f>TDIST(D511,ROUND(E511,0),1)</f>
        <v>2.6490158159996366E-5</v>
      </c>
      <c r="G511" s="1">
        <f>TINV(G509*2,ROUND(E511,0))</f>
        <v>1.812461122811676</v>
      </c>
      <c r="J511" s="327" t="str">
        <f>IF(F511&lt;G509,"yes","no")</f>
        <v>yes</v>
      </c>
      <c r="K511">
        <f>SQRT(D511^2/(D511^2+E511))</f>
        <v>0.90550240125465131</v>
      </c>
      <c r="M511" t="s">
        <v>301</v>
      </c>
      <c r="N511" s="391">
        <f>N507+N508*NORMSINV(N505)</f>
        <v>43.001908938701085</v>
      </c>
      <c r="O511" s="383">
        <f>N507+N508*NORMSINV(N505/2)</f>
        <v>35.914055336780102</v>
      </c>
    </row>
    <row r="512" spans="2:15" x14ac:dyDescent="0.25">
      <c r="B512" s="3" t="s">
        <v>286</v>
      </c>
      <c r="C512" s="1">
        <f>C511</f>
        <v>9.1567011351903746E-2</v>
      </c>
      <c r="D512" s="327">
        <f t="shared" ref="D512:E512" si="86">D511</f>
        <v>6.7100490553864915</v>
      </c>
      <c r="E512" s="327">
        <f t="shared" si="86"/>
        <v>9.8878632398450748</v>
      </c>
      <c r="F512" s="1">
        <f>TDIST(D512,ROUND(E512,0),2)</f>
        <v>5.2980316319992732E-5</v>
      </c>
      <c r="G512" s="1">
        <f>TINV(G509,ROUND(E512,0))</f>
        <v>2.2281388519862744</v>
      </c>
      <c r="H512" s="1">
        <f>(D500-D501)-G512*C512</f>
        <v>0.41039512247296095</v>
      </c>
      <c r="I512" s="1">
        <f>(D500-D501)+G512*C512</f>
        <v>0.81844315357985087</v>
      </c>
      <c r="J512" s="327" t="str">
        <f>IF(F512&lt;G509,"yes","no")</f>
        <v>yes</v>
      </c>
      <c r="K512">
        <f>K511</f>
        <v>0.90550240125465131</v>
      </c>
      <c r="M512" t="s">
        <v>279</v>
      </c>
      <c r="N512" s="392">
        <f>1-NORMSDIST(N509)</f>
        <v>2.6245849313966119E-4</v>
      </c>
      <c r="O512" s="387">
        <f>2*N512</f>
        <v>5.2491698627932237E-4</v>
      </c>
    </row>
    <row r="513" spans="2:15" x14ac:dyDescent="0.25">
      <c r="B513" s="335"/>
      <c r="C513" s="334"/>
      <c r="D513" s="334"/>
      <c r="E513" s="334"/>
      <c r="F513" s="334"/>
      <c r="G513" s="334"/>
      <c r="H513" s="334"/>
      <c r="I513" s="334"/>
      <c r="J513" s="334"/>
      <c r="K513" s="381"/>
      <c r="M513" t="s">
        <v>302</v>
      </c>
      <c r="N513" s="393" t="str">
        <f>IF(N512&lt;N505,"yes","no")</f>
        <v>yes</v>
      </c>
      <c r="O513" s="394" t="str">
        <f>IF(O512&lt;N505,"yes","no")</f>
        <v>yes</v>
      </c>
    </row>
  </sheetData>
  <sheetProtection algorithmName="SHA-512" hashValue="ZgouVxdipKH5t3lOJKR02e9iLI4hMtCwcJ5nSt3a4A8Pk0IgXSS4fRceWk8cWZwbqH3JncuKHkT6H6qDdFwqeQ==" saltValue="8A1saZ7gQxZg2iB0yOo/QQ==" spinCount="100000" sheet="1" scenarios="1"/>
  <sortState ref="C4:S178">
    <sortCondition ref="C4:C178"/>
  </sortState>
  <mergeCells count="20">
    <mergeCell ref="E212:K212"/>
    <mergeCell ref="M212:S212"/>
    <mergeCell ref="A191:T191"/>
    <mergeCell ref="A211:S211"/>
    <mergeCell ref="E4:K4"/>
    <mergeCell ref="M4:S4"/>
    <mergeCell ref="B261:S261"/>
    <mergeCell ref="A3:T3"/>
    <mergeCell ref="AF4:AL4"/>
    <mergeCell ref="B251:B256"/>
    <mergeCell ref="D251:K251"/>
    <mergeCell ref="L251:S251"/>
    <mergeCell ref="D182:K182"/>
    <mergeCell ref="L182:S182"/>
    <mergeCell ref="B183:B187"/>
    <mergeCell ref="B202:B207"/>
    <mergeCell ref="D202:K202"/>
    <mergeCell ref="L202:S202"/>
    <mergeCell ref="E192:K192"/>
    <mergeCell ref="M192:S192"/>
  </mergeCells>
  <pageMargins left="0.7" right="0.7" top="0.75" bottom="0.75" header="0.3" footer="0.3"/>
  <pageSetup orientation="portrait" verticalDpi="597"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249977111117893"/>
    <pageSetUpPr fitToPage="1"/>
  </sheetPr>
  <dimension ref="A1:M38"/>
  <sheetViews>
    <sheetView topLeftCell="A29" workbookViewId="0">
      <selection activeCell="T7" sqref="T7"/>
    </sheetView>
  </sheetViews>
  <sheetFormatPr defaultRowHeight="15" x14ac:dyDescent="0.25"/>
  <cols>
    <col min="1" max="1" width="26.7109375" customWidth="1"/>
  </cols>
  <sheetData>
    <row r="1" spans="1:13" ht="27" customHeight="1" x14ac:dyDescent="0.3">
      <c r="A1" s="31" t="s">
        <v>217</v>
      </c>
      <c r="J1" s="30"/>
    </row>
    <row r="2" spans="1:13" ht="18.75" x14ac:dyDescent="0.3">
      <c r="A2" s="31"/>
      <c r="D2" s="442" t="s">
        <v>218</v>
      </c>
      <c r="E2" s="442"/>
      <c r="F2" s="442"/>
      <c r="G2" s="442"/>
      <c r="H2" s="442"/>
      <c r="I2" s="442"/>
      <c r="J2" s="442"/>
      <c r="K2" s="442"/>
      <c r="M2" s="326" t="s">
        <v>253</v>
      </c>
    </row>
    <row r="3" spans="1:13" x14ac:dyDescent="0.25">
      <c r="A3" t="s">
        <v>105</v>
      </c>
      <c r="C3" s="33" t="s">
        <v>254</v>
      </c>
      <c r="D3" s="10" t="s">
        <v>7</v>
      </c>
      <c r="E3" s="10" t="s">
        <v>1</v>
      </c>
      <c r="F3" s="10" t="s">
        <v>2</v>
      </c>
      <c r="G3" s="10" t="s">
        <v>3</v>
      </c>
      <c r="H3" s="10" t="s">
        <v>4</v>
      </c>
      <c r="I3" s="10" t="s">
        <v>5</v>
      </c>
      <c r="J3" s="10" t="s">
        <v>6</v>
      </c>
      <c r="K3" s="10" t="s">
        <v>97</v>
      </c>
    </row>
    <row r="4" spans="1:13" x14ac:dyDescent="0.25">
      <c r="A4" t="s">
        <v>133</v>
      </c>
      <c r="B4" s="3">
        <v>42493</v>
      </c>
      <c r="C4" s="29">
        <v>167</v>
      </c>
      <c r="D4" s="1">
        <v>14000</v>
      </c>
      <c r="E4" s="1">
        <v>0.12</v>
      </c>
      <c r="F4" s="1">
        <v>17</v>
      </c>
      <c r="G4" s="1">
        <v>71000</v>
      </c>
      <c r="H4" s="1">
        <v>140</v>
      </c>
      <c r="I4" s="1">
        <v>430</v>
      </c>
      <c r="J4" s="1">
        <v>110</v>
      </c>
      <c r="K4" s="37">
        <v>26</v>
      </c>
    </row>
    <row r="5" spans="1:13" x14ac:dyDescent="0.25">
      <c r="A5" s="30" t="s">
        <v>98</v>
      </c>
      <c r="B5" s="3">
        <v>42501</v>
      </c>
      <c r="C5" s="29">
        <v>289</v>
      </c>
      <c r="D5" s="1">
        <v>16000</v>
      </c>
      <c r="E5" s="1">
        <v>0.32</v>
      </c>
      <c r="F5" s="1">
        <v>43</v>
      </c>
      <c r="G5" s="1">
        <v>45000</v>
      </c>
      <c r="H5" s="1">
        <v>78</v>
      </c>
      <c r="I5" s="1">
        <v>610</v>
      </c>
      <c r="J5" s="1">
        <v>190</v>
      </c>
      <c r="K5" s="37">
        <v>13</v>
      </c>
    </row>
    <row r="6" spans="1:13" x14ac:dyDescent="0.25">
      <c r="B6" s="3">
        <v>42509</v>
      </c>
      <c r="C6" s="29">
        <v>356</v>
      </c>
      <c r="D6" s="1">
        <v>12000</v>
      </c>
      <c r="E6" s="1">
        <v>1.4</v>
      </c>
      <c r="F6" s="1">
        <v>120</v>
      </c>
      <c r="G6" s="1">
        <v>56000</v>
      </c>
      <c r="H6" s="1">
        <v>330</v>
      </c>
      <c r="I6" s="1">
        <v>1000</v>
      </c>
      <c r="J6" s="1">
        <v>510</v>
      </c>
      <c r="K6" s="37">
        <v>28</v>
      </c>
    </row>
    <row r="7" spans="1:13" x14ac:dyDescent="0.25">
      <c r="B7" s="3">
        <v>42516</v>
      </c>
      <c r="C7" s="29">
        <v>734</v>
      </c>
      <c r="D7" s="1">
        <v>13000</v>
      </c>
      <c r="E7" s="1">
        <v>1.3</v>
      </c>
      <c r="F7" s="1">
        <v>41</v>
      </c>
      <c r="G7" s="1">
        <v>120000</v>
      </c>
      <c r="H7" s="1">
        <v>130</v>
      </c>
      <c r="I7" s="1">
        <v>2400</v>
      </c>
      <c r="J7" s="1">
        <v>550</v>
      </c>
      <c r="K7" s="37">
        <v>50</v>
      </c>
    </row>
    <row r="8" spans="1:13" x14ac:dyDescent="0.25">
      <c r="B8" s="3">
        <v>42522</v>
      </c>
      <c r="C8" s="29">
        <v>1140</v>
      </c>
      <c r="D8" s="1">
        <v>15000</v>
      </c>
      <c r="E8" s="1">
        <v>2.2999999999999998</v>
      </c>
      <c r="F8" s="1">
        <v>150</v>
      </c>
      <c r="G8" s="1">
        <v>64000</v>
      </c>
      <c r="H8" s="1">
        <v>490</v>
      </c>
      <c r="I8" s="1">
        <v>2400</v>
      </c>
      <c r="J8" s="1">
        <v>700</v>
      </c>
      <c r="K8" s="37">
        <v>33</v>
      </c>
    </row>
    <row r="9" spans="1:13" x14ac:dyDescent="0.25">
      <c r="B9" s="3">
        <v>42527.527777777781</v>
      </c>
      <c r="C9" s="29">
        <v>2010</v>
      </c>
      <c r="D9" s="1">
        <v>9700</v>
      </c>
      <c r="E9" s="1">
        <v>4.0999999999999996</v>
      </c>
      <c r="F9" s="1">
        <v>180</v>
      </c>
      <c r="G9" s="1">
        <v>53000</v>
      </c>
      <c r="H9" s="1">
        <v>740</v>
      </c>
      <c r="I9" s="1">
        <v>2600</v>
      </c>
      <c r="J9" s="1">
        <v>990</v>
      </c>
    </row>
    <row r="10" spans="1:13" x14ac:dyDescent="0.25">
      <c r="B10" s="3">
        <v>42536</v>
      </c>
      <c r="C10" s="29">
        <v>1180</v>
      </c>
      <c r="D10" s="1">
        <v>8400</v>
      </c>
      <c r="E10" s="1">
        <v>4.5999999999999996</v>
      </c>
      <c r="F10" s="1">
        <v>170</v>
      </c>
      <c r="G10" s="1">
        <v>47000</v>
      </c>
      <c r="H10" s="1">
        <v>700</v>
      </c>
      <c r="I10" s="1">
        <v>3900</v>
      </c>
      <c r="J10" s="1">
        <v>1000</v>
      </c>
      <c r="K10" s="37">
        <v>35</v>
      </c>
    </row>
    <row r="11" spans="1:13" x14ac:dyDescent="0.25">
      <c r="B11" s="35">
        <v>42528</v>
      </c>
      <c r="C11" s="36">
        <v>1910</v>
      </c>
      <c r="D11" s="34">
        <v>5300</v>
      </c>
      <c r="E11" s="34">
        <v>1.3</v>
      </c>
      <c r="F11" s="34">
        <v>590</v>
      </c>
      <c r="G11" s="34">
        <v>31000</v>
      </c>
      <c r="H11" s="34">
        <v>640</v>
      </c>
      <c r="I11" s="34">
        <v>3900</v>
      </c>
      <c r="J11" s="34">
        <v>450</v>
      </c>
      <c r="K11" s="37">
        <v>29</v>
      </c>
    </row>
    <row r="13" spans="1:13" x14ac:dyDescent="0.25">
      <c r="C13" s="33" t="s">
        <v>107</v>
      </c>
      <c r="D13" s="10" t="s">
        <v>7</v>
      </c>
      <c r="E13" s="10" t="s">
        <v>1</v>
      </c>
      <c r="F13" s="10" t="s">
        <v>2</v>
      </c>
      <c r="G13" s="10" t="s">
        <v>3</v>
      </c>
      <c r="H13" s="10" t="s">
        <v>4</v>
      </c>
      <c r="I13" s="10" t="s">
        <v>5</v>
      </c>
      <c r="J13" s="10" t="s">
        <v>6</v>
      </c>
      <c r="K13" s="10" t="s">
        <v>97</v>
      </c>
    </row>
    <row r="14" spans="1:13" x14ac:dyDescent="0.25">
      <c r="B14" s="3">
        <v>42493.618055555555</v>
      </c>
      <c r="D14" s="1">
        <v>33000</v>
      </c>
      <c r="E14" s="1">
        <v>13</v>
      </c>
      <c r="F14" s="1">
        <v>510</v>
      </c>
      <c r="G14" s="1">
        <v>79000</v>
      </c>
      <c r="H14" s="1">
        <v>400</v>
      </c>
      <c r="I14" s="1">
        <v>12000</v>
      </c>
      <c r="J14" s="1">
        <v>5200</v>
      </c>
      <c r="K14" s="37">
        <v>37</v>
      </c>
    </row>
    <row r="15" spans="1:13" x14ac:dyDescent="0.25">
      <c r="A15" t="s">
        <v>134</v>
      </c>
      <c r="B15" s="3">
        <v>42501.469444444447</v>
      </c>
      <c r="D15" s="1">
        <v>18000</v>
      </c>
      <c r="E15" s="1">
        <v>6.6</v>
      </c>
      <c r="F15" s="1">
        <v>270</v>
      </c>
      <c r="G15" s="1">
        <v>51000</v>
      </c>
      <c r="H15" s="1">
        <v>340</v>
      </c>
      <c r="I15" s="1">
        <v>6900</v>
      </c>
      <c r="J15" s="1">
        <v>2200</v>
      </c>
      <c r="K15" s="37">
        <v>24</v>
      </c>
    </row>
    <row r="16" spans="1:13" x14ac:dyDescent="0.25">
      <c r="B16" s="3">
        <v>42509.559027777781</v>
      </c>
      <c r="D16" s="1">
        <v>9100</v>
      </c>
      <c r="E16" s="1">
        <v>3.9</v>
      </c>
      <c r="F16" s="1">
        <v>130</v>
      </c>
      <c r="G16" s="1">
        <v>35000</v>
      </c>
      <c r="H16" s="1">
        <v>360</v>
      </c>
      <c r="I16" s="1">
        <v>4300</v>
      </c>
      <c r="J16" s="1">
        <v>1300</v>
      </c>
      <c r="K16" s="37">
        <v>17</v>
      </c>
    </row>
    <row r="17" spans="1:11" x14ac:dyDescent="0.25">
      <c r="B17" s="3">
        <v>42516.538194444445</v>
      </c>
      <c r="D17" s="1">
        <v>9700</v>
      </c>
      <c r="E17" s="1">
        <v>3.4</v>
      </c>
      <c r="F17" s="1">
        <v>130</v>
      </c>
      <c r="G17" s="1">
        <v>39000</v>
      </c>
      <c r="H17" s="1">
        <v>340</v>
      </c>
      <c r="I17" s="1">
        <v>3400</v>
      </c>
      <c r="J17" s="1">
        <v>1100</v>
      </c>
      <c r="K17" s="37">
        <v>21</v>
      </c>
    </row>
    <row r="18" spans="1:11" x14ac:dyDescent="0.25">
      <c r="B18" s="3">
        <v>42522.538194444445</v>
      </c>
      <c r="D18" s="1">
        <v>11000</v>
      </c>
      <c r="E18" s="1">
        <v>3.4</v>
      </c>
      <c r="F18" s="1">
        <v>140</v>
      </c>
      <c r="G18" s="1">
        <v>37000</v>
      </c>
      <c r="H18" s="1">
        <v>320</v>
      </c>
      <c r="I18" s="1">
        <v>3700</v>
      </c>
      <c r="J18" s="1">
        <v>1000</v>
      </c>
      <c r="K18" s="37">
        <v>18</v>
      </c>
    </row>
    <row r="19" spans="1:11" x14ac:dyDescent="0.25">
      <c r="B19" s="3">
        <v>42527.642361111109</v>
      </c>
      <c r="D19" s="1">
        <v>7500</v>
      </c>
      <c r="E19" s="1">
        <v>2.6</v>
      </c>
      <c r="F19" s="1">
        <v>110</v>
      </c>
      <c r="G19" s="1">
        <v>28000</v>
      </c>
      <c r="H19" s="1">
        <v>320</v>
      </c>
      <c r="I19" s="1">
        <v>2000</v>
      </c>
      <c r="J19" s="1">
        <v>750</v>
      </c>
    </row>
    <row r="20" spans="1:11" x14ac:dyDescent="0.25">
      <c r="B20" s="3">
        <v>42528.395833333336</v>
      </c>
      <c r="D20" s="1">
        <v>7200</v>
      </c>
      <c r="E20" s="1">
        <v>3.2</v>
      </c>
      <c r="F20" s="1">
        <v>100</v>
      </c>
      <c r="G20" s="1">
        <v>35000</v>
      </c>
      <c r="H20" s="1">
        <v>360</v>
      </c>
      <c r="I20" s="1">
        <v>3100</v>
      </c>
      <c r="J20" s="1">
        <v>760</v>
      </c>
    </row>
    <row r="21" spans="1:11" x14ac:dyDescent="0.25">
      <c r="B21" s="3">
        <v>42536.5625</v>
      </c>
      <c r="D21" s="1">
        <v>6100</v>
      </c>
      <c r="E21" s="1">
        <v>3.2</v>
      </c>
      <c r="F21" s="1">
        <v>120</v>
      </c>
      <c r="G21" s="1">
        <v>29000</v>
      </c>
      <c r="H21" s="1">
        <v>400</v>
      </c>
      <c r="I21" s="1">
        <v>3100</v>
      </c>
      <c r="J21" s="1">
        <v>760</v>
      </c>
    </row>
    <row r="25" spans="1:11" x14ac:dyDescent="0.25">
      <c r="C25" s="33" t="s">
        <v>107</v>
      </c>
      <c r="D25" s="10" t="s">
        <v>7</v>
      </c>
      <c r="E25" s="10" t="s">
        <v>1</v>
      </c>
      <c r="F25" s="10" t="s">
        <v>2</v>
      </c>
      <c r="G25" s="10" t="s">
        <v>3</v>
      </c>
      <c r="H25" s="10" t="s">
        <v>4</v>
      </c>
      <c r="I25" s="10" t="s">
        <v>5</v>
      </c>
      <c r="J25" s="10" t="s">
        <v>6</v>
      </c>
      <c r="K25" s="10" t="s">
        <v>97</v>
      </c>
    </row>
    <row r="26" spans="1:11" x14ac:dyDescent="0.25">
      <c r="A26" t="s">
        <v>135</v>
      </c>
      <c r="B26" s="11">
        <v>42493</v>
      </c>
      <c r="C26" s="29">
        <v>673</v>
      </c>
      <c r="D26" s="10">
        <v>5800</v>
      </c>
      <c r="E26" s="10">
        <v>1.6</v>
      </c>
      <c r="F26" s="10">
        <v>55</v>
      </c>
      <c r="G26" s="10">
        <v>17000</v>
      </c>
      <c r="H26" s="10">
        <v>140</v>
      </c>
      <c r="I26" s="10">
        <v>1900</v>
      </c>
      <c r="J26" s="10">
        <v>560</v>
      </c>
      <c r="K26" s="38">
        <v>8.9</v>
      </c>
    </row>
    <row r="27" spans="1:11" x14ac:dyDescent="0.25">
      <c r="B27" s="11">
        <v>42501</v>
      </c>
      <c r="C27" s="29">
        <v>1440</v>
      </c>
      <c r="D27" s="10">
        <v>4800</v>
      </c>
      <c r="E27" s="10">
        <v>2.1</v>
      </c>
      <c r="F27" s="10">
        <v>120</v>
      </c>
      <c r="G27" s="10">
        <v>21000</v>
      </c>
      <c r="H27" s="10">
        <v>200</v>
      </c>
      <c r="I27" s="10">
        <v>2900</v>
      </c>
      <c r="J27" s="10">
        <v>650</v>
      </c>
      <c r="K27" s="38">
        <v>9.1999999999999993</v>
      </c>
    </row>
    <row r="28" spans="1:11" x14ac:dyDescent="0.25">
      <c r="B28" s="11">
        <v>42509</v>
      </c>
      <c r="C28" s="29">
        <v>1730</v>
      </c>
      <c r="D28" s="10">
        <v>7600</v>
      </c>
      <c r="E28" s="10">
        <v>2.2999999999999998</v>
      </c>
      <c r="F28" s="10">
        <v>81</v>
      </c>
      <c r="G28" s="10">
        <v>22000</v>
      </c>
      <c r="H28" s="10">
        <v>190</v>
      </c>
      <c r="I28" s="10">
        <v>1900</v>
      </c>
      <c r="J28" s="10">
        <v>690</v>
      </c>
      <c r="K28" s="38">
        <v>9.9</v>
      </c>
    </row>
    <row r="29" spans="1:11" x14ac:dyDescent="0.25">
      <c r="B29" s="11">
        <v>42516</v>
      </c>
      <c r="C29" s="217">
        <v>2560</v>
      </c>
      <c r="D29" s="10">
        <v>8300</v>
      </c>
      <c r="E29" s="10">
        <v>2.2000000000000002</v>
      </c>
      <c r="F29" s="10">
        <v>81</v>
      </c>
      <c r="G29" s="10">
        <v>24000</v>
      </c>
      <c r="H29" s="10">
        <v>190</v>
      </c>
      <c r="I29" s="10">
        <v>2100</v>
      </c>
      <c r="J29" s="10">
        <v>710</v>
      </c>
      <c r="K29" s="38">
        <v>9.5</v>
      </c>
    </row>
    <row r="30" spans="1:11" x14ac:dyDescent="0.25">
      <c r="B30" s="11">
        <v>42522</v>
      </c>
      <c r="C30" s="29">
        <v>2590</v>
      </c>
      <c r="D30" s="10">
        <v>7100</v>
      </c>
      <c r="E30" s="10">
        <v>2</v>
      </c>
      <c r="F30" s="10">
        <v>81</v>
      </c>
      <c r="G30" s="10">
        <v>24000</v>
      </c>
      <c r="H30" s="10">
        <v>220</v>
      </c>
      <c r="I30" s="10">
        <v>2500</v>
      </c>
      <c r="J30" s="10">
        <v>740</v>
      </c>
      <c r="K30" s="37">
        <v>10</v>
      </c>
    </row>
    <row r="31" spans="1:11" x14ac:dyDescent="0.25">
      <c r="B31" s="11">
        <v>42528</v>
      </c>
      <c r="C31" s="29">
        <v>5110</v>
      </c>
      <c r="D31" s="10">
        <v>4600</v>
      </c>
      <c r="E31" s="10">
        <v>2</v>
      </c>
      <c r="F31" s="10">
        <v>47</v>
      </c>
      <c r="G31" s="10">
        <v>16000</v>
      </c>
      <c r="H31" s="10">
        <v>160</v>
      </c>
      <c r="I31" s="10">
        <v>2300</v>
      </c>
      <c r="J31" s="10">
        <v>620</v>
      </c>
      <c r="K31" s="37">
        <v>11</v>
      </c>
    </row>
    <row r="32" spans="1:11" x14ac:dyDescent="0.25">
      <c r="B32" s="11">
        <v>42536</v>
      </c>
      <c r="C32" s="29">
        <v>2750</v>
      </c>
      <c r="D32" s="10">
        <v>4200</v>
      </c>
      <c r="E32" s="10">
        <v>2.5</v>
      </c>
      <c r="F32" s="10">
        <v>52</v>
      </c>
      <c r="G32" s="10">
        <v>15000</v>
      </c>
      <c r="H32" s="10">
        <v>180</v>
      </c>
      <c r="I32" s="10">
        <v>2600</v>
      </c>
      <c r="J32" s="10">
        <v>730</v>
      </c>
      <c r="K32" s="38">
        <v>8.4</v>
      </c>
    </row>
    <row r="37" spans="2:2" x14ac:dyDescent="0.25">
      <c r="B37" s="325" t="s">
        <v>252</v>
      </c>
    </row>
    <row r="38" spans="2:2" x14ac:dyDescent="0.25">
      <c r="B38" s="325" t="s">
        <v>106</v>
      </c>
    </row>
  </sheetData>
  <sheetProtection algorithmName="SHA-512" hashValue="Lsgm0G+O4Z7RGzGUpVmVPqkZ6tUlJO8LWr0iNENXvZckM3a3yMMvhJATiAI7BT9u6TSC1CkzsMKcGz/cipqPxA==" saltValue="4TZDMXqyvbZvQ8SD3YxpWQ==" spinCount="100000" sheet="1" scenarios="1"/>
  <mergeCells count="1">
    <mergeCell ref="D2:K2"/>
  </mergeCells>
  <pageMargins left="0.7" right="0.7" top="0.75" bottom="0.75" header="0.3" footer="0.3"/>
  <pageSetup paperSize="3" scale="79" orientation="landscape" r:id="rId1"/>
  <headerFooter>
    <oddFooter>&amp;L&amp;Z&amp;F&amp;R&amp;D&amp;T</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G10"/>
  <sheetViews>
    <sheetView workbookViewId="0">
      <selection activeCell="T7" sqref="T7"/>
    </sheetView>
  </sheetViews>
  <sheetFormatPr defaultRowHeight="15" x14ac:dyDescent="0.25"/>
  <cols>
    <col min="5" max="5" width="17.7109375" customWidth="1"/>
    <col min="6" max="6" width="26.7109375" customWidth="1"/>
  </cols>
  <sheetData>
    <row r="1" spans="4:7" x14ac:dyDescent="0.25">
      <c r="D1" t="s">
        <v>256</v>
      </c>
    </row>
    <row r="3" spans="4:7" ht="24" customHeight="1" x14ac:dyDescent="0.25">
      <c r="D3" s="100"/>
      <c r="E3" s="102" t="s">
        <v>121</v>
      </c>
      <c r="F3" s="103" t="s">
        <v>118</v>
      </c>
      <c r="G3" s="2"/>
    </row>
    <row r="4" spans="4:7" ht="24" customHeight="1" x14ac:dyDescent="0.25">
      <c r="D4" s="100"/>
      <c r="E4" s="101" t="s">
        <v>121</v>
      </c>
      <c r="F4" s="104" t="s">
        <v>119</v>
      </c>
      <c r="G4" s="2"/>
    </row>
    <row r="5" spans="4:7" ht="24" customHeight="1" x14ac:dyDescent="0.25">
      <c r="D5" s="100"/>
      <c r="E5" s="98" t="s">
        <v>123</v>
      </c>
      <c r="F5" s="105" t="s">
        <v>120</v>
      </c>
      <c r="G5" s="2"/>
    </row>
    <row r="6" spans="4:7" ht="24" customHeight="1" x14ac:dyDescent="0.25">
      <c r="D6" s="100"/>
      <c r="E6" s="99" t="s">
        <v>122</v>
      </c>
      <c r="F6" s="106" t="s">
        <v>119</v>
      </c>
      <c r="G6" s="2"/>
    </row>
    <row r="7" spans="4:7" ht="24" customHeight="1" x14ac:dyDescent="0.25">
      <c r="D7" s="100"/>
      <c r="E7" s="452" t="s">
        <v>122</v>
      </c>
      <c r="F7" s="453" t="s">
        <v>118</v>
      </c>
      <c r="G7" s="2"/>
    </row>
    <row r="8" spans="4:7" x14ac:dyDescent="0.25">
      <c r="D8" s="1"/>
      <c r="E8" s="1"/>
      <c r="F8" s="16"/>
      <c r="G8" s="2"/>
    </row>
    <row r="9" spans="4:7" x14ac:dyDescent="0.25">
      <c r="D9" s="1"/>
      <c r="E9" s="1"/>
      <c r="F9" s="16"/>
      <c r="G9" s="2"/>
    </row>
    <row r="10" spans="4:7" x14ac:dyDescent="0.25">
      <c r="D10" s="2"/>
      <c r="E10" s="2"/>
      <c r="F10" s="16"/>
      <c r="G10" s="2"/>
    </row>
  </sheetData>
  <sheetProtection algorithmName="SHA-512" hashValue="QPXgJUqnNV5O8MlQQ8tOg175NZfdTQ8H8m5N/U1w40At2J1KFdVKtAtFr/QRRst44KRPT7P8V4fcIR7VRF4FEg==" saltValue="tfRb9mJApMc94CIDTMp39A==" spinCount="100000" sheet="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README</vt:lpstr>
      <vt:lpstr>Cement Creek</vt:lpstr>
      <vt:lpstr>Silverton</vt:lpstr>
      <vt:lpstr>Bakers Bridge</vt:lpstr>
      <vt:lpstr>Durango</vt:lpstr>
      <vt:lpstr>Farmington</vt:lpstr>
      <vt:lpstr>San Juan</vt:lpstr>
      <vt:lpstr>Fig 9-23</vt:lpstr>
      <vt:lpstr>Table Legend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EPA/ORD GKM Release Study</dc:title>
  <dc:creator>mcytersk</dc:creator>
  <cp:keywords>Post event</cp:keywords>
  <cp:lastModifiedBy>K Sullivan</cp:lastModifiedBy>
  <cp:lastPrinted>2017-04-27T16:10:56Z</cp:lastPrinted>
  <dcterms:created xsi:type="dcterms:W3CDTF">2015-10-20T16:25:55Z</dcterms:created>
  <dcterms:modified xsi:type="dcterms:W3CDTF">2017-07-30T23:37:20Z</dcterms:modified>
  <cp:category>Concentrations</cp:category>
</cp:coreProperties>
</file>