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22080" windowHeight="9975"/>
  </bookViews>
  <sheets>
    <sheet name="README" sheetId="5" r:id="rId1"/>
    <sheet name="Total Sorbed Fig 5-9" sheetId="4" r:id="rId2"/>
    <sheet name="pH Measures" sheetId="9" r:id="rId3"/>
    <sheet name="Individual Metals Conc " sheetId="11" r:id="rId4"/>
    <sheet name="MASS Data" sheetId="10" r:id="rId5"/>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4" l="1"/>
  <c r="I11" i="4"/>
  <c r="H11" i="4"/>
  <c r="G11" i="4"/>
  <c r="D11" i="4"/>
  <c r="J10" i="4"/>
  <c r="I10" i="4"/>
  <c r="H10" i="4"/>
  <c r="D10" i="4"/>
  <c r="J9" i="4"/>
  <c r="I9" i="4"/>
  <c r="H9" i="4"/>
  <c r="G9" i="4"/>
  <c r="F9" i="4"/>
  <c r="D9" i="4"/>
  <c r="J8" i="4"/>
  <c r="I8" i="4"/>
  <c r="H8" i="4"/>
  <c r="G8" i="4"/>
  <c r="F8" i="4"/>
  <c r="D8" i="4"/>
  <c r="J7" i="4"/>
  <c r="I7" i="4"/>
  <c r="H7" i="4"/>
  <c r="G7" i="4"/>
  <c r="F7" i="4"/>
  <c r="D7" i="4"/>
  <c r="I6" i="4"/>
  <c r="F6" i="4"/>
  <c r="D6" i="4"/>
  <c r="I5" i="4"/>
  <c r="P12" i="10"/>
  <c r="O12" i="10"/>
  <c r="N12" i="10"/>
  <c r="M12" i="10"/>
  <c r="L12" i="10"/>
  <c r="K12" i="10"/>
  <c r="P11" i="10"/>
  <c r="O11" i="10"/>
  <c r="N11" i="10"/>
  <c r="M11" i="10"/>
  <c r="L11" i="10"/>
  <c r="K11" i="10"/>
  <c r="P10" i="10"/>
  <c r="O10" i="10"/>
  <c r="N10" i="10"/>
  <c r="M10" i="10"/>
  <c r="L10" i="10"/>
  <c r="K10" i="10"/>
  <c r="P9" i="10"/>
  <c r="O9" i="10"/>
  <c r="N9" i="10"/>
  <c r="M9" i="10"/>
  <c r="L9" i="10"/>
  <c r="K9" i="10"/>
  <c r="P8" i="10"/>
  <c r="O8" i="10"/>
  <c r="N8" i="10"/>
  <c r="M8" i="10"/>
  <c r="L8" i="10"/>
  <c r="K8" i="10"/>
  <c r="P7" i="10"/>
  <c r="O7" i="10"/>
  <c r="N7" i="10"/>
  <c r="M7" i="10"/>
  <c r="L7" i="10"/>
  <c r="K7" i="10"/>
  <c r="P6" i="10"/>
  <c r="O6" i="10"/>
  <c r="N6" i="10"/>
  <c r="M6" i="10"/>
  <c r="L6" i="10"/>
  <c r="K6" i="10"/>
  <c r="J9" i="9"/>
  <c r="J8" i="9"/>
  <c r="J7" i="9"/>
  <c r="J6" i="9"/>
  <c r="J5" i="9"/>
  <c r="J4" i="9"/>
  <c r="J3" i="9"/>
  <c r="K49" i="11"/>
  <c r="E49" i="11"/>
  <c r="K48" i="11"/>
  <c r="E48" i="11"/>
  <c r="K47" i="11"/>
  <c r="E47" i="11"/>
  <c r="K46" i="11"/>
  <c r="E46" i="11"/>
  <c r="K45" i="11"/>
  <c r="E45" i="11"/>
  <c r="K44" i="11"/>
  <c r="E44" i="11"/>
  <c r="K43" i="11"/>
  <c r="E43" i="11"/>
  <c r="K35" i="11"/>
  <c r="K34" i="11"/>
  <c r="E34" i="11"/>
  <c r="K33" i="11"/>
  <c r="E33" i="11"/>
  <c r="K32" i="11"/>
  <c r="E32" i="11"/>
  <c r="K31" i="11"/>
  <c r="E31" i="11"/>
  <c r="K30" i="11"/>
  <c r="E30" i="11"/>
  <c r="K29" i="11"/>
  <c r="E29" i="11"/>
  <c r="K23" i="11"/>
  <c r="E23" i="11"/>
  <c r="K22" i="11"/>
  <c r="E22" i="11"/>
  <c r="K21" i="11"/>
  <c r="E21" i="11"/>
  <c r="K20" i="11"/>
  <c r="E20" i="11"/>
  <c r="K19" i="11"/>
  <c r="E19" i="11"/>
  <c r="K18" i="11"/>
  <c r="E18" i="11"/>
  <c r="E17" i="11"/>
  <c r="K11" i="11"/>
  <c r="E11" i="11"/>
  <c r="K10" i="11"/>
  <c r="E10" i="11"/>
  <c r="K9" i="11"/>
  <c r="E9" i="11"/>
  <c r="K8" i="11"/>
  <c r="E8" i="11"/>
  <c r="K7" i="11"/>
  <c r="E7" i="11"/>
  <c r="K6" i="11"/>
  <c r="E6" i="11"/>
  <c r="K5" i="11"/>
</calcChain>
</file>

<file path=xl/comments1.xml><?xml version="1.0" encoding="utf-8"?>
<comments xmlns="http://schemas.openxmlformats.org/spreadsheetml/2006/main">
  <authors>
    <author>K Sullivan</author>
  </authors>
  <commentList>
    <comment ref="G6" authorId="0" shapeId="0">
      <text>
        <r>
          <rPr>
            <b/>
            <sz val="9"/>
            <color indexed="81"/>
            <rFont val="Tahoma"/>
            <family val="2"/>
          </rPr>
          <t>Note:  Dissolved load is gained between Cement Creek and A72.  Estimates are within 90% of each other; probably within the uncertainties here at having to reconstruct hydrographs and plume peaks at both sites.  Animas below Silverton is assumed to have lost no dissolved load in this distance.</t>
        </r>
        <r>
          <rPr>
            <sz val="9"/>
            <color indexed="81"/>
            <rFont val="Tahoma"/>
            <family val="2"/>
          </rPr>
          <t xml:space="preserve">
</t>
        </r>
      </text>
    </comment>
    <comment ref="F10" authorId="0" shapeId="0">
      <text>
        <r>
          <rPr>
            <b/>
            <sz val="9"/>
            <color indexed="81"/>
            <rFont val="Tahoma"/>
            <family val="2"/>
          </rPr>
          <t>Note:  Negative value, assume 0</t>
        </r>
        <r>
          <rPr>
            <sz val="9"/>
            <color indexed="81"/>
            <rFont val="Tahoma"/>
            <family val="2"/>
          </rPr>
          <t xml:space="preserve">
</t>
        </r>
      </text>
    </comment>
    <comment ref="F11" authorId="0" shapeId="0">
      <text>
        <r>
          <rPr>
            <b/>
            <sz val="9"/>
            <color indexed="81"/>
            <rFont val="Tahoma"/>
            <family val="2"/>
          </rPr>
          <t>Note:  Negative value, assume 0</t>
        </r>
        <r>
          <rPr>
            <sz val="9"/>
            <color indexed="81"/>
            <rFont val="Tahoma"/>
            <family val="2"/>
          </rPr>
          <t xml:space="preserve">
</t>
        </r>
      </text>
    </comment>
  </commentList>
</comments>
</file>

<file path=xl/sharedStrings.xml><?xml version="1.0" encoding="utf-8"?>
<sst xmlns="http://schemas.openxmlformats.org/spreadsheetml/2006/main" count="566" uniqueCount="223">
  <si>
    <t>Silverton</t>
  </si>
  <si>
    <t>Bakers Bridge</t>
  </si>
  <si>
    <t>RK</t>
  </si>
  <si>
    <t>pH</t>
  </si>
  <si>
    <t>Observed pH</t>
  </si>
  <si>
    <t>Arsenic</t>
  </si>
  <si>
    <t>Lead</t>
  </si>
  <si>
    <t>Copper</t>
  </si>
  <si>
    <t>Zinc</t>
  </si>
  <si>
    <t>Nickel</t>
  </si>
  <si>
    <t>Cadmium</t>
  </si>
  <si>
    <t>Gold King Mine</t>
  </si>
  <si>
    <t>Cement Creek</t>
  </si>
  <si>
    <t>Baker's Bridge</t>
  </si>
  <si>
    <t>Durango</t>
  </si>
  <si>
    <t>Aztec</t>
  </si>
  <si>
    <t>Farmington</t>
  </si>
  <si>
    <t>Dissolved Lost (kg)</t>
  </si>
  <si>
    <t>Percent left to Sorb (%)</t>
  </si>
  <si>
    <t>Cum Sorbed</t>
  </si>
  <si>
    <t>Cum Percent Sorbed (%)</t>
  </si>
  <si>
    <t>RK from GKM</t>
  </si>
  <si>
    <t>RK from Cement Animas</t>
  </si>
  <si>
    <t>Sorption of Total Dissolved Metals as a Function of Distance</t>
  </si>
  <si>
    <t>Total Dissolved Metals Load (kg)</t>
  </si>
  <si>
    <t>Location</t>
  </si>
  <si>
    <t>Result</t>
  </si>
  <si>
    <t>Result_Units</t>
  </si>
  <si>
    <t>SampleDate</t>
  </si>
  <si>
    <t>SampleTime</t>
  </si>
  <si>
    <t>ANIMAS-ROTARY PARK</t>
  </si>
  <si>
    <t>pH Units</t>
  </si>
  <si>
    <t>20:05</t>
  </si>
  <si>
    <t>21:08</t>
  </si>
  <si>
    <t>22:00</t>
  </si>
  <si>
    <t>23:00</t>
  </si>
  <si>
    <t>00:00</t>
  </si>
  <si>
    <t>00:30</t>
  </si>
  <si>
    <t>10:00</t>
  </si>
  <si>
    <t>NAR06</t>
  </si>
  <si>
    <t>Animas at Farmington</t>
  </si>
  <si>
    <t>Silverton A72</t>
  </si>
  <si>
    <t>Durango Rotary</t>
  </si>
  <si>
    <t>So. Ute NAR6</t>
  </si>
  <si>
    <t xml:space="preserve">Aztec </t>
  </si>
  <si>
    <t>Appears as if Animas gains a source of dissolved nickel from Aztec to Farminton</t>
  </si>
  <si>
    <t>Concentrations at Peak  mg/L</t>
  </si>
  <si>
    <t>Site_No</t>
  </si>
  <si>
    <t>Samp_No</t>
  </si>
  <si>
    <t>CAS_NO</t>
  </si>
  <si>
    <t>Analysis</t>
  </si>
  <si>
    <t>Analyte</t>
  </si>
  <si>
    <t>Detected</t>
  </si>
  <si>
    <t>Result_Qualifier</t>
  </si>
  <si>
    <t>MDL</t>
  </si>
  <si>
    <t>MDL_Units</t>
  </si>
  <si>
    <t>Reporting_Limit</t>
  </si>
  <si>
    <t>Reporting_Limit_Units</t>
  </si>
  <si>
    <t>Matrix</t>
  </si>
  <si>
    <t>QA_Comment</t>
  </si>
  <si>
    <t>Latitude</t>
  </si>
  <si>
    <t>Longitude</t>
  </si>
  <si>
    <t>A8K9</t>
  </si>
  <si>
    <t>ANIMAS-ROTARY PARK-2005</t>
  </si>
  <si>
    <t>Y</t>
  </si>
  <si>
    <t>Surface Water</t>
  </si>
  <si>
    <t>ANIMAS-ROTARY PARK-2108</t>
  </si>
  <si>
    <t>ANIMAS-ROTARY PARK-2200</t>
  </si>
  <si>
    <t>ANIMAS-ROTARY PARK-2300</t>
  </si>
  <si>
    <t>ANIMAS-ROTARY PARK-0000</t>
  </si>
  <si>
    <t>ANIMAS-ROTARY PARK-0030</t>
  </si>
  <si>
    <t>ANIMAS-ROTARY PARK-1000</t>
  </si>
  <si>
    <t>cc06</t>
  </si>
  <si>
    <t>gkm13</t>
  </si>
  <si>
    <t>CC48</t>
  </si>
  <si>
    <t>ADWS-IT1-150807-21</t>
  </si>
  <si>
    <t>ADWS-IT1</t>
  </si>
  <si>
    <t>STL00204</t>
  </si>
  <si>
    <t>SU</t>
  </si>
  <si>
    <t>UNK</t>
  </si>
  <si>
    <t>J</t>
  </si>
  <si>
    <t>12:02</t>
  </si>
  <si>
    <t>Stage 2A</t>
  </si>
  <si>
    <t>General</t>
  </si>
  <si>
    <t>ADWS-IT1-150807-22</t>
  </si>
  <si>
    <t>ADWS-IT2-150807-21</t>
  </si>
  <si>
    <t>ADWS-IT2</t>
  </si>
  <si>
    <t>11:32</t>
  </si>
  <si>
    <t>FWS-ARP2-150807-21</t>
  </si>
  <si>
    <t>FWS-ARP2</t>
  </si>
  <si>
    <t>13:48</t>
  </si>
  <si>
    <t>LVW-FD-150807-21</t>
  </si>
  <si>
    <t>LVW-FD</t>
  </si>
  <si>
    <t>15:34</t>
  </si>
  <si>
    <t>ADWS-ARP-150808-11</t>
  </si>
  <si>
    <t>ADWS-ARP</t>
  </si>
  <si>
    <t>08:20</t>
  </si>
  <si>
    <t>SM4500_H+ pH</t>
  </si>
  <si>
    <t>ADWS-IT1-150808-11</t>
  </si>
  <si>
    <t>09:55</t>
  </si>
  <si>
    <t>ADWS-IT2-150808-11</t>
  </si>
  <si>
    <t>13:40</t>
  </si>
  <si>
    <t>FWS-ARP2-150808-11</t>
  </si>
  <si>
    <t>11:50</t>
  </si>
  <si>
    <t>FWS-FDPS-150808-11</t>
  </si>
  <si>
    <t>FWS-FDPS</t>
  </si>
  <si>
    <t>16:15</t>
  </si>
  <si>
    <t>LVW-FD-150808-11</t>
  </si>
  <si>
    <t>15:20</t>
  </si>
  <si>
    <t>LVW-WPI-150808-11</t>
  </si>
  <si>
    <t>LVW-WPI</t>
  </si>
  <si>
    <t>14:20</t>
  </si>
  <si>
    <t>MWSS-ARI-150808-11</t>
  </si>
  <si>
    <t>MWSS-ARI</t>
  </si>
  <si>
    <t>12:50</t>
  </si>
  <si>
    <t>NSW-ARI-150808-11</t>
  </si>
  <si>
    <t>NSW-ARI</t>
  </si>
  <si>
    <t>11:25</t>
  </si>
  <si>
    <t>As Plume Passed</t>
  </si>
  <si>
    <t>NMED</t>
  </si>
  <si>
    <t>Portion of Load that is Dissolved</t>
  </si>
  <si>
    <t>Cement Creek  RK 12.5</t>
  </si>
  <si>
    <t>Animas at Silverton  RK 16</t>
  </si>
  <si>
    <t>Animas at Baker's Bridge  RK 64</t>
  </si>
  <si>
    <t>Animas at Durango  RK 95</t>
  </si>
  <si>
    <t>Animas at So. Ute NAR06 RK132</t>
  </si>
  <si>
    <t>Animas at Aztec  RK 163</t>
  </si>
  <si>
    <t>Animas at Farmington  RK 190</t>
  </si>
  <si>
    <t>Background at Farmington</t>
  </si>
  <si>
    <t>Aluminum</t>
  </si>
  <si>
    <t>Iron</t>
  </si>
  <si>
    <t>Distance from Source (km)</t>
  </si>
  <si>
    <t>Dissolved (mg/L)</t>
  </si>
  <si>
    <t>Total (mg/L)</t>
  </si>
  <si>
    <t>Distance (km)</t>
  </si>
  <si>
    <t>Computing Sorption in Animas River Estimates from Empirical Modeled Concentrations at Peak of GKM Plume</t>
  </si>
  <si>
    <t>Dissolved Load (kg)</t>
  </si>
  <si>
    <t>Total Load (kg)</t>
  </si>
  <si>
    <t>GKM Plume Mass in Dissolved and Total Form</t>
  </si>
  <si>
    <t xml:space="preserve">This is Mass Data Taken from Total_Load Calc.xls and Dissolved Load Calc </t>
  </si>
  <si>
    <t>estimated</t>
  </si>
  <si>
    <t>Background at Silverton</t>
  </si>
  <si>
    <t>Background at Durango</t>
  </si>
  <si>
    <t>Background at Aztec</t>
  </si>
  <si>
    <t>Dissolved Load minus major cations (kg)</t>
  </si>
  <si>
    <t>Taken from Emprical Model</t>
  </si>
  <si>
    <t>GKM Dissolved Load (kg) (minus cations, and subtracting background dissolved mass)</t>
  </si>
  <si>
    <t>MSI reports max of 6.78 in their report but the data file says 5.98</t>
  </si>
  <si>
    <t>Al</t>
  </si>
  <si>
    <t>Fe</t>
  </si>
  <si>
    <t>The equation would say</t>
  </si>
  <si>
    <t>Estimated</t>
  </si>
  <si>
    <t>SUIT</t>
  </si>
  <si>
    <t>Measured</t>
  </si>
  <si>
    <t>MSI</t>
  </si>
  <si>
    <t>Observer</t>
  </si>
  <si>
    <t>Date:Time</t>
  </si>
  <si>
    <t>GKM Mine Adit</t>
  </si>
  <si>
    <t>Cement Creek above Animas</t>
  </si>
  <si>
    <t>Data Provider</t>
  </si>
  <si>
    <t>COPHD</t>
  </si>
  <si>
    <t>Post Event</t>
  </si>
  <si>
    <t>Relevance to Plume</t>
  </si>
  <si>
    <t>During Plume</t>
  </si>
  <si>
    <t>Notes</t>
  </si>
  <si>
    <t>Measured after plume</t>
  </si>
  <si>
    <t>SUIT and NMED Measured by Sondes</t>
  </si>
  <si>
    <t>Observations or Estimates During Plume</t>
  </si>
  <si>
    <t>Estimated from COPHE Data from GKM adit</t>
  </si>
  <si>
    <t>Notes How Obtained</t>
  </si>
  <si>
    <t>ORIGINAL FIGURE 5-5</t>
  </si>
  <si>
    <t>NOTE:</t>
  </si>
  <si>
    <t>Measured Sonde</t>
  </si>
  <si>
    <t>pH measurements relevant to plume   Upper/Middle Animas River</t>
  </si>
  <si>
    <t>pH measurements  relevant to plume Lower Animas (Region 6)</t>
  </si>
  <si>
    <t>We evaluated the depiction of pH in this figure and felt it could be improved with identification of providers and in realistic dilution in Animas at Silverton</t>
  </si>
  <si>
    <t>Original Figure 5-5</t>
  </si>
  <si>
    <t>How Value Obtained</t>
  </si>
  <si>
    <t>Estimated from post event adit sample</t>
  </si>
  <si>
    <t>Estimated from mixing Cement Creek with Animas River</t>
  </si>
  <si>
    <t>Sonde Measured</t>
  </si>
  <si>
    <t>pH during peak of Gold King plume</t>
  </si>
  <si>
    <t>Estimated empirical model mixing plume with Cement Creek</t>
  </si>
  <si>
    <t>Q (cfs)</t>
  </si>
  <si>
    <t>Cement Creek at 12.6</t>
  </si>
  <si>
    <t>Animas at Silverton (A68)</t>
  </si>
  <si>
    <t>Animas below Silverton (A72)</t>
  </si>
  <si>
    <t>Mixing of Plume in Animas at Silverton</t>
  </si>
  <si>
    <t>For Graphing Trend Lines</t>
  </si>
  <si>
    <t>Original Figure 5-9</t>
  </si>
  <si>
    <t>Note:  This figure contained results from earlier analyses and were not modified from the preliminary</t>
  </si>
  <si>
    <t>analyses.  The estimated mass below Silverton (Distance 16.4) and Bakers Bridge (Distance 63.8fF)F were</t>
  </si>
  <si>
    <t xml:space="preserve">modified with additional hydrologic and sample analyses as described in the final report. </t>
  </si>
  <si>
    <t xml:space="preserve">A corrected graph is shown at right. The most significant difference is that there was no significant </t>
  </si>
  <si>
    <t>sorption of dissolved metals load in the Animas River between the confluence with Cement Creek and A72.</t>
  </si>
  <si>
    <t>There is uncertainty in estimates at both Cement Creek and A72, and final dissolved load estimates</t>
  </si>
  <si>
    <t>Note:   Modified Figure 5-9.</t>
  </si>
  <si>
    <t xml:space="preserve">are within 90% of each other.  This is within the margin of error in these estimates. </t>
  </si>
  <si>
    <t>Guide To This File</t>
  </si>
  <si>
    <t xml:space="preserve">This file contains pH and metals concentrations and loads during the GKM plume for analysis of sorption of dissolved metals and pH neutralization. </t>
  </si>
  <si>
    <t>Peak concentrations were taken from the Empirical Model.</t>
  </si>
  <si>
    <t>Final Report Figures and Tables in this File:</t>
  </si>
  <si>
    <t>Worksheet Tab</t>
  </si>
  <si>
    <t xml:space="preserve">Figure 5-5  </t>
  </si>
  <si>
    <t>pH measures</t>
  </si>
  <si>
    <t>Figure 5-9</t>
  </si>
  <si>
    <t>Total Sorbed Fig 5-9</t>
  </si>
  <si>
    <t>Worksheets that contain Figure or Table from Final Report are identified by this tab color</t>
  </si>
  <si>
    <t>Report Figure or Table</t>
  </si>
  <si>
    <t>This figure adds an estimate for the Animas River immediately below the confluence with the Animas and begins the regression from there.</t>
  </si>
  <si>
    <t>Bakers Bridge 6.41 based on regression</t>
  </si>
  <si>
    <t>note: RK is distance from mine source in river kilometers</t>
  </si>
  <si>
    <t>Figure 5-11</t>
  </si>
  <si>
    <t>Individual Metals Conc</t>
  </si>
  <si>
    <t>Proportion Sorbed</t>
  </si>
  <si>
    <t>Figure 5-5</t>
  </si>
  <si>
    <t>Data is the dissolved and total metals load collected by EPA Regions 8 and 6 in the Consolidated data file:</t>
  </si>
  <si>
    <t>Consolidated Post Event Data.xls</t>
  </si>
  <si>
    <t>The file may also contain other worksheets with data or figures, or additional figures that did not make it into the report, for informational purposes.</t>
  </si>
  <si>
    <t>Animas a junction with Cement</t>
  </si>
  <si>
    <t>Estimated from mixing Animas with Mineral Creek</t>
  </si>
  <si>
    <t>This figure was changed to begin the regression line in the Animas River at Silverton after</t>
  </si>
  <si>
    <t>the plume had mixed with the Animas (rather than beginning it in Cement Creek.)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</si>
</sst>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m/d/yy\ h:mm;@"/>
    <numFmt numFmtId="165" formatCode="0.000"/>
    <numFmt numFmtId="166" formatCode="0.0%"/>
    <numFmt numFmtId="167" formatCode="0.0"/>
    <numFmt numFmtId="168" formatCode="#,##0.000"/>
    <numFmt numFmtId="169" formatCode="dd\-mmm\-yy"/>
    <numFmt numFmtId="170" formatCode="#,##0.0000"/>
  </numFmts>
  <fonts count="34" x14ac:knownFonts="1">
    <font>
      <sz val="10"/>
      <color theme="1"/>
      <name val="Calibri"/>
      <family val="2"/>
      <scheme val="minor"/>
    </font>
    <font>
      <b/>
      <sz val="10"/>
      <color theme="1"/>
      <name val="Calibri"/>
      <family val="2"/>
      <scheme val="minor"/>
    </font>
    <font>
      <sz val="10"/>
      <color theme="4" tint="-0.249977111117893"/>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1"/>
      <color theme="1"/>
      <name val="Calibri"/>
      <family val="2"/>
      <scheme val="minor"/>
    </font>
    <font>
      <b/>
      <sz val="12"/>
      <color rgb="FFFF0000"/>
      <name val="Calibri"/>
      <family val="2"/>
      <scheme val="minor"/>
    </font>
    <font>
      <sz val="10"/>
      <name val="Calibri"/>
      <family val="2"/>
      <scheme val="minor"/>
    </font>
    <font>
      <b/>
      <sz val="14"/>
      <color rgb="FF000000"/>
      <name val="Calibri"/>
      <family val="2"/>
    </font>
    <font>
      <sz val="10"/>
      <color theme="1"/>
      <name val="Calibri"/>
      <family val="2"/>
    </font>
    <font>
      <b/>
      <sz val="12"/>
      <color rgb="FF000000"/>
      <name val="Calibri"/>
      <family val="2"/>
    </font>
    <font>
      <b/>
      <sz val="10"/>
      <color rgb="FF000000"/>
      <name val="Calibri"/>
      <family val="2"/>
    </font>
    <font>
      <sz val="9"/>
      <color rgb="FF000000"/>
      <name val="Calibri"/>
      <family val="2"/>
    </font>
    <font>
      <sz val="8"/>
      <color rgb="FF000000"/>
      <name val="Calibri"/>
      <family val="2"/>
    </font>
    <font>
      <sz val="10"/>
      <color rgb="FFFF0000"/>
      <name val="Calibri"/>
      <family val="2"/>
    </font>
    <font>
      <b/>
      <sz val="12"/>
      <color theme="1"/>
      <name val="Calibri"/>
      <family val="2"/>
      <scheme val="minor"/>
    </font>
    <font>
      <b/>
      <sz val="9"/>
      <color rgb="FF000000"/>
      <name val="Calibri"/>
      <family val="2"/>
    </font>
    <font>
      <sz val="9"/>
      <color indexed="81"/>
      <name val="Tahoma"/>
      <family val="2"/>
    </font>
    <font>
      <b/>
      <sz val="9"/>
      <color indexed="81"/>
      <name val="Tahoma"/>
      <family val="2"/>
    </font>
    <font>
      <sz val="8"/>
      <color theme="1"/>
      <name val="Calibri"/>
      <family val="2"/>
      <scheme val="minor"/>
    </font>
    <font>
      <sz val="8"/>
      <color theme="1"/>
      <name val="Arial"/>
      <family val="2"/>
    </font>
    <font>
      <sz val="9"/>
      <color theme="1"/>
      <name val="Calibri"/>
      <family val="2"/>
    </font>
    <font>
      <b/>
      <sz val="12"/>
      <color theme="1"/>
      <name val="Calibri"/>
      <family val="2"/>
    </font>
    <font>
      <b/>
      <sz val="10"/>
      <color rgb="FFFF0000"/>
      <name val="Calibri"/>
      <family val="2"/>
      <scheme val="minor"/>
    </font>
    <font>
      <b/>
      <sz val="8"/>
      <color theme="1"/>
      <name val="Calibri"/>
      <family val="2"/>
      <scheme val="minor"/>
    </font>
    <font>
      <sz val="11"/>
      <color theme="0"/>
      <name val="Calibri"/>
      <family val="2"/>
      <scheme val="minor"/>
    </font>
    <font>
      <b/>
      <sz val="12"/>
      <color rgb="FF0033CC"/>
      <name val="Calibri"/>
      <family val="2"/>
      <scheme val="minor"/>
    </font>
    <font>
      <sz val="12"/>
      <color theme="1"/>
      <name val="Calibri"/>
      <family val="2"/>
      <scheme val="minor"/>
    </font>
    <font>
      <b/>
      <sz val="11"/>
      <color rgb="FF0033CC"/>
      <name val="Calibri"/>
      <family val="2"/>
      <scheme val="minor"/>
    </font>
    <font>
      <b/>
      <sz val="14"/>
      <color rgb="FF0033CC"/>
      <name val="Calibri"/>
      <family val="2"/>
      <scheme val="minor"/>
    </font>
    <font>
      <sz val="12"/>
      <color rgb="FF000000"/>
      <name val="Calibri"/>
      <family val="2"/>
      <scheme val="minor"/>
    </font>
    <font>
      <b/>
      <sz val="14"/>
      <color rgb="FF0000FF"/>
      <name val="Calibri"/>
      <family val="2"/>
      <scheme val="minor"/>
    </font>
    <font>
      <b/>
      <sz val="12"/>
      <color rgb="FF0000FF"/>
      <name val="Calibri"/>
      <family val="2"/>
      <scheme val="minor"/>
    </font>
  </fonts>
  <fills count="6">
    <fill>
      <patternFill patternType="none"/>
    </fill>
    <fill>
      <patternFill patternType="gray125"/>
    </fill>
    <fill>
      <patternFill patternType="solid">
        <fgColor theme="7" tint="0.39997558519241921"/>
        <bgColor indexed="64"/>
      </patternFill>
    </fill>
    <fill>
      <patternFill patternType="solid">
        <fgColor rgb="FFC0C0C0"/>
        <bgColor rgb="FFC0C0C0"/>
      </patternFill>
    </fill>
    <fill>
      <patternFill patternType="solid">
        <fgColor theme="5" tint="0.59999389629810485"/>
        <bgColor indexed="64"/>
      </patternFill>
    </fill>
    <fill>
      <patternFill patternType="solid">
        <fgColor theme="5"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D0D7E5"/>
      </left>
      <right style="thin">
        <color rgb="FFD0D7E5"/>
      </right>
      <top style="thin">
        <color rgb="FFD0D7E5"/>
      </top>
      <bottom style="thin">
        <color rgb="FFD0D7E5"/>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9" fontId="3" fillId="0" borderId="0" applyFont="0" applyFill="0" applyBorder="0" applyAlignment="0" applyProtection="0"/>
  </cellStyleXfs>
  <cellXfs count="129">
    <xf numFmtId="0" fontId="0" fillId="0" borderId="0" xfId="0"/>
    <xf numFmtId="0" fontId="0" fillId="0" borderId="0" xfId="0" applyAlignment="1">
      <alignment horizontal="center"/>
    </xf>
    <xf numFmtId="2" fontId="0" fillId="0" borderId="0" xfId="0" applyNumberFormat="1" applyAlignment="1">
      <alignment horizontal="center"/>
    </xf>
    <xf numFmtId="0" fontId="0" fillId="0" borderId="0" xfId="0" applyAlignment="1">
      <alignment horizontal="left"/>
    </xf>
    <xf numFmtId="2" fontId="2" fillId="0" borderId="0" xfId="0" applyNumberFormat="1" applyFont="1" applyAlignment="1">
      <alignment horizontal="center"/>
    </xf>
    <xf numFmtId="0" fontId="0" fillId="0" borderId="0" xfId="0" applyFill="1" applyBorder="1" applyAlignment="1">
      <alignment horizontal="center"/>
    </xf>
    <xf numFmtId="0" fontId="0" fillId="0" borderId="0" xfId="0" applyFont="1" applyFill="1" applyBorder="1" applyAlignment="1">
      <alignment horizontal="center"/>
    </xf>
    <xf numFmtId="0" fontId="4" fillId="0" borderId="0" xfId="0" applyFont="1" applyAlignment="1">
      <alignment horizontal="center" vertical="center"/>
    </xf>
    <xf numFmtId="0" fontId="4" fillId="0" borderId="0" xfId="0" applyFont="1" applyBorder="1" applyAlignment="1">
      <alignment horizontal="center" vertical="center"/>
    </xf>
    <xf numFmtId="0" fontId="3" fillId="0" borderId="2" xfId="0" applyFont="1" applyBorder="1" applyAlignment="1">
      <alignment horizontal="center" vertical="center"/>
    </xf>
    <xf numFmtId="0" fontId="0" fillId="0" borderId="0" xfId="0" applyAlignment="1">
      <alignment wrapText="1"/>
    </xf>
    <xf numFmtId="0" fontId="0" fillId="0" borderId="0" xfId="0" applyAlignment="1">
      <alignment horizontal="center" wrapText="1"/>
    </xf>
    <xf numFmtId="3" fontId="4" fillId="0" borderId="0" xfId="0" applyNumberFormat="1" applyFont="1" applyAlignment="1">
      <alignment horizontal="center" vertical="center"/>
    </xf>
    <xf numFmtId="3" fontId="4" fillId="0" borderId="0" xfId="0" applyNumberFormat="1" applyFont="1" applyBorder="1" applyAlignment="1">
      <alignment horizontal="center" vertical="center"/>
    </xf>
    <xf numFmtId="3" fontId="4" fillId="0" borderId="2" xfId="0" applyNumberFormat="1" applyFont="1" applyBorder="1" applyAlignment="1">
      <alignment horizontal="center" vertical="center"/>
    </xf>
    <xf numFmtId="3" fontId="0" fillId="0" borderId="0" xfId="0" applyNumberFormat="1" applyAlignment="1">
      <alignment horizontal="center" wrapText="1"/>
    </xf>
    <xf numFmtId="0" fontId="0" fillId="0" borderId="2" xfId="0" applyBorder="1" applyAlignment="1">
      <alignment horizontal="center"/>
    </xf>
    <xf numFmtId="3" fontId="0" fillId="0" borderId="2" xfId="0" applyNumberFormat="1" applyBorder="1" applyAlignment="1">
      <alignment horizontal="center" wrapText="1"/>
    </xf>
    <xf numFmtId="0" fontId="5" fillId="0" borderId="0" xfId="0" applyFont="1"/>
    <xf numFmtId="0" fontId="0" fillId="0" borderId="0" xfId="0" applyAlignment="1"/>
    <xf numFmtId="0" fontId="0" fillId="0" borderId="2" xfId="0" applyBorder="1" applyAlignment="1">
      <alignment horizontal="center" wrapText="1"/>
    </xf>
    <xf numFmtId="0" fontId="4" fillId="0" borderId="0" xfId="0" applyFont="1"/>
    <xf numFmtId="0" fontId="4" fillId="0" borderId="0" xfId="0" applyFont="1" applyAlignment="1">
      <alignment horizontal="center"/>
    </xf>
    <xf numFmtId="14" fontId="4" fillId="0" borderId="0" xfId="0" applyNumberFormat="1" applyFont="1" applyAlignment="1" applyProtection="1">
      <alignment horizontal="center" vertical="center"/>
    </xf>
    <xf numFmtId="0" fontId="0" fillId="0" borderId="0" xfId="0" applyBorder="1"/>
    <xf numFmtId="2" fontId="0" fillId="0" borderId="0" xfId="0" applyNumberFormat="1" applyBorder="1" applyAlignment="1">
      <alignment horizontal="center"/>
    </xf>
    <xf numFmtId="0" fontId="0" fillId="0" borderId="0" xfId="0" applyBorder="1" applyAlignment="1">
      <alignment horizontal="center"/>
    </xf>
    <xf numFmtId="0" fontId="7" fillId="0" borderId="0" xfId="0" applyFont="1" applyAlignment="1"/>
    <xf numFmtId="2" fontId="8" fillId="0" borderId="0" xfId="0" applyNumberFormat="1" applyFont="1" applyAlignment="1">
      <alignment horizontal="center"/>
    </xf>
    <xf numFmtId="166" fontId="0" fillId="0" borderId="0" xfId="0" applyNumberFormat="1" applyBorder="1" applyAlignment="1">
      <alignment horizontal="center" wrapText="1"/>
    </xf>
    <xf numFmtId="3" fontId="0" fillId="0" borderId="0" xfId="0" applyNumberFormat="1" applyBorder="1" applyAlignment="1">
      <alignment horizontal="center" wrapText="1"/>
    </xf>
    <xf numFmtId="0" fontId="9" fillId="0" borderId="0" xfId="0" applyFont="1" applyFill="1" applyBorder="1"/>
    <xf numFmtId="0" fontId="10" fillId="0" borderId="0" xfId="0" applyFont="1" applyFill="1" applyBorder="1"/>
    <xf numFmtId="0" fontId="11" fillId="0" borderId="0" xfId="0" applyFont="1" applyFill="1" applyBorder="1"/>
    <xf numFmtId="0" fontId="12" fillId="0" borderId="0" xfId="0" applyFont="1" applyFill="1" applyBorder="1"/>
    <xf numFmtId="0" fontId="10" fillId="0" borderId="0" xfId="0" applyFont="1" applyFill="1" applyBorder="1" applyAlignment="1">
      <alignment horizontal="center"/>
    </xf>
    <xf numFmtId="167" fontId="13" fillId="0" borderId="0" xfId="0" applyNumberFormat="1" applyFont="1" applyFill="1" applyBorder="1" applyAlignment="1">
      <alignment horizontal="center"/>
    </xf>
    <xf numFmtId="4" fontId="13" fillId="0" borderId="0" xfId="0" applyNumberFormat="1" applyFont="1" applyFill="1" applyBorder="1" applyAlignment="1">
      <alignment horizontal="center" vertical="center"/>
    </xf>
    <xf numFmtId="167" fontId="14" fillId="0" borderId="0" xfId="0" applyNumberFormat="1" applyFont="1" applyFill="1" applyBorder="1" applyAlignment="1">
      <alignment horizontal="center"/>
    </xf>
    <xf numFmtId="2" fontId="10" fillId="0" borderId="0" xfId="0" applyNumberFormat="1" applyFont="1" applyFill="1" applyBorder="1" applyAlignment="1">
      <alignment horizontal="center"/>
    </xf>
    <xf numFmtId="165" fontId="10" fillId="0" borderId="0" xfId="0" applyNumberFormat="1" applyFont="1" applyFill="1" applyBorder="1" applyAlignment="1">
      <alignment horizontal="center"/>
    </xf>
    <xf numFmtId="0" fontId="14" fillId="0" borderId="0" xfId="0" applyFont="1" applyFill="1" applyBorder="1" applyAlignment="1">
      <alignment horizontal="center"/>
    </xf>
    <xf numFmtId="0" fontId="13" fillId="0" borderId="0" xfId="0" applyFont="1" applyFill="1" applyBorder="1" applyAlignment="1">
      <alignment horizontal="center"/>
    </xf>
    <xf numFmtId="165" fontId="10" fillId="0" borderId="0" xfId="0" applyNumberFormat="1" applyFont="1" applyFill="1" applyBorder="1"/>
    <xf numFmtId="0" fontId="15" fillId="0" borderId="0" xfId="0" applyFont="1" applyFill="1" applyBorder="1"/>
    <xf numFmtId="168" fontId="13" fillId="0" borderId="0" xfId="0" applyNumberFormat="1" applyFont="1" applyFill="1" applyBorder="1" applyAlignment="1">
      <alignment horizontal="center" vertical="center"/>
    </xf>
    <xf numFmtId="0" fontId="5" fillId="0" borderId="0" xfId="0" applyFont="1" applyAlignment="1">
      <alignment horizontal="center"/>
    </xf>
    <xf numFmtId="14" fontId="0" fillId="0" borderId="0" xfId="0" applyNumberFormat="1" applyAlignment="1">
      <alignment horizontal="center"/>
    </xf>
    <xf numFmtId="0" fontId="17" fillId="3" borderId="1" xfId="0" applyFont="1" applyFill="1" applyBorder="1" applyAlignment="1" applyProtection="1">
      <alignment horizontal="center" vertical="center"/>
    </xf>
    <xf numFmtId="0" fontId="4" fillId="0" borderId="0" xfId="0" applyFont="1" applyAlignment="1"/>
    <xf numFmtId="0" fontId="13" fillId="0" borderId="3" xfId="0" applyFont="1" applyFill="1" applyBorder="1" applyAlignment="1" applyProtection="1">
      <alignment vertical="center"/>
    </xf>
    <xf numFmtId="0" fontId="13" fillId="0" borderId="3" xfId="0" applyFont="1" applyFill="1" applyBorder="1" applyAlignment="1" applyProtection="1">
      <alignment horizontal="center" vertical="center"/>
    </xf>
    <xf numFmtId="0" fontId="13" fillId="0" borderId="3" xfId="0" applyFont="1" applyFill="1" applyBorder="1" applyAlignment="1" applyProtection="1">
      <alignment horizontal="right" vertical="center"/>
    </xf>
    <xf numFmtId="0" fontId="13" fillId="0" borderId="0" xfId="0" applyFont="1" applyFill="1" applyBorder="1" applyAlignment="1" applyProtection="1">
      <alignment horizontal="center" vertical="center"/>
    </xf>
    <xf numFmtId="0" fontId="4" fillId="0" borderId="3" xfId="0" applyFont="1" applyBorder="1" applyAlignment="1">
      <alignment horizontal="center"/>
    </xf>
    <xf numFmtId="0" fontId="20" fillId="0" borderId="0" xfId="0" applyFont="1"/>
    <xf numFmtId="0" fontId="1" fillId="0" borderId="4" xfId="0" applyFont="1" applyBorder="1" applyAlignment="1">
      <alignment horizontal="center"/>
    </xf>
    <xf numFmtId="0" fontId="21" fillId="0" borderId="5" xfId="0" applyFont="1" applyFill="1" applyBorder="1" applyAlignment="1">
      <alignment horizontal="center" vertical="center"/>
    </xf>
    <xf numFmtId="0" fontId="21" fillId="0" borderId="5" xfId="0" applyFont="1" applyBorder="1" applyAlignment="1">
      <alignment horizontal="center" vertical="center"/>
    </xf>
    <xf numFmtId="168" fontId="4" fillId="0" borderId="0" xfId="0" applyNumberFormat="1" applyFont="1" applyAlignment="1">
      <alignment horizontal="center"/>
    </xf>
    <xf numFmtId="168" fontId="14" fillId="0" borderId="0" xfId="0" applyNumberFormat="1" applyFont="1" applyFill="1" applyBorder="1" applyAlignment="1">
      <alignment horizontal="center"/>
    </xf>
    <xf numFmtId="170" fontId="13" fillId="0" borderId="0" xfId="0" applyNumberFormat="1" applyFont="1" applyFill="1" applyBorder="1" applyAlignment="1">
      <alignment horizontal="center" vertical="center"/>
    </xf>
    <xf numFmtId="168" fontId="13" fillId="0" borderId="0" xfId="0" applyNumberFormat="1" applyFont="1" applyFill="1" applyBorder="1" applyAlignment="1">
      <alignment horizontal="center"/>
    </xf>
    <xf numFmtId="170" fontId="13" fillId="0" borderId="0" xfId="0" applyNumberFormat="1" applyFont="1" applyFill="1" applyBorder="1" applyAlignment="1">
      <alignment horizontal="center"/>
    </xf>
    <xf numFmtId="2" fontId="0" fillId="0" borderId="0" xfId="0" applyNumberFormat="1" applyFill="1" applyBorder="1" applyAlignment="1">
      <alignment horizontal="center"/>
    </xf>
    <xf numFmtId="0" fontId="10" fillId="0" borderId="0" xfId="0" applyFont="1" applyFill="1" applyBorder="1" applyAlignment="1">
      <alignment horizontal="center" wrapText="1"/>
    </xf>
    <xf numFmtId="0" fontId="23" fillId="0" borderId="0" xfId="0" applyFont="1" applyFill="1" applyBorder="1"/>
    <xf numFmtId="2" fontId="0" fillId="0" borderId="0" xfId="0" applyNumberFormat="1" applyFill="1" applyAlignment="1">
      <alignment horizontal="center"/>
    </xf>
    <xf numFmtId="2" fontId="8" fillId="0" borderId="0" xfId="0" applyNumberFormat="1" applyFont="1" applyFill="1" applyAlignment="1">
      <alignment horizontal="center"/>
    </xf>
    <xf numFmtId="165" fontId="20" fillId="0" borderId="0" xfId="0" applyNumberFormat="1" applyFont="1" applyAlignment="1">
      <alignment horizontal="center"/>
    </xf>
    <xf numFmtId="0" fontId="6" fillId="0" borderId="0" xfId="0" applyFont="1"/>
    <xf numFmtId="165" fontId="6" fillId="0" borderId="0" xfId="0" applyNumberFormat="1" applyFont="1" applyAlignment="1">
      <alignment horizontal="center"/>
    </xf>
    <xf numFmtId="0" fontId="20" fillId="0" borderId="0" xfId="0" applyFont="1" applyAlignment="1">
      <alignment horizontal="center"/>
    </xf>
    <xf numFmtId="0" fontId="10" fillId="0" borderId="0" xfId="0" applyFont="1" applyFill="1" applyBorder="1" applyAlignment="1">
      <alignment horizontal="right"/>
    </xf>
    <xf numFmtId="0" fontId="4" fillId="0" borderId="2" xfId="0" applyFont="1" applyBorder="1" applyAlignment="1">
      <alignment horizontal="center" vertical="center" wrapText="1"/>
    </xf>
    <xf numFmtId="0" fontId="4" fillId="0" borderId="0" xfId="0" applyFont="1" applyFill="1" applyBorder="1" applyAlignment="1">
      <alignment horizontal="left" vertical="center"/>
    </xf>
    <xf numFmtId="0" fontId="16" fillId="0" borderId="0" xfId="0" applyFont="1" applyAlignment="1"/>
    <xf numFmtId="3" fontId="4" fillId="0" borderId="0" xfId="0" applyNumberFormat="1" applyFont="1" applyAlignment="1">
      <alignment horizontal="center" wrapText="1"/>
    </xf>
    <xf numFmtId="166" fontId="4" fillId="0" borderId="0" xfId="0" applyNumberFormat="1" applyFont="1" applyAlignment="1">
      <alignment horizontal="center" wrapText="1"/>
    </xf>
    <xf numFmtId="166" fontId="4" fillId="0" borderId="0" xfId="0" applyNumberFormat="1" applyFont="1" applyBorder="1" applyAlignment="1">
      <alignment horizontal="center" wrapText="1"/>
    </xf>
    <xf numFmtId="166" fontId="4" fillId="0" borderId="2" xfId="0" applyNumberFormat="1" applyFont="1" applyBorder="1" applyAlignment="1">
      <alignment horizontal="center" wrapText="1"/>
    </xf>
    <xf numFmtId="9" fontId="4" fillId="0" borderId="0" xfId="1" applyFont="1" applyAlignment="1">
      <alignment horizontal="center" wrapText="1"/>
    </xf>
    <xf numFmtId="9" fontId="4" fillId="0" borderId="0" xfId="1" applyFont="1" applyBorder="1" applyAlignment="1">
      <alignment horizontal="center" wrapText="1"/>
    </xf>
    <xf numFmtId="9" fontId="4" fillId="0" borderId="2" xfId="1" applyFont="1" applyBorder="1" applyAlignment="1">
      <alignment horizontal="center" wrapText="1"/>
    </xf>
    <xf numFmtId="0" fontId="24" fillId="0" borderId="0" xfId="0" applyFont="1"/>
    <xf numFmtId="3" fontId="20" fillId="0" borderId="0" xfId="0" applyNumberFormat="1" applyFont="1" applyAlignment="1">
      <alignment horizontal="center"/>
    </xf>
    <xf numFmtId="0" fontId="25" fillId="0" borderId="0" xfId="0" applyFont="1" applyAlignment="1">
      <alignment horizontal="center"/>
    </xf>
    <xf numFmtId="167" fontId="20" fillId="0" borderId="0" xfId="0" applyNumberFormat="1" applyFont="1" applyAlignment="1">
      <alignment horizontal="center"/>
    </xf>
    <xf numFmtId="167" fontId="21" fillId="0" borderId="5" xfId="0" applyNumberFormat="1" applyFont="1" applyFill="1" applyBorder="1" applyAlignment="1">
      <alignment horizontal="center" vertical="center"/>
    </xf>
    <xf numFmtId="167" fontId="21" fillId="0" borderId="5" xfId="0" applyNumberFormat="1" applyFont="1" applyBorder="1" applyAlignment="1">
      <alignment horizontal="center" vertical="center"/>
    </xf>
    <xf numFmtId="0" fontId="0" fillId="0" borderId="0" xfId="0" applyFill="1" applyBorder="1"/>
    <xf numFmtId="0" fontId="4" fillId="0" borderId="0" xfId="0" applyFont="1" applyFill="1" applyAlignment="1">
      <alignment horizontal="center"/>
    </xf>
    <xf numFmtId="0" fontId="4" fillId="4" borderId="0" xfId="0" applyFont="1" applyFill="1" applyAlignment="1">
      <alignment horizontal="center"/>
    </xf>
    <xf numFmtId="169" fontId="13" fillId="0" borderId="3" xfId="0" applyNumberFormat="1" applyFont="1" applyFill="1" applyBorder="1" applyAlignment="1" applyProtection="1">
      <alignment horizontal="center" vertical="center"/>
    </xf>
    <xf numFmtId="164" fontId="4" fillId="0" borderId="0" xfId="0" applyNumberFormat="1" applyFont="1" applyAlignment="1">
      <alignment horizontal="center"/>
    </xf>
    <xf numFmtId="0" fontId="4" fillId="0" borderId="0" xfId="0" applyFont="1" applyAlignment="1">
      <alignment horizontal="center" wrapText="1"/>
    </xf>
    <xf numFmtId="0" fontId="0" fillId="4" borderId="0" xfId="0" applyFill="1"/>
    <xf numFmtId="0" fontId="16" fillId="0" borderId="0" xfId="0" applyFont="1"/>
    <xf numFmtId="2" fontId="0" fillId="0" borderId="0" xfId="0" applyNumberFormat="1" applyAlignment="1">
      <alignment horizontal="left"/>
    </xf>
    <xf numFmtId="2" fontId="1" fillId="2" borderId="1" xfId="0" applyNumberFormat="1" applyFont="1" applyFill="1" applyBorder="1" applyAlignment="1">
      <alignment horizontal="center"/>
    </xf>
    <xf numFmtId="2" fontId="0" fillId="0" borderId="1" xfId="0" applyNumberFormat="1" applyBorder="1" applyAlignment="1">
      <alignment horizontal="center"/>
    </xf>
    <xf numFmtId="0" fontId="1" fillId="0" borderId="1" xfId="0" applyFont="1" applyFill="1" applyBorder="1" applyAlignment="1">
      <alignment horizontal="center"/>
    </xf>
    <xf numFmtId="2" fontId="1" fillId="0" borderId="1" xfId="0" applyNumberFormat="1" applyFont="1" applyFill="1" applyBorder="1" applyAlignment="1">
      <alignment horizontal="center"/>
    </xf>
    <xf numFmtId="2" fontId="0" fillId="0" borderId="0" xfId="0" applyNumberFormat="1" applyAlignment="1">
      <alignment horizontal="center"/>
    </xf>
    <xf numFmtId="0" fontId="29" fillId="0" borderId="0" xfId="0" applyFont="1" applyAlignment="1">
      <alignment horizontal="left"/>
    </xf>
    <xf numFmtId="0" fontId="30" fillId="0" borderId="0" xfId="0" applyFont="1"/>
    <xf numFmtId="0" fontId="30" fillId="0" borderId="0" xfId="0" applyFont="1" applyAlignment="1">
      <alignment horizontal="center"/>
    </xf>
    <xf numFmtId="0" fontId="1" fillId="0" borderId="0" xfId="0" applyFont="1" applyFill="1" applyBorder="1" applyAlignment="1">
      <alignment horizontal="left"/>
    </xf>
    <xf numFmtId="2" fontId="0" fillId="0" borderId="0" xfId="0" applyNumberFormat="1" applyAlignment="1"/>
    <xf numFmtId="0" fontId="1" fillId="0" borderId="0" xfId="0" applyFont="1" applyFill="1" applyBorder="1" applyAlignment="1">
      <alignment horizontal="center"/>
    </xf>
    <xf numFmtId="2" fontId="0" fillId="0" borderId="0" xfId="0" applyNumberFormat="1" applyAlignment="1">
      <alignment horizontal="center" wrapText="1"/>
    </xf>
    <xf numFmtId="0" fontId="0" fillId="0" borderId="0" xfId="0" applyFont="1" applyFill="1" applyBorder="1" applyAlignment="1">
      <alignment horizontal="left"/>
    </xf>
    <xf numFmtId="0" fontId="0" fillId="0" borderId="0" xfId="0" applyFont="1" applyFill="1" applyAlignment="1">
      <alignment horizontal="left"/>
    </xf>
    <xf numFmtId="2" fontId="1" fillId="0" borderId="0" xfId="0" applyNumberFormat="1" applyFont="1" applyFill="1" applyBorder="1" applyAlignment="1">
      <alignment horizontal="center"/>
    </xf>
    <xf numFmtId="2" fontId="0" fillId="0" borderId="0" xfId="0" applyNumberFormat="1" applyFont="1" applyFill="1" applyBorder="1" applyAlignment="1">
      <alignment horizontal="center"/>
    </xf>
    <xf numFmtId="2" fontId="0" fillId="0" borderId="0" xfId="0" applyNumberFormat="1" applyFont="1" applyBorder="1" applyAlignment="1">
      <alignment horizontal="center"/>
    </xf>
    <xf numFmtId="0" fontId="27" fillId="0" borderId="0" xfId="0" applyFont="1" applyAlignment="1"/>
    <xf numFmtId="0" fontId="16" fillId="0" borderId="0" xfId="0" applyFont="1" applyAlignment="1">
      <alignment wrapText="1"/>
    </xf>
    <xf numFmtId="0" fontId="28" fillId="0" borderId="0" xfId="0" applyFont="1" applyAlignment="1">
      <alignment wrapText="1"/>
    </xf>
    <xf numFmtId="0" fontId="28" fillId="0" borderId="0" xfId="0" applyFont="1" applyAlignment="1">
      <alignment horizontal="right" wrapText="1" indent="1"/>
    </xf>
    <xf numFmtId="0" fontId="31" fillId="0" borderId="0" xfId="0" applyFont="1" applyAlignment="1">
      <alignment horizontal="right" wrapText="1" indent="1"/>
    </xf>
    <xf numFmtId="0" fontId="26" fillId="5" borderId="0" xfId="0" applyFont="1" applyFill="1" applyAlignment="1">
      <alignment wrapText="1"/>
    </xf>
    <xf numFmtId="0" fontId="6" fillId="0" borderId="0" xfId="0" applyFont="1" applyAlignment="1">
      <alignment horizontal="center"/>
    </xf>
    <xf numFmtId="165" fontId="22" fillId="0" borderId="0" xfId="0" applyNumberFormat="1" applyFont="1" applyFill="1" applyBorder="1" applyAlignment="1">
      <alignment horizontal="center"/>
    </xf>
    <xf numFmtId="0" fontId="32" fillId="0" borderId="0" xfId="0" applyFont="1"/>
    <xf numFmtId="0" fontId="33" fillId="0" borderId="0" xfId="0" applyFont="1" applyAlignment="1">
      <alignment horizontal="center" wrapText="1"/>
    </xf>
    <xf numFmtId="0" fontId="33" fillId="0" borderId="0" xfId="0" applyFont="1" applyAlignment="1">
      <alignment horizontal="center"/>
    </xf>
    <xf numFmtId="0" fontId="6" fillId="2" borderId="1" xfId="0" applyFont="1" applyFill="1" applyBorder="1" applyAlignment="1">
      <alignment horizontal="center" wrapText="1"/>
    </xf>
    <xf numFmtId="0" fontId="9" fillId="0" borderId="0" xfId="0" applyFont="1" applyFill="1" applyBorder="1" applyAlignment="1">
      <alignment horizontal="center"/>
    </xf>
  </cellXfs>
  <cellStyles count="2">
    <cellStyle name="Normal" xfId="0" builtinId="0"/>
    <cellStyle name="Percent" xfId="1" builtinId="5"/>
  </cellStyles>
  <dxfs count="0"/>
  <tableStyles count="0" defaultTableStyle="TableStyleMedium2" defaultPivotStyle="PivotStyleLight16"/>
  <colors>
    <mruColors>
      <color rgb="FF0033CC"/>
      <color rgb="FFFF33CC"/>
      <color rgb="FFCC0099"/>
      <color rgb="FF88B6E0"/>
      <color rgb="FFDC3E1E"/>
      <color rgb="FF90BEF0"/>
      <color rgb="FFA3C9F3"/>
      <color rgb="FFE1A059"/>
      <color rgb="FFCA391C"/>
      <color rgb="FFB161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Sorption of Dissolved Metals</a:t>
            </a:r>
          </a:p>
        </c:rich>
      </c:tx>
      <c:layout>
        <c:manualLayout>
          <c:xMode val="edge"/>
          <c:yMode val="edge"/>
          <c:x val="0.37046804177726378"/>
          <c:y val="4.474060920426489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8679203934459648"/>
          <c:y val="0.16482414698162728"/>
          <c:w val="0.77240537165863976"/>
          <c:h val="0.63698660344036917"/>
        </c:manualLayout>
      </c:layout>
      <c:barChart>
        <c:barDir val="col"/>
        <c:grouping val="clustered"/>
        <c:varyColors val="0"/>
        <c:ser>
          <c:idx val="0"/>
          <c:order val="0"/>
          <c:spPr>
            <a:solidFill>
              <a:schemeClr val="tx2">
                <a:lumMod val="60000"/>
                <a:lumOff val="40000"/>
              </a:schemeClr>
            </a:solidFill>
            <a:ln w="25400">
              <a:noFill/>
            </a:ln>
            <a:effectLst/>
          </c:spPr>
          <c:invertIfNegative val="0"/>
          <c:cat>
            <c:numRef>
              <c:extLst>
                <c:ext xmlns:c15="http://schemas.microsoft.com/office/drawing/2012/chart" uri="{02D57815-91ED-43cb-92C2-25804820EDAC}">
                  <c15:fullRef>
                    <c15:sqref>'Total Sorbed Fig 5-9'!$B$5:$B$11</c15:sqref>
                  </c15:fullRef>
                </c:ext>
              </c:extLst>
              <c:f>'Total Sorbed Fig 5-9'!$B$6:$B$11</c:f>
              <c:numCache>
                <c:formatCode>General</c:formatCode>
                <c:ptCount val="6"/>
                <c:pt idx="0">
                  <c:v>16.399999999999999</c:v>
                </c:pt>
                <c:pt idx="1">
                  <c:v>63.8</c:v>
                </c:pt>
                <c:pt idx="2">
                  <c:v>94.2</c:v>
                </c:pt>
                <c:pt idx="3">
                  <c:v>131.5</c:v>
                </c:pt>
                <c:pt idx="4">
                  <c:v>164.1</c:v>
                </c:pt>
                <c:pt idx="5">
                  <c:v>190.2</c:v>
                </c:pt>
              </c:numCache>
            </c:numRef>
          </c:cat>
          <c:val>
            <c:numRef>
              <c:extLst>
                <c:ext xmlns:c15="http://schemas.microsoft.com/office/drawing/2012/chart" uri="{02D57815-91ED-43cb-92C2-25804820EDAC}">
                  <c15:fullRef>
                    <c15:sqref>'Total Sorbed Fig 5-9'!$I$5:$I$11</c15:sqref>
                  </c15:fullRef>
                </c:ext>
              </c:extLst>
              <c:f>'Total Sorbed Fig 5-9'!$I$6:$I$11</c:f>
              <c:numCache>
                <c:formatCode>#,##0</c:formatCode>
                <c:ptCount val="6"/>
                <c:pt idx="0">
                  <c:v>0</c:v>
                </c:pt>
                <c:pt idx="1">
                  <c:v>15287</c:v>
                </c:pt>
                <c:pt idx="2">
                  <c:v>16328</c:v>
                </c:pt>
                <c:pt idx="3">
                  <c:v>16341.5</c:v>
                </c:pt>
                <c:pt idx="4">
                  <c:v>16341.5</c:v>
                </c:pt>
                <c:pt idx="5">
                  <c:v>16341.5</c:v>
                </c:pt>
              </c:numCache>
            </c:numRef>
          </c:val>
          <c:extLst>
            <c:ext xmlns:c16="http://schemas.microsoft.com/office/drawing/2014/chart" uri="{C3380CC4-5D6E-409C-BE32-E72D297353CC}">
              <c16:uniqueId val="{00000000-9078-443E-AC00-A0766629FDAE}"/>
            </c:ext>
          </c:extLst>
        </c:ser>
        <c:dLbls>
          <c:showLegendKey val="0"/>
          <c:showVal val="0"/>
          <c:showCatName val="0"/>
          <c:showSerName val="0"/>
          <c:showPercent val="0"/>
          <c:showBubbleSize val="0"/>
        </c:dLbls>
        <c:gapWidth val="150"/>
        <c:axId val="455593648"/>
        <c:axId val="455775520"/>
      </c:barChart>
      <c:lineChart>
        <c:grouping val="standard"/>
        <c:varyColors val="0"/>
        <c:ser>
          <c:idx val="1"/>
          <c:order val="1"/>
          <c:tx>
            <c:strRef>
              <c:f>'Total Sorbed Fig 5-9'!$L$3</c:f>
              <c:strCache>
                <c:ptCount val="1"/>
                <c:pt idx="0">
                  <c:v>Total Dissolved Metals Load (kg)</c:v>
                </c:pt>
              </c:strCache>
            </c:strRef>
          </c:tx>
          <c:spPr>
            <a:ln w="15875" cap="rnd">
              <a:solidFill>
                <a:schemeClr val="accent2">
                  <a:lumMod val="75000"/>
                </a:schemeClr>
              </a:solidFill>
              <a:prstDash val="sysDash"/>
              <a:round/>
            </a:ln>
            <a:effectLst/>
          </c:spPr>
          <c:marker>
            <c:symbol val="none"/>
          </c:marker>
          <c:cat>
            <c:numRef>
              <c:extLst>
                <c:ext xmlns:c15="http://schemas.microsoft.com/office/drawing/2012/chart" uri="{02D57815-91ED-43cb-92C2-25804820EDAC}">
                  <c15:fullRef>
                    <c15:sqref>'Total Sorbed Fig 5-9'!$D$5:$D$11</c15:sqref>
                  </c15:fullRef>
                </c:ext>
              </c:extLst>
              <c:f>'Total Sorbed Fig 5-9'!$D$6:$D$11</c:f>
              <c:numCache>
                <c:formatCode>General</c:formatCode>
                <c:ptCount val="6"/>
                <c:pt idx="0">
                  <c:v>3.8999999999999986</c:v>
                </c:pt>
                <c:pt idx="1">
                  <c:v>51.3</c:v>
                </c:pt>
                <c:pt idx="2">
                  <c:v>81.7</c:v>
                </c:pt>
                <c:pt idx="3">
                  <c:v>119</c:v>
                </c:pt>
                <c:pt idx="4">
                  <c:v>151.6</c:v>
                </c:pt>
                <c:pt idx="5">
                  <c:v>177.7</c:v>
                </c:pt>
              </c:numCache>
            </c:numRef>
          </c:cat>
          <c:val>
            <c:numRef>
              <c:extLst>
                <c:ext xmlns:c15="http://schemas.microsoft.com/office/drawing/2012/chart" uri="{02D57815-91ED-43cb-92C2-25804820EDAC}">
                  <c15:fullRef>
                    <c15:sqref>'Total Sorbed Fig 5-9'!$L$5:$L$11</c15:sqref>
                  </c15:fullRef>
                </c:ext>
              </c:extLst>
              <c:f>'Total Sorbed Fig 5-9'!$L$6:$L$11</c:f>
              <c:numCache>
                <c:formatCode>General</c:formatCode>
                <c:ptCount val="6"/>
                <c:pt idx="0">
                  <c:v>16750</c:v>
                </c:pt>
                <c:pt idx="1">
                  <c:v>16750</c:v>
                </c:pt>
                <c:pt idx="2">
                  <c:v>16750</c:v>
                </c:pt>
                <c:pt idx="3">
                  <c:v>16750</c:v>
                </c:pt>
                <c:pt idx="4">
                  <c:v>16750</c:v>
                </c:pt>
                <c:pt idx="5">
                  <c:v>16750</c:v>
                </c:pt>
              </c:numCache>
            </c:numRef>
          </c:val>
          <c:smooth val="0"/>
          <c:extLst>
            <c:ext xmlns:c16="http://schemas.microsoft.com/office/drawing/2014/chart" uri="{C3380CC4-5D6E-409C-BE32-E72D297353CC}">
              <c16:uniqueId val="{00000001-9078-443E-AC00-A0766629FDAE}"/>
            </c:ext>
          </c:extLst>
        </c:ser>
        <c:dLbls>
          <c:showLegendKey val="0"/>
          <c:showVal val="0"/>
          <c:showCatName val="0"/>
          <c:showSerName val="0"/>
          <c:showPercent val="0"/>
          <c:showBubbleSize val="0"/>
        </c:dLbls>
        <c:marker val="1"/>
        <c:smooth val="0"/>
        <c:axId val="455593648"/>
        <c:axId val="455775520"/>
      </c:lineChart>
      <c:catAx>
        <c:axId val="4555936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Distance From GKM (km)</a:t>
                </a:r>
              </a:p>
            </c:rich>
          </c:tx>
          <c:layout>
            <c:manualLayout>
              <c:xMode val="edge"/>
              <c:yMode val="edge"/>
              <c:x val="0.37825670820273677"/>
              <c:y val="0.8904983595800525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455775520"/>
        <c:crosses val="autoZero"/>
        <c:auto val="1"/>
        <c:lblAlgn val="ctr"/>
        <c:lblOffset val="100"/>
        <c:noMultiLvlLbl val="0"/>
      </c:catAx>
      <c:valAx>
        <c:axId val="455775520"/>
        <c:scaling>
          <c:orientation val="minMax"/>
          <c:max val="20000"/>
          <c:min val="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Cumulative Sorbed Mass (kg)</a:t>
                </a:r>
              </a:p>
            </c:rich>
          </c:tx>
          <c:layout>
            <c:manualLayout>
              <c:xMode val="edge"/>
              <c:yMode val="edge"/>
              <c:x val="2.5811942998650594E-2"/>
              <c:y val="0.17801007811708996"/>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455593648"/>
        <c:crosses val="autoZero"/>
        <c:crossBetween val="between"/>
        <c:majorUnit val="5000"/>
        <c:minorUnit val="1000"/>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400" b="1">
          <a:solidFill>
            <a:sysClr val="windowText" lastClr="000000"/>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Sorption of Dissolved Metals</a:t>
            </a:r>
          </a:p>
        </c:rich>
      </c:tx>
      <c:layout>
        <c:manualLayout>
          <c:xMode val="edge"/>
          <c:yMode val="edge"/>
          <c:x val="0.33782514078944015"/>
          <c:y val="3.287106299212598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8679203934459648"/>
          <c:y val="0.16482414698162728"/>
          <c:w val="0.77240537165863976"/>
          <c:h val="0.63698660344036917"/>
        </c:manualLayout>
      </c:layout>
      <c:barChart>
        <c:barDir val="col"/>
        <c:grouping val="clustered"/>
        <c:varyColors val="0"/>
        <c:ser>
          <c:idx val="0"/>
          <c:order val="0"/>
          <c:spPr>
            <a:solidFill>
              <a:schemeClr val="tx2">
                <a:lumMod val="60000"/>
                <a:lumOff val="40000"/>
              </a:schemeClr>
            </a:solidFill>
            <a:ln w="25400">
              <a:noFill/>
            </a:ln>
            <a:effectLst/>
          </c:spPr>
          <c:invertIfNegative val="0"/>
          <c:cat>
            <c:numRef>
              <c:extLst>
                <c:ext xmlns:c15="http://schemas.microsoft.com/office/drawing/2012/chart" uri="{02D57815-91ED-43cb-92C2-25804820EDAC}">
                  <c15:fullRef>
                    <c15:sqref>'Total Sorbed Fig 5-9'!$B$5:$B$11</c15:sqref>
                  </c15:fullRef>
                </c:ext>
              </c:extLst>
              <c:f>'Total Sorbed Fig 5-9'!$B$6:$B$11</c:f>
              <c:numCache>
                <c:formatCode>General</c:formatCode>
                <c:ptCount val="6"/>
                <c:pt idx="0">
                  <c:v>16.399999999999999</c:v>
                </c:pt>
                <c:pt idx="1">
                  <c:v>63.8</c:v>
                </c:pt>
                <c:pt idx="2">
                  <c:v>94.2</c:v>
                </c:pt>
                <c:pt idx="3">
                  <c:v>131.5</c:v>
                </c:pt>
                <c:pt idx="4">
                  <c:v>164.1</c:v>
                </c:pt>
                <c:pt idx="5">
                  <c:v>190.2</c:v>
                </c:pt>
              </c:numCache>
            </c:numRef>
          </c:cat>
          <c:val>
            <c:numRef>
              <c:extLst>
                <c:ext xmlns:c15="http://schemas.microsoft.com/office/drawing/2012/chart" uri="{02D57815-91ED-43cb-92C2-25804820EDAC}">
                  <c15:fullRef>
                    <c15:sqref>'Total Sorbed Fig 5-9'!$I$5:$I$11</c15:sqref>
                  </c15:fullRef>
                </c:ext>
              </c:extLst>
              <c:f>'Total Sorbed Fig 5-9'!$I$6:$I$11</c:f>
              <c:numCache>
                <c:formatCode>#,##0</c:formatCode>
                <c:ptCount val="6"/>
                <c:pt idx="0">
                  <c:v>0</c:v>
                </c:pt>
                <c:pt idx="1">
                  <c:v>15287</c:v>
                </c:pt>
                <c:pt idx="2">
                  <c:v>16328</c:v>
                </c:pt>
                <c:pt idx="3">
                  <c:v>16341.5</c:v>
                </c:pt>
                <c:pt idx="4">
                  <c:v>16341.5</c:v>
                </c:pt>
                <c:pt idx="5">
                  <c:v>16341.5</c:v>
                </c:pt>
              </c:numCache>
            </c:numRef>
          </c:val>
          <c:extLst>
            <c:ext xmlns:c16="http://schemas.microsoft.com/office/drawing/2014/chart" uri="{C3380CC4-5D6E-409C-BE32-E72D297353CC}">
              <c16:uniqueId val="{00000000-49C9-4375-82A7-E5598034C734}"/>
            </c:ext>
          </c:extLst>
        </c:ser>
        <c:dLbls>
          <c:showLegendKey val="0"/>
          <c:showVal val="0"/>
          <c:showCatName val="0"/>
          <c:showSerName val="0"/>
          <c:showPercent val="0"/>
          <c:showBubbleSize val="0"/>
        </c:dLbls>
        <c:gapWidth val="150"/>
        <c:axId val="455593648"/>
        <c:axId val="455775520"/>
      </c:barChart>
      <c:lineChart>
        <c:grouping val="standard"/>
        <c:varyColors val="0"/>
        <c:ser>
          <c:idx val="1"/>
          <c:order val="1"/>
          <c:tx>
            <c:strRef>
              <c:f>'Total Sorbed Fig 5-9'!$L$3</c:f>
              <c:strCache>
                <c:ptCount val="1"/>
                <c:pt idx="0">
                  <c:v>Total Dissolved Metals Load (kg)</c:v>
                </c:pt>
              </c:strCache>
            </c:strRef>
          </c:tx>
          <c:spPr>
            <a:ln w="15875" cap="rnd">
              <a:solidFill>
                <a:schemeClr val="accent2">
                  <a:lumMod val="75000"/>
                </a:schemeClr>
              </a:solidFill>
              <a:prstDash val="sysDash"/>
              <a:round/>
            </a:ln>
            <a:effectLst/>
          </c:spPr>
          <c:marker>
            <c:symbol val="none"/>
          </c:marker>
          <c:cat>
            <c:numRef>
              <c:extLst>
                <c:ext xmlns:c15="http://schemas.microsoft.com/office/drawing/2012/chart" uri="{02D57815-91ED-43cb-92C2-25804820EDAC}">
                  <c15:fullRef>
                    <c15:sqref>'Total Sorbed Fig 5-9'!$D$5:$D$11</c15:sqref>
                  </c15:fullRef>
                </c:ext>
              </c:extLst>
              <c:f>'Total Sorbed Fig 5-9'!$D$6:$D$11</c:f>
              <c:numCache>
                <c:formatCode>General</c:formatCode>
                <c:ptCount val="6"/>
                <c:pt idx="0">
                  <c:v>3.8999999999999986</c:v>
                </c:pt>
                <c:pt idx="1">
                  <c:v>51.3</c:v>
                </c:pt>
                <c:pt idx="2">
                  <c:v>81.7</c:v>
                </c:pt>
                <c:pt idx="3">
                  <c:v>119</c:v>
                </c:pt>
                <c:pt idx="4">
                  <c:v>151.6</c:v>
                </c:pt>
                <c:pt idx="5">
                  <c:v>177.7</c:v>
                </c:pt>
              </c:numCache>
            </c:numRef>
          </c:cat>
          <c:val>
            <c:numRef>
              <c:extLst>
                <c:ext xmlns:c15="http://schemas.microsoft.com/office/drawing/2012/chart" uri="{02D57815-91ED-43cb-92C2-25804820EDAC}">
                  <c15:fullRef>
                    <c15:sqref>'Total Sorbed Fig 5-9'!$L$5:$L$11</c15:sqref>
                  </c15:fullRef>
                </c:ext>
              </c:extLst>
              <c:f>'Total Sorbed Fig 5-9'!$L$6:$L$11</c:f>
              <c:numCache>
                <c:formatCode>General</c:formatCode>
                <c:ptCount val="6"/>
                <c:pt idx="0">
                  <c:v>16750</c:v>
                </c:pt>
                <c:pt idx="1">
                  <c:v>16750</c:v>
                </c:pt>
                <c:pt idx="2">
                  <c:v>16750</c:v>
                </c:pt>
                <c:pt idx="3">
                  <c:v>16750</c:v>
                </c:pt>
                <c:pt idx="4">
                  <c:v>16750</c:v>
                </c:pt>
                <c:pt idx="5">
                  <c:v>16750</c:v>
                </c:pt>
              </c:numCache>
            </c:numRef>
          </c:val>
          <c:smooth val="0"/>
          <c:extLst>
            <c:ext xmlns:c16="http://schemas.microsoft.com/office/drawing/2014/chart" uri="{C3380CC4-5D6E-409C-BE32-E72D297353CC}">
              <c16:uniqueId val="{00000001-49C9-4375-82A7-E5598034C734}"/>
            </c:ext>
          </c:extLst>
        </c:ser>
        <c:dLbls>
          <c:showLegendKey val="0"/>
          <c:showVal val="0"/>
          <c:showCatName val="0"/>
          <c:showSerName val="0"/>
          <c:showPercent val="0"/>
          <c:showBubbleSize val="0"/>
        </c:dLbls>
        <c:marker val="1"/>
        <c:smooth val="0"/>
        <c:axId val="455593648"/>
        <c:axId val="455775520"/>
      </c:lineChart>
      <c:catAx>
        <c:axId val="4555936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Distance From GKM (km)</a:t>
                </a:r>
              </a:p>
            </c:rich>
          </c:tx>
          <c:layout>
            <c:manualLayout>
              <c:xMode val="edge"/>
              <c:yMode val="edge"/>
              <c:x val="0.37825670820273677"/>
              <c:y val="0.8904983595800525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455775520"/>
        <c:crosses val="autoZero"/>
        <c:auto val="1"/>
        <c:lblAlgn val="ctr"/>
        <c:lblOffset val="100"/>
        <c:noMultiLvlLbl val="0"/>
      </c:catAx>
      <c:valAx>
        <c:axId val="455775520"/>
        <c:scaling>
          <c:orientation val="minMax"/>
          <c:max val="20000"/>
          <c:min val="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Cumulative Sorbed Mass (kg)</a:t>
                </a:r>
              </a:p>
            </c:rich>
          </c:tx>
          <c:layout>
            <c:manualLayout>
              <c:xMode val="edge"/>
              <c:yMode val="edge"/>
              <c:x val="2.3300970873786409E-2"/>
              <c:y val="0.1621840551181102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455593648"/>
        <c:crosses val="autoZero"/>
        <c:crossBetween val="between"/>
        <c:majorUnit val="5000"/>
        <c:minorUnit val="1000"/>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chemeClr val="tx1">
                    <a:lumMod val="95000"/>
                    <a:lumOff val="5000"/>
                  </a:schemeClr>
                </a:solidFill>
                <a:latin typeface="Calibri" panose="020F0502020204030204" pitchFamily="34" charset="0"/>
                <a:ea typeface="+mn-ea"/>
                <a:cs typeface="Calibri" panose="020F0502020204030204" pitchFamily="34" charset="0"/>
              </a:defRPr>
            </a:pPr>
            <a:r>
              <a:rPr lang="en-US" sz="1300"/>
              <a:t>pH at Peak of Gold King Plume</a:t>
            </a:r>
          </a:p>
        </c:rich>
      </c:tx>
      <c:layout>
        <c:manualLayout>
          <c:xMode val="edge"/>
          <c:yMode val="edge"/>
          <c:x val="0.32645920215995944"/>
          <c:y val="6.188177224115643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chemeClr val="tx1">
                  <a:lumMod val="95000"/>
                  <a:lumOff val="5000"/>
                </a:schemeClr>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1256731499680458"/>
          <c:y val="0.17171296296296298"/>
          <c:w val="0.8517660866664255"/>
          <c:h val="0.67869587866402192"/>
        </c:manualLayout>
      </c:layout>
      <c:scatterChart>
        <c:scatterStyle val="lineMarker"/>
        <c:varyColors val="0"/>
        <c:ser>
          <c:idx val="0"/>
          <c:order val="0"/>
          <c:tx>
            <c:v>SUIT</c:v>
          </c:tx>
          <c:spPr>
            <a:ln w="25400" cap="rnd">
              <a:noFill/>
              <a:round/>
            </a:ln>
            <a:effectLst/>
          </c:spPr>
          <c:marker>
            <c:symbol val="diamond"/>
            <c:size val="9"/>
            <c:spPr>
              <a:solidFill>
                <a:schemeClr val="accent6">
                  <a:lumMod val="60000"/>
                  <a:lumOff val="40000"/>
                </a:schemeClr>
              </a:solidFill>
              <a:ln w="9525">
                <a:solidFill>
                  <a:schemeClr val="tx1">
                    <a:lumMod val="85000"/>
                    <a:lumOff val="15000"/>
                  </a:schemeClr>
                </a:solidFill>
              </a:ln>
              <a:effectLst/>
            </c:spPr>
          </c:marker>
          <c:xVal>
            <c:numRef>
              <c:f>'pH Measures'!$J$41:$J$43</c:f>
              <c:numCache>
                <c:formatCode>General</c:formatCode>
                <c:ptCount val="3"/>
                <c:pt idx="0">
                  <c:v>104</c:v>
                </c:pt>
                <c:pt idx="1">
                  <c:v>109</c:v>
                </c:pt>
                <c:pt idx="2">
                  <c:v>131.5</c:v>
                </c:pt>
              </c:numCache>
            </c:numRef>
          </c:xVal>
          <c:yVal>
            <c:numRef>
              <c:f>'pH Measures'!$K$41:$K$43</c:f>
              <c:numCache>
                <c:formatCode>0.00</c:formatCode>
                <c:ptCount val="3"/>
                <c:pt idx="0">
                  <c:v>7.42</c:v>
                </c:pt>
                <c:pt idx="1">
                  <c:v>7.38</c:v>
                </c:pt>
                <c:pt idx="2">
                  <c:v>7.92</c:v>
                </c:pt>
              </c:numCache>
            </c:numRef>
          </c:yVal>
          <c:smooth val="0"/>
          <c:extLst>
            <c:ext xmlns:c16="http://schemas.microsoft.com/office/drawing/2014/chart" uri="{C3380CC4-5D6E-409C-BE32-E72D297353CC}">
              <c16:uniqueId val="{00000000-2608-42B3-8C5F-654F50DB8DC6}"/>
            </c:ext>
          </c:extLst>
        </c:ser>
        <c:ser>
          <c:idx val="1"/>
          <c:order val="1"/>
          <c:tx>
            <c:v>NMED</c:v>
          </c:tx>
          <c:spPr>
            <a:ln w="25400" cap="rnd">
              <a:noFill/>
              <a:round/>
            </a:ln>
            <a:effectLst/>
          </c:spPr>
          <c:marker>
            <c:symbol val="circle"/>
            <c:size val="9"/>
            <c:spPr>
              <a:solidFill>
                <a:schemeClr val="accent2">
                  <a:lumMod val="60000"/>
                  <a:lumOff val="40000"/>
                </a:schemeClr>
              </a:solidFill>
              <a:ln w="9525">
                <a:solidFill>
                  <a:schemeClr val="bg2">
                    <a:lumMod val="25000"/>
                  </a:schemeClr>
                </a:solidFill>
              </a:ln>
              <a:effectLst/>
            </c:spPr>
          </c:marker>
          <c:xVal>
            <c:numRef>
              <c:f>'pH Measures'!$J$44:$J$45</c:f>
              <c:numCache>
                <c:formatCode>0.00</c:formatCode>
                <c:ptCount val="2"/>
                <c:pt idx="0">
                  <c:v>163</c:v>
                </c:pt>
                <c:pt idx="1">
                  <c:v>190</c:v>
                </c:pt>
              </c:numCache>
            </c:numRef>
          </c:xVal>
          <c:yVal>
            <c:numRef>
              <c:f>'pH Measures'!$K$44:$K$45</c:f>
              <c:numCache>
                <c:formatCode>0.00</c:formatCode>
                <c:ptCount val="2"/>
                <c:pt idx="0">
                  <c:v>7.9</c:v>
                </c:pt>
                <c:pt idx="1">
                  <c:v>8.11</c:v>
                </c:pt>
              </c:numCache>
            </c:numRef>
          </c:yVal>
          <c:smooth val="0"/>
          <c:extLst>
            <c:ext xmlns:c16="http://schemas.microsoft.com/office/drawing/2014/chart" uri="{C3380CC4-5D6E-409C-BE32-E72D297353CC}">
              <c16:uniqueId val="{00000002-2608-42B3-8C5F-654F50DB8DC6}"/>
            </c:ext>
          </c:extLst>
        </c:ser>
        <c:ser>
          <c:idx val="2"/>
          <c:order val="2"/>
          <c:tx>
            <c:v>Estimated Cement Creek</c:v>
          </c:tx>
          <c:spPr>
            <a:ln w="25400" cap="rnd">
              <a:noFill/>
              <a:round/>
            </a:ln>
            <a:effectLst/>
          </c:spPr>
          <c:marker>
            <c:symbol val="triangle"/>
            <c:size val="10"/>
            <c:spPr>
              <a:solidFill>
                <a:schemeClr val="tx1">
                  <a:lumMod val="65000"/>
                  <a:lumOff val="35000"/>
                </a:schemeClr>
              </a:solidFill>
              <a:ln w="9525">
                <a:solidFill>
                  <a:schemeClr val="tx1">
                    <a:lumMod val="75000"/>
                    <a:lumOff val="25000"/>
                  </a:schemeClr>
                </a:solidFill>
              </a:ln>
              <a:effectLst/>
            </c:spPr>
          </c:marker>
          <c:xVal>
            <c:numRef>
              <c:f>'pH Measures'!$J$36:$J$37</c:f>
              <c:numCache>
                <c:formatCode>General</c:formatCode>
                <c:ptCount val="2"/>
                <c:pt idx="0">
                  <c:v>0.01</c:v>
                </c:pt>
                <c:pt idx="1">
                  <c:v>12.6</c:v>
                </c:pt>
              </c:numCache>
            </c:numRef>
          </c:xVal>
          <c:yVal>
            <c:numRef>
              <c:f>'pH Measures'!$K$36:$K$37</c:f>
              <c:numCache>
                <c:formatCode>0.00</c:formatCode>
                <c:ptCount val="2"/>
                <c:pt idx="0">
                  <c:v>2.9</c:v>
                </c:pt>
                <c:pt idx="1">
                  <c:v>3.25</c:v>
                </c:pt>
              </c:numCache>
            </c:numRef>
          </c:yVal>
          <c:smooth val="0"/>
          <c:extLst>
            <c:ext xmlns:c16="http://schemas.microsoft.com/office/drawing/2014/chart" uri="{C3380CC4-5D6E-409C-BE32-E72D297353CC}">
              <c16:uniqueId val="{00000003-2608-42B3-8C5F-654F50DB8DC6}"/>
            </c:ext>
          </c:extLst>
        </c:ser>
        <c:ser>
          <c:idx val="3"/>
          <c:order val="3"/>
          <c:tx>
            <c:v>Estimated Upper Animas</c:v>
          </c:tx>
          <c:spPr>
            <a:ln w="25400" cap="rnd">
              <a:noFill/>
              <a:round/>
            </a:ln>
            <a:effectLst/>
          </c:spPr>
          <c:marker>
            <c:symbol val="square"/>
            <c:size val="8"/>
            <c:spPr>
              <a:solidFill>
                <a:schemeClr val="accent4">
                  <a:lumMod val="60000"/>
                  <a:lumOff val="40000"/>
                </a:schemeClr>
              </a:solidFill>
              <a:ln w="9525">
                <a:solidFill>
                  <a:schemeClr val="tx1">
                    <a:lumMod val="75000"/>
                    <a:lumOff val="25000"/>
                  </a:schemeClr>
                </a:solidFill>
              </a:ln>
              <a:effectLst/>
            </c:spPr>
          </c:marker>
          <c:xVal>
            <c:numRef>
              <c:f>'pH Measures'!$J$38:$J$40</c:f>
              <c:numCache>
                <c:formatCode>General</c:formatCode>
                <c:ptCount val="3"/>
                <c:pt idx="0">
                  <c:v>14</c:v>
                </c:pt>
                <c:pt idx="1">
                  <c:v>16.399999999999999</c:v>
                </c:pt>
                <c:pt idx="2">
                  <c:v>94.2</c:v>
                </c:pt>
              </c:numCache>
            </c:numRef>
          </c:xVal>
          <c:yVal>
            <c:numRef>
              <c:f>'pH Measures'!$K$38:$K$40</c:f>
              <c:numCache>
                <c:formatCode>General</c:formatCode>
                <c:ptCount val="3"/>
                <c:pt idx="0">
                  <c:v>5.4</c:v>
                </c:pt>
                <c:pt idx="1">
                  <c:v>5.8</c:v>
                </c:pt>
                <c:pt idx="2" formatCode="0.00">
                  <c:v>6.78</c:v>
                </c:pt>
              </c:numCache>
            </c:numRef>
          </c:yVal>
          <c:smooth val="0"/>
          <c:extLst>
            <c:ext xmlns:c16="http://schemas.microsoft.com/office/drawing/2014/chart" uri="{C3380CC4-5D6E-409C-BE32-E72D297353CC}">
              <c16:uniqueId val="{00000004-2608-42B3-8C5F-654F50DB8DC6}"/>
            </c:ext>
          </c:extLst>
        </c:ser>
        <c:ser>
          <c:idx val="4"/>
          <c:order val="4"/>
          <c:tx>
            <c:v>flat piece</c:v>
          </c:tx>
          <c:spPr>
            <a:ln w="25400" cap="rnd">
              <a:noFill/>
              <a:round/>
            </a:ln>
            <a:effectLst/>
          </c:spPr>
          <c:marker>
            <c:symbol val="none"/>
          </c:marker>
          <c:trendline>
            <c:spPr>
              <a:ln w="19050" cap="rnd">
                <a:solidFill>
                  <a:schemeClr val="accent5"/>
                </a:solidFill>
                <a:prstDash val="sysDot"/>
              </a:ln>
              <a:effectLst/>
            </c:spPr>
            <c:trendlineType val="linear"/>
            <c:backward val="25"/>
            <c:dispRSqr val="0"/>
            <c:dispEq val="0"/>
          </c:trendline>
          <c:xVal>
            <c:numRef>
              <c:f>'pH Measures'!$J$43:$J$45</c:f>
              <c:numCache>
                <c:formatCode>0.00</c:formatCode>
                <c:ptCount val="3"/>
                <c:pt idx="0" formatCode="General">
                  <c:v>131.5</c:v>
                </c:pt>
                <c:pt idx="1">
                  <c:v>163</c:v>
                </c:pt>
                <c:pt idx="2">
                  <c:v>190</c:v>
                </c:pt>
              </c:numCache>
            </c:numRef>
          </c:xVal>
          <c:yVal>
            <c:numRef>
              <c:f>'pH Measures'!$M$43:$M$45</c:f>
              <c:numCache>
                <c:formatCode>0.00</c:formatCode>
                <c:ptCount val="3"/>
                <c:pt idx="0">
                  <c:v>7.92</c:v>
                </c:pt>
                <c:pt idx="1">
                  <c:v>7.9</c:v>
                </c:pt>
                <c:pt idx="2">
                  <c:v>8.11</c:v>
                </c:pt>
              </c:numCache>
            </c:numRef>
          </c:yVal>
          <c:smooth val="0"/>
          <c:extLst>
            <c:ext xmlns:c16="http://schemas.microsoft.com/office/drawing/2014/chart" uri="{C3380CC4-5D6E-409C-BE32-E72D297353CC}">
              <c16:uniqueId val="{00000001-ED72-4319-A751-5182CF53DE0D}"/>
            </c:ext>
          </c:extLst>
        </c:ser>
        <c:ser>
          <c:idx val="5"/>
          <c:order val="5"/>
          <c:tx>
            <c:v>neutralization</c:v>
          </c:tx>
          <c:spPr>
            <a:ln w="25400" cap="rnd">
              <a:noFill/>
              <a:round/>
            </a:ln>
            <a:effectLst/>
          </c:spPr>
          <c:marker>
            <c:symbol val="none"/>
          </c:marker>
          <c:trendline>
            <c:spPr>
              <a:ln w="19050" cap="rnd">
                <a:solidFill>
                  <a:schemeClr val="tx1">
                    <a:lumMod val="85000"/>
                    <a:lumOff val="15000"/>
                  </a:schemeClr>
                </a:solidFill>
                <a:prstDash val="sysDot"/>
              </a:ln>
              <a:effectLst/>
            </c:spPr>
            <c:trendlineType val="linear"/>
            <c:forward val="25"/>
            <c:dispRSqr val="0"/>
            <c:dispEq val="1"/>
            <c:trendlineLbl>
              <c:layout>
                <c:manualLayout>
                  <c:x val="-0.14384362382509672"/>
                  <c:y val="0.26943496062992128"/>
                </c:manualLayout>
              </c:layout>
              <c:tx>
                <c:rich>
                  <a:bodyPr rot="0" spcFirstLastPara="1" vertOverflow="ellipsis" vert="horz" wrap="square" anchor="ctr" anchorCtr="1"/>
                  <a:lstStyle/>
                  <a:p>
                    <a:pPr>
                      <a:defRPr sz="1100" b="1"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r>
                      <a:rPr lang="en-US" sz="1100"/>
                      <a:t>pH = 0.0213  x Distance + 5.05</a:t>
                    </a:r>
                  </a:p>
                </c:rich>
              </c:tx>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endParaRPr lang="en-US"/>
                </a:p>
              </c:txPr>
            </c:trendlineLbl>
          </c:trendline>
          <c:xVal>
            <c:numRef>
              <c:f>'pH Measures'!$J$38:$J$43</c:f>
              <c:numCache>
                <c:formatCode>General</c:formatCode>
                <c:ptCount val="6"/>
                <c:pt idx="0">
                  <c:v>14</c:v>
                </c:pt>
                <c:pt idx="1">
                  <c:v>16.399999999999999</c:v>
                </c:pt>
                <c:pt idx="2">
                  <c:v>94.2</c:v>
                </c:pt>
                <c:pt idx="3">
                  <c:v>104</c:v>
                </c:pt>
                <c:pt idx="4">
                  <c:v>109</c:v>
                </c:pt>
                <c:pt idx="5">
                  <c:v>131.5</c:v>
                </c:pt>
              </c:numCache>
            </c:numRef>
          </c:xVal>
          <c:yVal>
            <c:numRef>
              <c:f>'pH Measures'!$M$38:$M$43</c:f>
              <c:numCache>
                <c:formatCode>0.00</c:formatCode>
                <c:ptCount val="6"/>
                <c:pt idx="0">
                  <c:v>5.4</c:v>
                </c:pt>
                <c:pt idx="1">
                  <c:v>5.8</c:v>
                </c:pt>
                <c:pt idx="2" formatCode="General">
                  <c:v>6.78</c:v>
                </c:pt>
                <c:pt idx="3">
                  <c:v>7.42</c:v>
                </c:pt>
                <c:pt idx="4">
                  <c:v>7.38</c:v>
                </c:pt>
                <c:pt idx="5">
                  <c:v>7.92</c:v>
                </c:pt>
              </c:numCache>
            </c:numRef>
          </c:yVal>
          <c:smooth val="0"/>
          <c:extLst>
            <c:ext xmlns:c16="http://schemas.microsoft.com/office/drawing/2014/chart" uri="{C3380CC4-5D6E-409C-BE32-E72D297353CC}">
              <c16:uniqueId val="{00000002-ED72-4319-A751-5182CF53DE0D}"/>
            </c:ext>
          </c:extLst>
        </c:ser>
        <c:dLbls>
          <c:showLegendKey val="0"/>
          <c:showVal val="0"/>
          <c:showCatName val="0"/>
          <c:showSerName val="0"/>
          <c:showPercent val="0"/>
          <c:showBubbleSize val="0"/>
        </c:dLbls>
        <c:axId val="454757696"/>
        <c:axId val="454758088"/>
      </c:scatterChart>
      <c:valAx>
        <c:axId val="454757696"/>
        <c:scaling>
          <c:orientation val="minMax"/>
        </c:scaling>
        <c:delete val="0"/>
        <c:axPos val="b"/>
        <c:title>
          <c:tx>
            <c:rich>
              <a:bodyPr rot="0" spcFirstLastPara="1" vertOverflow="ellipsis" vert="horz" wrap="square" anchor="ctr" anchorCtr="1"/>
              <a:lstStyle/>
              <a:p>
                <a:pPr>
                  <a:defRPr sz="1150" b="1"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r>
                  <a:rPr lang="en-US" sz="1150"/>
                  <a:t>Distance from GKM Source (km)</a:t>
                </a:r>
              </a:p>
            </c:rich>
          </c:tx>
          <c:layout>
            <c:manualLayout>
              <c:xMode val="edge"/>
              <c:yMode val="edge"/>
              <c:x val="0.37411534890451098"/>
              <c:y val="0.92015661162922002"/>
            </c:manualLayout>
          </c:layout>
          <c:overlay val="0"/>
          <c:spPr>
            <a:noFill/>
            <a:ln>
              <a:noFill/>
            </a:ln>
            <a:effectLst/>
          </c:spPr>
          <c:txPr>
            <a:bodyPr rot="0" spcFirstLastPara="1" vertOverflow="ellipsis" vert="horz" wrap="square" anchor="ctr" anchorCtr="1"/>
            <a:lstStyle/>
            <a:p>
              <a:pPr>
                <a:defRPr sz="1150" b="1"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endParaRPr lang="en-US"/>
          </a:p>
        </c:txPr>
        <c:crossAx val="454758088"/>
        <c:crosses val="autoZero"/>
        <c:crossBetween val="midCat"/>
        <c:majorUnit val="50"/>
        <c:minorUnit val="10"/>
      </c:valAx>
      <c:valAx>
        <c:axId val="454758088"/>
        <c:scaling>
          <c:orientation val="minMax"/>
          <c:min val="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r>
                  <a:rPr lang="en-US" sz="1300"/>
                  <a:t>pH</a:t>
                </a:r>
              </a:p>
            </c:rich>
          </c:tx>
          <c:layout>
            <c:manualLayout>
              <c:xMode val="edge"/>
              <c:yMode val="edge"/>
              <c:x val="1.9416945010510746E-2"/>
              <c:y val="0.43153775990767113"/>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endParaRPr lang="en-US"/>
          </a:p>
        </c:txPr>
        <c:crossAx val="454757696"/>
        <c:crosses val="autoZero"/>
        <c:crossBetween val="midCat"/>
      </c:valAx>
      <c:spPr>
        <a:noFill/>
        <a:ln>
          <a:solidFill>
            <a:schemeClr val="bg1">
              <a:lumMod val="75000"/>
            </a:schemeClr>
          </a:solidFill>
        </a:ln>
        <a:effectLst/>
      </c:spPr>
    </c:plotArea>
    <c:legend>
      <c:legendPos val="b"/>
      <c:legendEntry>
        <c:idx val="4"/>
        <c:delete val="1"/>
      </c:legendEntry>
      <c:legendEntry>
        <c:idx val="5"/>
        <c:delete val="1"/>
      </c:legendEntry>
      <c:legendEntry>
        <c:idx val="6"/>
        <c:delete val="1"/>
      </c:legendEntry>
      <c:legendEntry>
        <c:idx val="7"/>
        <c:delete val="1"/>
      </c:legendEntry>
      <c:layout>
        <c:manualLayout>
          <c:xMode val="edge"/>
          <c:yMode val="edge"/>
          <c:x val="0.55399741954154658"/>
          <c:y val="0.60465963031216841"/>
          <c:w val="0.39021837431117434"/>
          <c:h val="0.19409392974814318"/>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95000"/>
                  <a:lumOff val="5000"/>
                </a:schemeClr>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lumMod val="95000"/>
              <a:lumOff val="5000"/>
            </a:schemeClr>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Calibri" panose="020F0502020204030204" pitchFamily="34" charset="0"/>
                <a:ea typeface="+mn-ea"/>
                <a:cs typeface="Calibri" panose="020F0502020204030204" pitchFamily="34" charset="0"/>
              </a:defRPr>
            </a:pPr>
            <a:r>
              <a:rPr lang="en-US"/>
              <a:t>pH at Peak of Gold King Plume</a:t>
            </a:r>
          </a:p>
        </c:rich>
      </c:tx>
      <c:layout>
        <c:manualLayout>
          <c:xMode val="edge"/>
          <c:yMode val="edge"/>
          <c:x val="0.28762879640044997"/>
          <c:y val="5.4842430410484401E-2"/>
        </c:manualLayout>
      </c:layout>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3706955380577429"/>
          <c:y val="0.17171296296296298"/>
          <c:w val="0.82726377952755903"/>
          <c:h val="0.62271617089530473"/>
        </c:manualLayout>
      </c:layout>
      <c:scatterChart>
        <c:scatterStyle val="lineMarker"/>
        <c:varyColors val="0"/>
        <c:ser>
          <c:idx val="0"/>
          <c:order val="0"/>
          <c:spPr>
            <a:ln w="25400" cap="rnd">
              <a:noFill/>
              <a:round/>
            </a:ln>
            <a:effectLst/>
          </c:spPr>
          <c:marker>
            <c:symbol val="circle"/>
            <c:size val="9"/>
            <c:spPr>
              <a:solidFill>
                <a:schemeClr val="accent4">
                  <a:lumMod val="60000"/>
                  <a:lumOff val="40000"/>
                </a:schemeClr>
              </a:solidFill>
              <a:ln w="9525">
                <a:solidFill>
                  <a:schemeClr val="accent2">
                    <a:lumMod val="75000"/>
                  </a:schemeClr>
                </a:solidFill>
              </a:ln>
              <a:effectLst/>
            </c:spPr>
          </c:marker>
          <c:xVal>
            <c:numRef>
              <c:f>'pH Measures'!$B$36:$B$44</c:f>
              <c:numCache>
                <c:formatCode>General</c:formatCode>
                <c:ptCount val="9"/>
                <c:pt idx="0">
                  <c:v>0.01</c:v>
                </c:pt>
                <c:pt idx="1">
                  <c:v>12.6</c:v>
                </c:pt>
                <c:pt idx="2">
                  <c:v>64</c:v>
                </c:pt>
                <c:pt idx="3">
                  <c:v>94.2</c:v>
                </c:pt>
                <c:pt idx="4" formatCode="0.00">
                  <c:v>104</c:v>
                </c:pt>
                <c:pt idx="5" formatCode="0.00">
                  <c:v>109</c:v>
                </c:pt>
                <c:pt idx="6" formatCode="0.00">
                  <c:v>131.5</c:v>
                </c:pt>
                <c:pt idx="7" formatCode="0.00">
                  <c:v>164</c:v>
                </c:pt>
                <c:pt idx="8" formatCode="0.00">
                  <c:v>190</c:v>
                </c:pt>
              </c:numCache>
            </c:numRef>
          </c:xVal>
          <c:yVal>
            <c:numRef>
              <c:f>'pH Measures'!$C$36:$C$44</c:f>
              <c:numCache>
                <c:formatCode>General</c:formatCode>
                <c:ptCount val="9"/>
                <c:pt idx="0">
                  <c:v>2.9</c:v>
                </c:pt>
                <c:pt idx="1">
                  <c:v>3.25</c:v>
                </c:pt>
                <c:pt idx="2">
                  <c:v>5.6</c:v>
                </c:pt>
                <c:pt idx="3">
                  <c:v>6.78</c:v>
                </c:pt>
                <c:pt idx="4">
                  <c:v>7.42</c:v>
                </c:pt>
                <c:pt idx="5">
                  <c:v>7.38</c:v>
                </c:pt>
                <c:pt idx="6">
                  <c:v>7.92</c:v>
                </c:pt>
                <c:pt idx="7">
                  <c:v>7.9</c:v>
                </c:pt>
                <c:pt idx="8">
                  <c:v>8.1</c:v>
                </c:pt>
              </c:numCache>
            </c:numRef>
          </c:yVal>
          <c:smooth val="0"/>
          <c:extLst>
            <c:ext xmlns:c16="http://schemas.microsoft.com/office/drawing/2014/chart" uri="{C3380CC4-5D6E-409C-BE32-E72D297353CC}">
              <c16:uniqueId val="{00000002-B832-4634-B7D0-501ECE17A70E}"/>
            </c:ext>
          </c:extLst>
        </c:ser>
        <c:dLbls>
          <c:showLegendKey val="0"/>
          <c:showVal val="0"/>
          <c:showCatName val="0"/>
          <c:showSerName val="0"/>
          <c:showPercent val="0"/>
          <c:showBubbleSize val="0"/>
        </c:dLbls>
        <c:axId val="454757696"/>
        <c:axId val="454758088"/>
        <c:extLst/>
      </c:scatterChart>
      <c:valAx>
        <c:axId val="454757696"/>
        <c:scaling>
          <c:orientation val="minMax"/>
        </c:scaling>
        <c:delete val="0"/>
        <c:axPos val="b"/>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Calibri" panose="020F0502020204030204" pitchFamily="34" charset="0"/>
                    <a:ea typeface="+mn-ea"/>
                    <a:cs typeface="Calibri" panose="020F0502020204030204" pitchFamily="34" charset="0"/>
                  </a:defRPr>
                </a:pPr>
                <a:r>
                  <a:rPr lang="en-US" sz="1400"/>
                  <a:t>Distance from Gold</a:t>
                </a:r>
                <a:r>
                  <a:rPr lang="en-US" sz="1400" baseline="0"/>
                  <a:t> King (km)</a:t>
                </a:r>
                <a:endParaRPr lang="en-US" sz="1400"/>
              </a:p>
            </c:rich>
          </c:tx>
          <c:layout>
            <c:manualLayout>
              <c:xMode val="edge"/>
              <c:yMode val="edge"/>
              <c:x val="0.33940382452193474"/>
              <c:y val="0.90124413019801097"/>
            </c:manualLayout>
          </c:layou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Calibri" panose="020F0502020204030204" pitchFamily="34" charset="0"/>
                  <a:ea typeface="+mn-ea"/>
                  <a:cs typeface="Calibri" panose="020F0502020204030204" pitchFamily="34" charset="0"/>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300" b="1" i="0" u="none" strike="noStrike" kern="1200" baseline="0">
                <a:solidFill>
                  <a:schemeClr val="tx1">
                    <a:lumMod val="65000"/>
                    <a:lumOff val="35000"/>
                  </a:schemeClr>
                </a:solidFill>
                <a:latin typeface="Calibri" panose="020F0502020204030204" pitchFamily="34" charset="0"/>
                <a:ea typeface="+mn-ea"/>
                <a:cs typeface="Calibri" panose="020F0502020204030204" pitchFamily="34" charset="0"/>
              </a:defRPr>
            </a:pPr>
            <a:endParaRPr lang="en-US"/>
          </a:p>
        </c:txPr>
        <c:crossAx val="454758088"/>
        <c:crosses val="autoZero"/>
        <c:crossBetween val="midCat"/>
        <c:majorUnit val="50"/>
        <c:minorUnit val="10"/>
      </c:valAx>
      <c:valAx>
        <c:axId val="454758088"/>
        <c:scaling>
          <c:orientation val="minMax"/>
          <c:min val="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Calibri" panose="020F0502020204030204" pitchFamily="34" charset="0"/>
                    <a:ea typeface="+mn-ea"/>
                    <a:cs typeface="Calibri" panose="020F0502020204030204" pitchFamily="34" charset="0"/>
                  </a:defRPr>
                </a:pPr>
                <a:r>
                  <a:rPr lang="en-US" sz="1400"/>
                  <a:t>pH</a:t>
                </a:r>
              </a:p>
            </c:rich>
          </c:tx>
          <c:layout>
            <c:manualLayout>
              <c:xMode val="edge"/>
              <c:yMode val="edge"/>
              <c:x val="1.6841177295586145E-2"/>
              <c:y val="0.40138155243508455"/>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Calibri" panose="020F0502020204030204" pitchFamily="34" charset="0"/>
                  <a:ea typeface="+mn-ea"/>
                  <a:cs typeface="Calibri" panose="020F0502020204030204" pitchFamily="34" charset="0"/>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Calibri" panose="020F0502020204030204" pitchFamily="34" charset="0"/>
                <a:ea typeface="+mn-ea"/>
                <a:cs typeface="Calibri" panose="020F0502020204030204" pitchFamily="34" charset="0"/>
              </a:defRPr>
            </a:pPr>
            <a:endParaRPr lang="en-US"/>
          </a:p>
        </c:txPr>
        <c:crossAx val="454757696"/>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400"/>
              <a:t>Portion of Sample</a:t>
            </a:r>
            <a:r>
              <a:rPr lang="en-US" sz="1400" baseline="0"/>
              <a:t> in Solids </a:t>
            </a:r>
            <a:r>
              <a:rPr lang="en-US" sz="1400"/>
              <a:t>in the Animas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6907862707637736"/>
          <c:y val="0.14768951549116643"/>
          <c:w val="0.70444051636402583"/>
          <c:h val="0.6544423019055825"/>
        </c:manualLayout>
      </c:layout>
      <c:scatterChart>
        <c:scatterStyle val="lineMarker"/>
        <c:varyColors val="0"/>
        <c:ser>
          <c:idx val="2"/>
          <c:order val="1"/>
          <c:tx>
            <c:strRef>
              <c:f>'Individual Metals Conc '!$D$15</c:f>
              <c:strCache>
                <c:ptCount val="1"/>
                <c:pt idx="0">
                  <c:v>Lead</c:v>
                </c:pt>
              </c:strCache>
            </c:strRef>
          </c:tx>
          <c:spPr>
            <a:ln w="19050" cap="rnd">
              <a:solidFill>
                <a:srgbClr val="6E65E5"/>
              </a:solidFill>
              <a:round/>
            </a:ln>
            <a:effectLst/>
          </c:spPr>
          <c:marker>
            <c:symbol val="diamond"/>
            <c:size val="6"/>
            <c:spPr>
              <a:solidFill>
                <a:schemeClr val="accent3"/>
              </a:solidFill>
              <a:ln w="9525">
                <a:solidFill>
                  <a:srgbClr val="6E65E5"/>
                </a:solidFill>
              </a:ln>
              <a:effectLst/>
            </c:spPr>
          </c:marker>
          <c:xVal>
            <c:numRef>
              <c:f>'Individual Metals Conc '!$B$17:$B$23</c:f>
              <c:numCache>
                <c:formatCode>General</c:formatCode>
                <c:ptCount val="7"/>
                <c:pt idx="0">
                  <c:v>12.5</c:v>
                </c:pt>
                <c:pt idx="1">
                  <c:v>16.399999999999999</c:v>
                </c:pt>
                <c:pt idx="2">
                  <c:v>63.8</c:v>
                </c:pt>
                <c:pt idx="3">
                  <c:v>94.2</c:v>
                </c:pt>
                <c:pt idx="4">
                  <c:v>132</c:v>
                </c:pt>
                <c:pt idx="5">
                  <c:v>164.1</c:v>
                </c:pt>
                <c:pt idx="6">
                  <c:v>190.2</c:v>
                </c:pt>
              </c:numCache>
            </c:numRef>
          </c:xVal>
          <c:yVal>
            <c:numRef>
              <c:f>'Individual Metals Conc '!$E$17:$E$23</c:f>
              <c:numCache>
                <c:formatCode>0.00</c:formatCode>
                <c:ptCount val="7"/>
                <c:pt idx="0">
                  <c:v>0.99848934073057438</c:v>
                </c:pt>
                <c:pt idx="1">
                  <c:v>0.99894440817989127</c:v>
                </c:pt>
                <c:pt idx="2">
                  <c:v>0.99978748501841186</c:v>
                </c:pt>
                <c:pt idx="3">
                  <c:v>0.99947483845967666</c:v>
                </c:pt>
                <c:pt idx="4">
                  <c:v>0.99761238184692524</c:v>
                </c:pt>
                <c:pt idx="5">
                  <c:v>0.99968704212787685</c:v>
                </c:pt>
                <c:pt idx="6">
                  <c:v>0.99951898142982443</c:v>
                </c:pt>
              </c:numCache>
            </c:numRef>
          </c:yVal>
          <c:smooth val="0"/>
          <c:extLst>
            <c:ext xmlns:c16="http://schemas.microsoft.com/office/drawing/2014/chart" uri="{C3380CC4-5D6E-409C-BE32-E72D297353CC}">
              <c16:uniqueId val="{00000000-DBFE-4B9A-9EAB-507E08969E36}"/>
            </c:ext>
          </c:extLst>
        </c:ser>
        <c:ser>
          <c:idx val="1"/>
          <c:order val="2"/>
          <c:tx>
            <c:strRef>
              <c:f>'Individual Metals Conc '!$I$3</c:f>
              <c:strCache>
                <c:ptCount val="1"/>
                <c:pt idx="0">
                  <c:v>Copper</c:v>
                </c:pt>
              </c:strCache>
            </c:strRef>
          </c:tx>
          <c:spPr>
            <a:ln w="19050" cap="rnd">
              <a:solidFill>
                <a:schemeClr val="accent2"/>
              </a:solidFill>
              <a:round/>
            </a:ln>
            <a:effectLst/>
          </c:spPr>
          <c:marker>
            <c:symbol val="circle"/>
            <c:size val="6"/>
            <c:spPr>
              <a:solidFill>
                <a:schemeClr val="accent2"/>
              </a:solidFill>
              <a:ln w="9525">
                <a:solidFill>
                  <a:schemeClr val="tx1">
                    <a:lumMod val="50000"/>
                    <a:lumOff val="50000"/>
                  </a:schemeClr>
                </a:solidFill>
              </a:ln>
              <a:effectLst/>
            </c:spPr>
          </c:marker>
          <c:xVal>
            <c:numRef>
              <c:f>'Individual Metals Conc '!$B$5:$B$11</c:f>
              <c:numCache>
                <c:formatCode>0.0</c:formatCode>
                <c:ptCount val="7"/>
                <c:pt idx="0">
                  <c:v>12.5</c:v>
                </c:pt>
                <c:pt idx="1">
                  <c:v>16.399999999999999</c:v>
                </c:pt>
                <c:pt idx="2">
                  <c:v>63.8</c:v>
                </c:pt>
                <c:pt idx="3">
                  <c:v>94.2</c:v>
                </c:pt>
                <c:pt idx="4">
                  <c:v>132</c:v>
                </c:pt>
                <c:pt idx="5">
                  <c:v>164.1</c:v>
                </c:pt>
                <c:pt idx="6">
                  <c:v>190.2</c:v>
                </c:pt>
              </c:numCache>
            </c:numRef>
          </c:xVal>
          <c:yVal>
            <c:numRef>
              <c:f>'Individual Metals Conc '!$K$5:$K$11</c:f>
              <c:numCache>
                <c:formatCode>0.000</c:formatCode>
                <c:ptCount val="7"/>
                <c:pt idx="0">
                  <c:v>0.45328968569037675</c:v>
                </c:pt>
                <c:pt idx="1">
                  <c:v>0.49597215249815357</c:v>
                </c:pt>
                <c:pt idx="2">
                  <c:v>0.91264097030893621</c:v>
                </c:pt>
                <c:pt idx="3">
                  <c:v>0.99148792531921037</c:v>
                </c:pt>
                <c:pt idx="4">
                  <c:v>0.99133010543002764</c:v>
                </c:pt>
                <c:pt idx="5">
                  <c:v>0.98828144503547533</c:v>
                </c:pt>
                <c:pt idx="6">
                  <c:v>0.97818437642473643</c:v>
                </c:pt>
              </c:numCache>
            </c:numRef>
          </c:yVal>
          <c:smooth val="0"/>
          <c:extLst>
            <c:ext xmlns:c16="http://schemas.microsoft.com/office/drawing/2014/chart" uri="{C3380CC4-5D6E-409C-BE32-E72D297353CC}">
              <c16:uniqueId val="{00000001-DBFE-4B9A-9EAB-507E08969E36}"/>
            </c:ext>
          </c:extLst>
        </c:ser>
        <c:ser>
          <c:idx val="0"/>
          <c:order val="3"/>
          <c:tx>
            <c:strRef>
              <c:f>'Individual Metals Conc '!$D$3</c:f>
              <c:strCache>
                <c:ptCount val="1"/>
                <c:pt idx="0">
                  <c:v>Zinc</c:v>
                </c:pt>
              </c:strCache>
            </c:strRef>
          </c:tx>
          <c:spPr>
            <a:ln w="19050" cap="rnd">
              <a:solidFill>
                <a:schemeClr val="accent1"/>
              </a:solidFill>
              <a:round/>
            </a:ln>
            <a:effectLst/>
          </c:spPr>
          <c:marker>
            <c:symbol val="square"/>
            <c:size val="6"/>
            <c:spPr>
              <a:solidFill>
                <a:schemeClr val="accent1"/>
              </a:solidFill>
              <a:ln w="9525">
                <a:solidFill>
                  <a:schemeClr val="accent1"/>
                </a:solidFill>
              </a:ln>
              <a:effectLst/>
            </c:spPr>
          </c:marker>
          <c:xVal>
            <c:numRef>
              <c:f>'Individual Metals Conc '!$B$5:$B$11</c:f>
              <c:numCache>
                <c:formatCode>0.0</c:formatCode>
                <c:ptCount val="7"/>
                <c:pt idx="0">
                  <c:v>12.5</c:v>
                </c:pt>
                <c:pt idx="1">
                  <c:v>16.399999999999999</c:v>
                </c:pt>
                <c:pt idx="2">
                  <c:v>63.8</c:v>
                </c:pt>
                <c:pt idx="3">
                  <c:v>94.2</c:v>
                </c:pt>
                <c:pt idx="4">
                  <c:v>132</c:v>
                </c:pt>
                <c:pt idx="5">
                  <c:v>164.1</c:v>
                </c:pt>
                <c:pt idx="6">
                  <c:v>190.2</c:v>
                </c:pt>
              </c:numCache>
            </c:numRef>
          </c:xVal>
          <c:yVal>
            <c:numRef>
              <c:f>'Individual Metals Conc '!$E$5:$E$11</c:f>
              <c:numCache>
                <c:formatCode>0.00</c:formatCode>
                <c:ptCount val="7"/>
                <c:pt idx="0">
                  <c:v>0</c:v>
                </c:pt>
                <c:pt idx="1">
                  <c:v>0.2180530508124694</c:v>
                </c:pt>
                <c:pt idx="2">
                  <c:v>0.39319968999583871</c:v>
                </c:pt>
                <c:pt idx="3">
                  <c:v>0.81351728761366349</c:v>
                </c:pt>
                <c:pt idx="4">
                  <c:v>0.98510914836147256</c:v>
                </c:pt>
                <c:pt idx="5">
                  <c:v>0.99165824450559104</c:v>
                </c:pt>
                <c:pt idx="6">
                  <c:v>0.98812633864631516</c:v>
                </c:pt>
              </c:numCache>
            </c:numRef>
          </c:yVal>
          <c:smooth val="0"/>
          <c:extLst>
            <c:ext xmlns:c16="http://schemas.microsoft.com/office/drawing/2014/chart" uri="{C3380CC4-5D6E-409C-BE32-E72D297353CC}">
              <c16:uniqueId val="{00000002-DBFE-4B9A-9EAB-507E08969E36}"/>
            </c:ext>
          </c:extLst>
        </c:ser>
        <c:ser>
          <c:idx val="4"/>
          <c:order val="4"/>
          <c:tx>
            <c:strRef>
              <c:f>'Individual Metals Conc '!$J$15</c:f>
              <c:strCache>
                <c:ptCount val="1"/>
                <c:pt idx="0">
                  <c:v>Cadmium</c:v>
                </c:pt>
              </c:strCache>
            </c:strRef>
          </c:tx>
          <c:spPr>
            <a:ln w="19050" cap="rnd">
              <a:solidFill>
                <a:schemeClr val="accent4">
                  <a:lumMod val="75000"/>
                </a:schemeClr>
              </a:solidFill>
              <a:round/>
            </a:ln>
            <a:effectLst/>
          </c:spPr>
          <c:marker>
            <c:symbol val="triangle"/>
            <c:size val="6"/>
            <c:spPr>
              <a:solidFill>
                <a:schemeClr val="accent4">
                  <a:lumMod val="60000"/>
                  <a:lumOff val="40000"/>
                </a:schemeClr>
              </a:solidFill>
              <a:ln w="9525">
                <a:solidFill>
                  <a:schemeClr val="accent4">
                    <a:lumMod val="75000"/>
                  </a:schemeClr>
                </a:solidFill>
              </a:ln>
              <a:effectLst/>
            </c:spPr>
          </c:marker>
          <c:xVal>
            <c:numRef>
              <c:f>'Individual Metals Conc '!$B$17:$B$23</c:f>
              <c:numCache>
                <c:formatCode>General</c:formatCode>
                <c:ptCount val="7"/>
                <c:pt idx="0">
                  <c:v>12.5</c:v>
                </c:pt>
                <c:pt idx="1">
                  <c:v>16.399999999999999</c:v>
                </c:pt>
                <c:pt idx="2">
                  <c:v>63.8</c:v>
                </c:pt>
                <c:pt idx="3">
                  <c:v>94.2</c:v>
                </c:pt>
                <c:pt idx="4">
                  <c:v>132</c:v>
                </c:pt>
                <c:pt idx="5">
                  <c:v>164.1</c:v>
                </c:pt>
                <c:pt idx="6">
                  <c:v>190.2</c:v>
                </c:pt>
              </c:numCache>
            </c:numRef>
          </c:xVal>
          <c:yVal>
            <c:numRef>
              <c:f>'Individual Metals Conc '!$K$17:$K$23</c:f>
              <c:numCache>
                <c:formatCode>0.000</c:formatCode>
                <c:ptCount val="7"/>
                <c:pt idx="0">
                  <c:v>0</c:v>
                </c:pt>
                <c:pt idx="1">
                  <c:v>0.14816364780521882</c:v>
                </c:pt>
                <c:pt idx="2">
                  <c:v>0.38372093023255816</c:v>
                </c:pt>
                <c:pt idx="3">
                  <c:v>0.75242402021279697</c:v>
                </c:pt>
                <c:pt idx="4">
                  <c:v>0.95311249549385668</c:v>
                </c:pt>
                <c:pt idx="5">
                  <c:v>0.96397193752010157</c:v>
                </c:pt>
                <c:pt idx="6">
                  <c:v>0.93456561853878761</c:v>
                </c:pt>
              </c:numCache>
            </c:numRef>
          </c:yVal>
          <c:smooth val="0"/>
          <c:extLst>
            <c:ext xmlns:c16="http://schemas.microsoft.com/office/drawing/2014/chart" uri="{C3380CC4-5D6E-409C-BE32-E72D297353CC}">
              <c16:uniqueId val="{00000003-DBFE-4B9A-9EAB-507E08969E36}"/>
            </c:ext>
          </c:extLst>
        </c:ser>
        <c:dLbls>
          <c:showLegendKey val="0"/>
          <c:showVal val="0"/>
          <c:showCatName val="0"/>
          <c:showSerName val="0"/>
          <c:showPercent val="0"/>
          <c:showBubbleSize val="0"/>
        </c:dLbls>
        <c:axId val="454758872"/>
        <c:axId val="454759264"/>
      </c:scatterChart>
      <c:scatterChart>
        <c:scatterStyle val="lineMarker"/>
        <c:varyColors val="0"/>
        <c:ser>
          <c:idx val="5"/>
          <c:order val="0"/>
          <c:tx>
            <c:v>Arsenic</c:v>
          </c:tx>
          <c:spPr>
            <a:ln w="19050" cap="rnd">
              <a:solidFill>
                <a:schemeClr val="accent6"/>
              </a:solidFill>
              <a:round/>
            </a:ln>
            <a:effectLst/>
          </c:spPr>
          <c:marker>
            <c:symbol val="none"/>
          </c:marker>
          <c:xVal>
            <c:numRef>
              <c:f>'Individual Metals Conc '!$H$29:$H$35</c:f>
              <c:numCache>
                <c:formatCode>0.0</c:formatCode>
                <c:ptCount val="7"/>
                <c:pt idx="0">
                  <c:v>12.5</c:v>
                </c:pt>
                <c:pt idx="1">
                  <c:v>16.399999999999999</c:v>
                </c:pt>
                <c:pt idx="2">
                  <c:v>63.8</c:v>
                </c:pt>
                <c:pt idx="3">
                  <c:v>94.2</c:v>
                </c:pt>
                <c:pt idx="4">
                  <c:v>132</c:v>
                </c:pt>
                <c:pt idx="5">
                  <c:v>164.1</c:v>
                </c:pt>
                <c:pt idx="6">
                  <c:v>190.2</c:v>
                </c:pt>
              </c:numCache>
            </c:numRef>
          </c:xVal>
          <c:yVal>
            <c:numRef>
              <c:f>'Individual Metals Conc '!$K$29:$K$35</c:f>
              <c:numCache>
                <c:formatCode>0.000</c:formatCode>
                <c:ptCount val="7"/>
                <c:pt idx="0">
                  <c:v>0.98977760490708</c:v>
                </c:pt>
                <c:pt idx="1">
                  <c:v>0.99551622786887184</c:v>
                </c:pt>
                <c:pt idx="2">
                  <c:v>0.99827000726310489</c:v>
                </c:pt>
                <c:pt idx="3">
                  <c:v>0.99235365739348358</c:v>
                </c:pt>
                <c:pt idx="4">
                  <c:v>0.99348023470303837</c:v>
                </c:pt>
                <c:pt idx="5">
                  <c:v>0.97744774613546814</c:v>
                </c:pt>
                <c:pt idx="6">
                  <c:v>0.95332155109758088</c:v>
                </c:pt>
              </c:numCache>
            </c:numRef>
          </c:yVal>
          <c:smooth val="0"/>
          <c:extLst>
            <c:ext xmlns:c16="http://schemas.microsoft.com/office/drawing/2014/chart" uri="{C3380CC4-5D6E-409C-BE32-E72D297353CC}">
              <c16:uniqueId val="{00000000-DB37-4E7A-921A-7C68031F14E8}"/>
            </c:ext>
          </c:extLst>
        </c:ser>
        <c:ser>
          <c:idx val="3"/>
          <c:order val="5"/>
          <c:tx>
            <c:strRef>
              <c:f>'Individual Metals Conc '!$O$28</c:f>
              <c:strCache>
                <c:ptCount val="1"/>
                <c:pt idx="0">
                  <c:v>Observed pH</c:v>
                </c:pt>
              </c:strCache>
            </c:strRef>
          </c:tx>
          <c:spPr>
            <a:ln w="19050" cap="rnd">
              <a:solidFill>
                <a:schemeClr val="tx1"/>
              </a:solidFill>
              <a:prstDash val="sysDash"/>
              <a:round/>
            </a:ln>
            <a:effectLst/>
          </c:spPr>
          <c:marker>
            <c:symbol val="none"/>
          </c:marker>
          <c:xVal>
            <c:numRef>
              <c:f>'Individual Metals Conc '!$N$29:$N$37</c:f>
              <c:numCache>
                <c:formatCode>0.00</c:formatCode>
                <c:ptCount val="9"/>
                <c:pt idx="0">
                  <c:v>0.01</c:v>
                </c:pt>
                <c:pt idx="1">
                  <c:v>12.6</c:v>
                </c:pt>
                <c:pt idx="2">
                  <c:v>64</c:v>
                </c:pt>
                <c:pt idx="3">
                  <c:v>96</c:v>
                </c:pt>
                <c:pt idx="4">
                  <c:v>104</c:v>
                </c:pt>
                <c:pt idx="5">
                  <c:v>109</c:v>
                </c:pt>
                <c:pt idx="6">
                  <c:v>132</c:v>
                </c:pt>
                <c:pt idx="7">
                  <c:v>164</c:v>
                </c:pt>
                <c:pt idx="8">
                  <c:v>189.4</c:v>
                </c:pt>
              </c:numCache>
            </c:numRef>
          </c:xVal>
          <c:yVal>
            <c:numRef>
              <c:f>'Individual Metals Conc '!$O$29:$O$37</c:f>
              <c:numCache>
                <c:formatCode>0.00</c:formatCode>
                <c:ptCount val="9"/>
                <c:pt idx="0">
                  <c:v>2.9</c:v>
                </c:pt>
                <c:pt idx="1">
                  <c:v>3.25</c:v>
                </c:pt>
                <c:pt idx="2">
                  <c:v>6.41</c:v>
                </c:pt>
                <c:pt idx="3">
                  <c:v>6.78</c:v>
                </c:pt>
                <c:pt idx="4">
                  <c:v>7.42</c:v>
                </c:pt>
                <c:pt idx="5">
                  <c:v>7.38</c:v>
                </c:pt>
                <c:pt idx="6">
                  <c:v>7.92</c:v>
                </c:pt>
                <c:pt idx="7">
                  <c:v>7.91</c:v>
                </c:pt>
                <c:pt idx="8">
                  <c:v>8.11</c:v>
                </c:pt>
              </c:numCache>
            </c:numRef>
          </c:yVal>
          <c:smooth val="0"/>
          <c:extLst>
            <c:ext xmlns:c16="http://schemas.microsoft.com/office/drawing/2014/chart" uri="{C3380CC4-5D6E-409C-BE32-E72D297353CC}">
              <c16:uniqueId val="{00000004-DBFE-4B9A-9EAB-507E08969E36}"/>
            </c:ext>
          </c:extLst>
        </c:ser>
        <c:dLbls>
          <c:showLegendKey val="0"/>
          <c:showVal val="0"/>
          <c:showCatName val="0"/>
          <c:showSerName val="0"/>
          <c:showPercent val="0"/>
          <c:showBubbleSize val="0"/>
        </c:dLbls>
        <c:axId val="454932360"/>
        <c:axId val="454931968"/>
      </c:scatterChart>
      <c:valAx>
        <c:axId val="45475887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300" b="1"/>
                  <a:t>Distance from GKM (km)</a:t>
                </a:r>
              </a:p>
            </c:rich>
          </c:tx>
          <c:overlay val="0"/>
          <c:spPr>
            <a:noFill/>
            <a:ln>
              <a:noFill/>
            </a:ln>
            <a:effectLst/>
          </c:spPr>
          <c:txPr>
            <a:bodyPr rot="0" spcFirstLastPara="1" vertOverflow="ellipsis" vert="horz" wrap="square" anchor="ctr" anchorCtr="1"/>
            <a:lstStyle/>
            <a:p>
              <a:pPr>
                <a:defRPr sz="13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454759264"/>
        <c:crosses val="autoZero"/>
        <c:crossBetween val="midCat"/>
      </c:valAx>
      <c:valAx>
        <c:axId val="4547592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400"/>
                  <a:t>Proportion Sorbed</a:t>
                </a:r>
              </a:p>
            </c:rich>
          </c:tx>
          <c:layout>
            <c:manualLayout>
              <c:xMode val="edge"/>
              <c:yMode val="edge"/>
              <c:x val="1.9988424950773902E-2"/>
              <c:y val="0.25688567051717265"/>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454758872"/>
        <c:crosses val="autoZero"/>
        <c:crossBetween val="midCat"/>
        <c:majorUnit val="0.2"/>
        <c:minorUnit val="0.1"/>
      </c:valAx>
      <c:valAx>
        <c:axId val="454931968"/>
        <c:scaling>
          <c:orientation val="minMax"/>
          <c:min val="2"/>
        </c:scaling>
        <c:delete val="0"/>
        <c:axPos val="r"/>
        <c:title>
          <c:tx>
            <c:rich>
              <a:bodyPr rot="-5400000" spcFirstLastPara="1" vertOverflow="ellipsis" vert="horz" wrap="square" anchor="ctr" anchorCtr="1"/>
              <a:lstStyle/>
              <a:p>
                <a:pPr>
                  <a:defRPr sz="14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400"/>
                  <a:t>pH</a:t>
                </a:r>
              </a:p>
            </c:rich>
          </c:tx>
          <c:layout>
            <c:manualLayout>
              <c:xMode val="edge"/>
              <c:yMode val="edge"/>
              <c:x val="0.91939698013938731"/>
              <c:y val="0.4333065051121496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454932360"/>
        <c:crosses val="max"/>
        <c:crossBetween val="midCat"/>
      </c:valAx>
      <c:valAx>
        <c:axId val="454932360"/>
        <c:scaling>
          <c:orientation val="minMax"/>
        </c:scaling>
        <c:delete val="1"/>
        <c:axPos val="t"/>
        <c:numFmt formatCode="0.0" sourceLinked="1"/>
        <c:majorTickMark val="out"/>
        <c:minorTickMark val="none"/>
        <c:tickLblPos val="nextTo"/>
        <c:crossAx val="454931968"/>
        <c:crosses val="max"/>
        <c:crossBetween val="midCat"/>
      </c:valAx>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1200" b="1">
          <a:solidFill>
            <a:schemeClr val="tx1"/>
          </a:solidFill>
          <a:latin typeface="Calibri" panose="020F0502020204030204" pitchFamily="34" charset="0"/>
          <a:cs typeface="Calibri" panose="020F0502020204030204" pitchFamily="34" charset="0"/>
        </a:defRPr>
      </a:pPr>
      <a:endParaRPr lang="en-US"/>
    </a:p>
  </c:txPr>
  <c:printSettings>
    <c:headerFooter>
      <c:oddFooter>&amp;L&amp;Z&amp;F&amp;R&amp;D &amp;T</c:oddFooter>
    </c:headerFooter>
    <c:pageMargins b="0.75" l="0.7" r="0.7" t="0.75" header="0.3" footer="0.3"/>
    <c:pageSetup orientation="landscape" verticalDpi="597"/>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r>
              <a:rPr lang="en-US" sz="1200"/>
              <a:t>Portion of Sample in Solids</a:t>
            </a:r>
          </a:p>
        </c:rich>
      </c:tx>
      <c:layout>
        <c:manualLayout>
          <c:xMode val="edge"/>
          <c:yMode val="edge"/>
          <c:x val="0.32401354592580689"/>
          <c:y val="3.609021986616622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6907862707637736"/>
          <c:y val="0.14768951549116643"/>
          <c:w val="0.70444051636402583"/>
          <c:h val="0.6544423019055825"/>
        </c:manualLayout>
      </c:layout>
      <c:scatterChart>
        <c:scatterStyle val="lineMarker"/>
        <c:varyColors val="0"/>
        <c:ser>
          <c:idx val="5"/>
          <c:order val="0"/>
          <c:tx>
            <c:strRef>
              <c:f>'Individual Metals Conc '!$J$27:$K$27</c:f>
              <c:strCache>
                <c:ptCount val="1"/>
                <c:pt idx="0">
                  <c:v>Arsenic</c:v>
                </c:pt>
              </c:strCache>
            </c:strRef>
          </c:tx>
          <c:spPr>
            <a:ln w="19050" cap="rnd">
              <a:solidFill>
                <a:schemeClr val="accent6"/>
              </a:solidFill>
              <a:round/>
            </a:ln>
            <a:effectLst/>
          </c:spPr>
          <c:marker>
            <c:symbol val="square"/>
            <c:size val="5"/>
            <c:spPr>
              <a:solidFill>
                <a:srgbClr val="FF33CC"/>
              </a:solidFill>
              <a:ln w="9525">
                <a:solidFill>
                  <a:srgbClr val="FF33CC"/>
                </a:solidFill>
              </a:ln>
              <a:effectLst/>
            </c:spPr>
          </c:marker>
          <c:xVal>
            <c:numRef>
              <c:f>'Individual Metals Conc '!$B$29:$B$35</c:f>
              <c:numCache>
                <c:formatCode>General</c:formatCode>
                <c:ptCount val="7"/>
                <c:pt idx="0">
                  <c:v>12.5</c:v>
                </c:pt>
                <c:pt idx="1">
                  <c:v>16.399999999999999</c:v>
                </c:pt>
                <c:pt idx="2">
                  <c:v>63.8</c:v>
                </c:pt>
                <c:pt idx="3">
                  <c:v>94.2</c:v>
                </c:pt>
                <c:pt idx="4">
                  <c:v>132</c:v>
                </c:pt>
                <c:pt idx="5">
                  <c:v>164.1</c:v>
                </c:pt>
                <c:pt idx="6">
                  <c:v>190.2</c:v>
                </c:pt>
              </c:numCache>
            </c:numRef>
          </c:xVal>
          <c:yVal>
            <c:numRef>
              <c:f>'Individual Metals Conc '!$K$29:$K$35</c:f>
              <c:numCache>
                <c:formatCode>0.000</c:formatCode>
                <c:ptCount val="7"/>
                <c:pt idx="0">
                  <c:v>0.98977760490708</c:v>
                </c:pt>
                <c:pt idx="1">
                  <c:v>0.99551622786887184</c:v>
                </c:pt>
                <c:pt idx="2">
                  <c:v>0.99827000726310489</c:v>
                </c:pt>
                <c:pt idx="3">
                  <c:v>0.99235365739348358</c:v>
                </c:pt>
                <c:pt idx="4">
                  <c:v>0.99348023470303837</c:v>
                </c:pt>
                <c:pt idx="5">
                  <c:v>0.97744774613546814</c:v>
                </c:pt>
                <c:pt idx="6">
                  <c:v>0.95332155109758088</c:v>
                </c:pt>
              </c:numCache>
            </c:numRef>
          </c:yVal>
          <c:smooth val="0"/>
          <c:extLst>
            <c:ext xmlns:c16="http://schemas.microsoft.com/office/drawing/2014/chart" uri="{C3380CC4-5D6E-409C-BE32-E72D297353CC}">
              <c16:uniqueId val="{00000000-0A66-4F2D-9C56-73A0450C40BA}"/>
            </c:ext>
          </c:extLst>
        </c:ser>
        <c:ser>
          <c:idx val="2"/>
          <c:order val="1"/>
          <c:tx>
            <c:strRef>
              <c:f>'Individual Metals Conc '!$D$15</c:f>
              <c:strCache>
                <c:ptCount val="1"/>
                <c:pt idx="0">
                  <c:v>Lead</c:v>
                </c:pt>
              </c:strCache>
            </c:strRef>
          </c:tx>
          <c:spPr>
            <a:ln w="19050" cap="rnd">
              <a:solidFill>
                <a:srgbClr val="6E65E5"/>
              </a:solidFill>
              <a:round/>
            </a:ln>
            <a:effectLst/>
          </c:spPr>
          <c:marker>
            <c:symbol val="diamond"/>
            <c:size val="6"/>
            <c:spPr>
              <a:solidFill>
                <a:schemeClr val="accent3"/>
              </a:solidFill>
              <a:ln w="9525">
                <a:solidFill>
                  <a:srgbClr val="6E65E5"/>
                </a:solidFill>
              </a:ln>
              <a:effectLst/>
            </c:spPr>
          </c:marker>
          <c:xVal>
            <c:numRef>
              <c:f>'Individual Metals Conc '!$B$17:$B$23</c:f>
              <c:numCache>
                <c:formatCode>General</c:formatCode>
                <c:ptCount val="7"/>
                <c:pt idx="0">
                  <c:v>12.5</c:v>
                </c:pt>
                <c:pt idx="1">
                  <c:v>16.399999999999999</c:v>
                </c:pt>
                <c:pt idx="2">
                  <c:v>63.8</c:v>
                </c:pt>
                <c:pt idx="3">
                  <c:v>94.2</c:v>
                </c:pt>
                <c:pt idx="4">
                  <c:v>132</c:v>
                </c:pt>
                <c:pt idx="5">
                  <c:v>164.1</c:v>
                </c:pt>
                <c:pt idx="6">
                  <c:v>190.2</c:v>
                </c:pt>
              </c:numCache>
            </c:numRef>
          </c:xVal>
          <c:yVal>
            <c:numRef>
              <c:f>'Individual Metals Conc '!$E$17:$E$23</c:f>
              <c:numCache>
                <c:formatCode>0.00</c:formatCode>
                <c:ptCount val="7"/>
                <c:pt idx="0">
                  <c:v>0.99848934073057438</c:v>
                </c:pt>
                <c:pt idx="1">
                  <c:v>0.99894440817989127</c:v>
                </c:pt>
                <c:pt idx="2">
                  <c:v>0.99978748501841186</c:v>
                </c:pt>
                <c:pt idx="3">
                  <c:v>0.99947483845967666</c:v>
                </c:pt>
                <c:pt idx="4">
                  <c:v>0.99761238184692524</c:v>
                </c:pt>
                <c:pt idx="5">
                  <c:v>0.99968704212787685</c:v>
                </c:pt>
                <c:pt idx="6">
                  <c:v>0.99951898142982443</c:v>
                </c:pt>
              </c:numCache>
            </c:numRef>
          </c:yVal>
          <c:smooth val="0"/>
          <c:extLst>
            <c:ext xmlns:c16="http://schemas.microsoft.com/office/drawing/2014/chart" uri="{C3380CC4-5D6E-409C-BE32-E72D297353CC}">
              <c16:uniqueId val="{00000001-0A66-4F2D-9C56-73A0450C40BA}"/>
            </c:ext>
          </c:extLst>
        </c:ser>
        <c:ser>
          <c:idx val="1"/>
          <c:order val="2"/>
          <c:tx>
            <c:strRef>
              <c:f>'Individual Metals Conc '!$I$3</c:f>
              <c:strCache>
                <c:ptCount val="1"/>
                <c:pt idx="0">
                  <c:v>Copper</c:v>
                </c:pt>
              </c:strCache>
            </c:strRef>
          </c:tx>
          <c:spPr>
            <a:ln w="19050" cap="rnd">
              <a:solidFill>
                <a:schemeClr val="accent2"/>
              </a:solidFill>
              <a:round/>
            </a:ln>
            <a:effectLst/>
          </c:spPr>
          <c:marker>
            <c:symbol val="circle"/>
            <c:size val="6"/>
            <c:spPr>
              <a:solidFill>
                <a:schemeClr val="accent2"/>
              </a:solidFill>
              <a:ln w="9525">
                <a:solidFill>
                  <a:schemeClr val="tx1">
                    <a:lumMod val="50000"/>
                    <a:lumOff val="50000"/>
                  </a:schemeClr>
                </a:solidFill>
              </a:ln>
              <a:effectLst/>
            </c:spPr>
          </c:marker>
          <c:xVal>
            <c:numRef>
              <c:f>'Individual Metals Conc '!$B$5:$B$11</c:f>
              <c:numCache>
                <c:formatCode>0.0</c:formatCode>
                <c:ptCount val="7"/>
                <c:pt idx="0">
                  <c:v>12.5</c:v>
                </c:pt>
                <c:pt idx="1">
                  <c:v>16.399999999999999</c:v>
                </c:pt>
                <c:pt idx="2">
                  <c:v>63.8</c:v>
                </c:pt>
                <c:pt idx="3">
                  <c:v>94.2</c:v>
                </c:pt>
                <c:pt idx="4">
                  <c:v>132</c:v>
                </c:pt>
                <c:pt idx="5">
                  <c:v>164.1</c:v>
                </c:pt>
                <c:pt idx="6">
                  <c:v>190.2</c:v>
                </c:pt>
              </c:numCache>
            </c:numRef>
          </c:xVal>
          <c:yVal>
            <c:numRef>
              <c:f>'Individual Metals Conc '!$K$5:$K$11</c:f>
              <c:numCache>
                <c:formatCode>0.000</c:formatCode>
                <c:ptCount val="7"/>
                <c:pt idx="0">
                  <c:v>0.45328968569037675</c:v>
                </c:pt>
                <c:pt idx="1">
                  <c:v>0.49597215249815357</c:v>
                </c:pt>
                <c:pt idx="2">
                  <c:v>0.91264097030893621</c:v>
                </c:pt>
                <c:pt idx="3">
                  <c:v>0.99148792531921037</c:v>
                </c:pt>
                <c:pt idx="4">
                  <c:v>0.99133010543002764</c:v>
                </c:pt>
                <c:pt idx="5">
                  <c:v>0.98828144503547533</c:v>
                </c:pt>
                <c:pt idx="6">
                  <c:v>0.97818437642473643</c:v>
                </c:pt>
              </c:numCache>
            </c:numRef>
          </c:yVal>
          <c:smooth val="0"/>
          <c:extLst>
            <c:ext xmlns:c16="http://schemas.microsoft.com/office/drawing/2014/chart" uri="{C3380CC4-5D6E-409C-BE32-E72D297353CC}">
              <c16:uniqueId val="{00000002-0A66-4F2D-9C56-73A0450C40BA}"/>
            </c:ext>
          </c:extLst>
        </c:ser>
        <c:dLbls>
          <c:showLegendKey val="0"/>
          <c:showVal val="0"/>
          <c:showCatName val="0"/>
          <c:showSerName val="0"/>
          <c:showPercent val="0"/>
          <c:showBubbleSize val="0"/>
        </c:dLbls>
        <c:axId val="454933144"/>
        <c:axId val="454933536"/>
        <c:extLst>
          <c:ext xmlns:c15="http://schemas.microsoft.com/office/drawing/2012/chart" uri="{02D57815-91ED-43cb-92C2-25804820EDAC}">
            <c15:filteredScatterSeries>
              <c15:ser>
                <c:idx val="0"/>
                <c:order val="3"/>
                <c:tx>
                  <c:strRef>
                    <c:extLst>
                      <c:ext uri="{02D57815-91ED-43cb-92C2-25804820EDAC}">
                        <c15:formulaRef>
                          <c15:sqref>'Individual Metals Conc '!$D$3</c15:sqref>
                        </c15:formulaRef>
                      </c:ext>
                    </c:extLst>
                    <c:strCache>
                      <c:ptCount val="1"/>
                      <c:pt idx="0">
                        <c:v>Zinc</c:v>
                      </c:pt>
                    </c:strCache>
                  </c:strRef>
                </c:tx>
                <c:spPr>
                  <a:ln w="19050" cap="rnd">
                    <a:solidFill>
                      <a:schemeClr val="accent1"/>
                    </a:solidFill>
                    <a:round/>
                  </a:ln>
                  <a:effectLst/>
                </c:spPr>
                <c:marker>
                  <c:symbol val="square"/>
                  <c:size val="6"/>
                  <c:spPr>
                    <a:solidFill>
                      <a:schemeClr val="accent1"/>
                    </a:solidFill>
                    <a:ln w="9525">
                      <a:solidFill>
                        <a:schemeClr val="accent1"/>
                      </a:solidFill>
                    </a:ln>
                    <a:effectLst/>
                  </c:spPr>
                </c:marker>
                <c:xVal>
                  <c:numRef>
                    <c:extLst>
                      <c:ext uri="{02D57815-91ED-43cb-92C2-25804820EDAC}">
                        <c15:formulaRef>
                          <c15:sqref>'Individual Metals Conc '!$B$5:$B$11</c15:sqref>
                        </c15:formulaRef>
                      </c:ext>
                    </c:extLst>
                    <c:numCache>
                      <c:formatCode>0.0</c:formatCode>
                      <c:ptCount val="7"/>
                      <c:pt idx="0">
                        <c:v>12.5</c:v>
                      </c:pt>
                      <c:pt idx="1">
                        <c:v>16.399999999999999</c:v>
                      </c:pt>
                      <c:pt idx="2">
                        <c:v>63.8</c:v>
                      </c:pt>
                      <c:pt idx="3">
                        <c:v>94.2</c:v>
                      </c:pt>
                      <c:pt idx="4">
                        <c:v>132</c:v>
                      </c:pt>
                      <c:pt idx="5">
                        <c:v>164.1</c:v>
                      </c:pt>
                      <c:pt idx="6">
                        <c:v>190.2</c:v>
                      </c:pt>
                    </c:numCache>
                  </c:numRef>
                </c:xVal>
                <c:yVal>
                  <c:numRef>
                    <c:extLst>
                      <c:ext uri="{02D57815-91ED-43cb-92C2-25804820EDAC}">
                        <c15:formulaRef>
                          <c15:sqref>'Individual Metals Conc '!$E$5:$E$11</c15:sqref>
                        </c15:formulaRef>
                      </c:ext>
                    </c:extLst>
                    <c:numCache>
                      <c:formatCode>0.00</c:formatCode>
                      <c:ptCount val="7"/>
                      <c:pt idx="0">
                        <c:v>0</c:v>
                      </c:pt>
                      <c:pt idx="1">
                        <c:v>0.2180530508124694</c:v>
                      </c:pt>
                      <c:pt idx="2">
                        <c:v>0.39319968999583871</c:v>
                      </c:pt>
                      <c:pt idx="3">
                        <c:v>0.81351728761366349</c:v>
                      </c:pt>
                      <c:pt idx="4">
                        <c:v>0.98510914836147256</c:v>
                      </c:pt>
                      <c:pt idx="5">
                        <c:v>0.99165824450559104</c:v>
                      </c:pt>
                      <c:pt idx="6">
                        <c:v>0.98812633864631516</c:v>
                      </c:pt>
                    </c:numCache>
                  </c:numRef>
                </c:yVal>
                <c:smooth val="0"/>
                <c:extLst>
                  <c:ext xmlns:c16="http://schemas.microsoft.com/office/drawing/2014/chart" uri="{C3380CC4-5D6E-409C-BE32-E72D297353CC}">
                    <c16:uniqueId val="{00000004-0A66-4F2D-9C56-73A0450C40BA}"/>
                  </c:ext>
                </c:extLst>
              </c15:ser>
            </c15:filteredScatterSeries>
            <c15:filteredScatterSeries>
              <c15:ser>
                <c:idx val="4"/>
                <c:order val="4"/>
                <c:tx>
                  <c:strRef>
                    <c:extLst xmlns:c15="http://schemas.microsoft.com/office/drawing/2012/chart">
                      <c:ext xmlns:c15="http://schemas.microsoft.com/office/drawing/2012/chart" uri="{02D57815-91ED-43cb-92C2-25804820EDAC}">
                        <c15:formulaRef>
                          <c15:sqref>'Individual Metals Conc '!$J$15</c15:sqref>
                        </c15:formulaRef>
                      </c:ext>
                    </c:extLst>
                    <c:strCache>
                      <c:ptCount val="1"/>
                      <c:pt idx="0">
                        <c:v>Cadmium</c:v>
                      </c:pt>
                    </c:strCache>
                  </c:strRef>
                </c:tx>
                <c:spPr>
                  <a:ln w="19050" cap="rnd">
                    <a:solidFill>
                      <a:schemeClr val="accent4">
                        <a:lumMod val="75000"/>
                      </a:schemeClr>
                    </a:solidFill>
                    <a:round/>
                  </a:ln>
                  <a:effectLst/>
                </c:spPr>
                <c:marker>
                  <c:symbol val="triangle"/>
                  <c:size val="6"/>
                  <c:spPr>
                    <a:solidFill>
                      <a:schemeClr val="accent4">
                        <a:lumMod val="60000"/>
                        <a:lumOff val="40000"/>
                      </a:schemeClr>
                    </a:solidFill>
                    <a:ln w="9525">
                      <a:solidFill>
                        <a:schemeClr val="accent4">
                          <a:lumMod val="75000"/>
                        </a:schemeClr>
                      </a:solidFill>
                    </a:ln>
                    <a:effectLst/>
                  </c:spPr>
                </c:marker>
                <c:xVal>
                  <c:numRef>
                    <c:extLst xmlns:c15="http://schemas.microsoft.com/office/drawing/2012/chart">
                      <c:ext xmlns:c15="http://schemas.microsoft.com/office/drawing/2012/chart" uri="{02D57815-91ED-43cb-92C2-25804820EDAC}">
                        <c15:formulaRef>
                          <c15:sqref>'Individual Metals Conc '!$B$17:$B$23</c15:sqref>
                        </c15:formulaRef>
                      </c:ext>
                    </c:extLst>
                    <c:numCache>
                      <c:formatCode>General</c:formatCode>
                      <c:ptCount val="7"/>
                      <c:pt idx="0">
                        <c:v>12.5</c:v>
                      </c:pt>
                      <c:pt idx="1">
                        <c:v>16.399999999999999</c:v>
                      </c:pt>
                      <c:pt idx="2">
                        <c:v>63.8</c:v>
                      </c:pt>
                      <c:pt idx="3">
                        <c:v>94.2</c:v>
                      </c:pt>
                      <c:pt idx="4">
                        <c:v>132</c:v>
                      </c:pt>
                      <c:pt idx="5">
                        <c:v>164.1</c:v>
                      </c:pt>
                      <c:pt idx="6">
                        <c:v>190.2</c:v>
                      </c:pt>
                    </c:numCache>
                  </c:numRef>
                </c:xVal>
                <c:yVal>
                  <c:numRef>
                    <c:extLst xmlns:c15="http://schemas.microsoft.com/office/drawing/2012/chart">
                      <c:ext xmlns:c15="http://schemas.microsoft.com/office/drawing/2012/chart" uri="{02D57815-91ED-43cb-92C2-25804820EDAC}">
                        <c15:formulaRef>
                          <c15:sqref>'Individual Metals Conc '!$K$17:$K$23</c15:sqref>
                        </c15:formulaRef>
                      </c:ext>
                    </c:extLst>
                    <c:numCache>
                      <c:formatCode>0.000</c:formatCode>
                      <c:ptCount val="7"/>
                      <c:pt idx="0">
                        <c:v>0</c:v>
                      </c:pt>
                      <c:pt idx="1">
                        <c:v>0.14816364780521882</c:v>
                      </c:pt>
                      <c:pt idx="2">
                        <c:v>0.38372093023255816</c:v>
                      </c:pt>
                      <c:pt idx="3">
                        <c:v>0.75242402021279697</c:v>
                      </c:pt>
                      <c:pt idx="4">
                        <c:v>0.95311249549385668</c:v>
                      </c:pt>
                      <c:pt idx="5">
                        <c:v>0.96397193752010157</c:v>
                      </c:pt>
                      <c:pt idx="6">
                        <c:v>0.93456561853878761</c:v>
                      </c:pt>
                    </c:numCache>
                  </c:numRef>
                </c:yVal>
                <c:smooth val="0"/>
                <c:extLst xmlns:c15="http://schemas.microsoft.com/office/drawing/2012/chart">
                  <c:ext xmlns:c16="http://schemas.microsoft.com/office/drawing/2014/chart" uri="{C3380CC4-5D6E-409C-BE32-E72D297353CC}">
                    <c16:uniqueId val="{00000005-0A66-4F2D-9C56-73A0450C40BA}"/>
                  </c:ext>
                </c:extLst>
              </c15:ser>
            </c15:filteredScatterSeries>
          </c:ext>
        </c:extLst>
      </c:scatterChart>
      <c:scatterChart>
        <c:scatterStyle val="lineMarker"/>
        <c:varyColors val="0"/>
        <c:ser>
          <c:idx val="3"/>
          <c:order val="5"/>
          <c:tx>
            <c:strRef>
              <c:f>'Individual Metals Conc '!$O$28</c:f>
              <c:strCache>
                <c:ptCount val="1"/>
                <c:pt idx="0">
                  <c:v>Observed pH</c:v>
                </c:pt>
              </c:strCache>
            </c:strRef>
          </c:tx>
          <c:spPr>
            <a:ln w="19050" cap="rnd">
              <a:solidFill>
                <a:schemeClr val="tx1"/>
              </a:solidFill>
              <a:prstDash val="sysDash"/>
              <a:round/>
            </a:ln>
            <a:effectLst/>
          </c:spPr>
          <c:marker>
            <c:symbol val="none"/>
          </c:marker>
          <c:xVal>
            <c:numRef>
              <c:f>'Individual Metals Conc '!$N$29:$N$37</c:f>
              <c:numCache>
                <c:formatCode>0.00</c:formatCode>
                <c:ptCount val="9"/>
                <c:pt idx="0">
                  <c:v>0.01</c:v>
                </c:pt>
                <c:pt idx="1">
                  <c:v>12.6</c:v>
                </c:pt>
                <c:pt idx="2">
                  <c:v>64</c:v>
                </c:pt>
                <c:pt idx="3">
                  <c:v>96</c:v>
                </c:pt>
                <c:pt idx="4">
                  <c:v>104</c:v>
                </c:pt>
                <c:pt idx="5">
                  <c:v>109</c:v>
                </c:pt>
                <c:pt idx="6">
                  <c:v>132</c:v>
                </c:pt>
                <c:pt idx="7">
                  <c:v>164</c:v>
                </c:pt>
                <c:pt idx="8">
                  <c:v>189.4</c:v>
                </c:pt>
              </c:numCache>
            </c:numRef>
          </c:xVal>
          <c:yVal>
            <c:numRef>
              <c:f>'Individual Metals Conc '!$O$29:$O$37</c:f>
              <c:numCache>
                <c:formatCode>0.00</c:formatCode>
                <c:ptCount val="9"/>
                <c:pt idx="0">
                  <c:v>2.9</c:v>
                </c:pt>
                <c:pt idx="1">
                  <c:v>3.25</c:v>
                </c:pt>
                <c:pt idx="2">
                  <c:v>6.41</c:v>
                </c:pt>
                <c:pt idx="3">
                  <c:v>6.78</c:v>
                </c:pt>
                <c:pt idx="4">
                  <c:v>7.42</c:v>
                </c:pt>
                <c:pt idx="5">
                  <c:v>7.38</c:v>
                </c:pt>
                <c:pt idx="6">
                  <c:v>7.92</c:v>
                </c:pt>
                <c:pt idx="7">
                  <c:v>7.91</c:v>
                </c:pt>
                <c:pt idx="8">
                  <c:v>8.11</c:v>
                </c:pt>
              </c:numCache>
            </c:numRef>
          </c:yVal>
          <c:smooth val="0"/>
          <c:extLst>
            <c:ext xmlns:c16="http://schemas.microsoft.com/office/drawing/2014/chart" uri="{C3380CC4-5D6E-409C-BE32-E72D297353CC}">
              <c16:uniqueId val="{00000003-0A66-4F2D-9C56-73A0450C40BA}"/>
            </c:ext>
          </c:extLst>
        </c:ser>
        <c:dLbls>
          <c:showLegendKey val="0"/>
          <c:showVal val="0"/>
          <c:showCatName val="0"/>
          <c:showSerName val="0"/>
          <c:showPercent val="0"/>
          <c:showBubbleSize val="0"/>
        </c:dLbls>
        <c:axId val="295985448"/>
        <c:axId val="295985056"/>
      </c:scatterChart>
      <c:valAx>
        <c:axId val="45493314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a:t>Distance from</a:t>
                </a:r>
                <a:r>
                  <a:rPr lang="en-US" baseline="0"/>
                  <a:t> GKM</a:t>
                </a:r>
                <a:r>
                  <a:rPr lang="en-US"/>
                  <a:t> (km)</a:t>
                </a:r>
              </a:p>
            </c:rich>
          </c:tx>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454933536"/>
        <c:crosses val="autoZero"/>
        <c:crossBetween val="midCat"/>
      </c:valAx>
      <c:valAx>
        <c:axId val="45493353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a:t>Proportion Sorbed</a:t>
                </a:r>
              </a:p>
            </c:rich>
          </c:tx>
          <c:layout>
            <c:manualLayout>
              <c:xMode val="edge"/>
              <c:yMode val="edge"/>
              <c:x val="2.2903882530134451E-2"/>
              <c:y val="0.2972564802152656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454933144"/>
        <c:crosses val="autoZero"/>
        <c:crossBetween val="midCat"/>
        <c:majorUnit val="0.2"/>
        <c:minorUnit val="0.1"/>
      </c:valAx>
      <c:valAx>
        <c:axId val="295985056"/>
        <c:scaling>
          <c:orientation val="minMax"/>
          <c:min val="2"/>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a:t>pH</a:t>
                </a:r>
              </a:p>
            </c:rich>
          </c:tx>
          <c:layout>
            <c:manualLayout>
              <c:xMode val="edge"/>
              <c:yMode val="edge"/>
              <c:x val="0.91939698013938731"/>
              <c:y val="0.4333065051121496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295985448"/>
        <c:crosses val="max"/>
        <c:crossBetween val="midCat"/>
      </c:valAx>
      <c:valAx>
        <c:axId val="295985448"/>
        <c:scaling>
          <c:orientation val="minMax"/>
        </c:scaling>
        <c:delete val="1"/>
        <c:axPos val="t"/>
        <c:numFmt formatCode="0.00" sourceLinked="1"/>
        <c:majorTickMark val="out"/>
        <c:minorTickMark val="none"/>
        <c:tickLblPos val="nextTo"/>
        <c:crossAx val="295985056"/>
        <c:crosses val="max"/>
        <c:crossBetween val="midCat"/>
      </c:valAx>
      <c:spPr>
        <a:noFill/>
        <a:ln>
          <a:noFill/>
        </a:ln>
        <a:effectLst/>
      </c:spPr>
    </c:plotArea>
    <c:legend>
      <c:legendPos val="r"/>
      <c:layout>
        <c:manualLayout>
          <c:xMode val="edge"/>
          <c:yMode val="edge"/>
          <c:x val="0.53884616989888801"/>
          <c:y val="0.39337581854228981"/>
          <c:w val="0.29984966164943666"/>
          <c:h val="0.32887883821698527"/>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Calibri" panose="020F0502020204030204" pitchFamily="34" charset="0"/>
          <a:cs typeface="Calibri" panose="020F0502020204030204" pitchFamily="34" charset="0"/>
        </a:defRPr>
      </a:pPr>
      <a:endParaRPr lang="en-US"/>
    </a:p>
  </c:txPr>
  <c:printSettings>
    <c:headerFooter>
      <c:oddFooter>&amp;L&amp;Z&amp;F&amp;R&amp;D &amp;T</c:oddFooter>
    </c:headerFooter>
    <c:pageMargins b="0.75" l="0.7" r="0.7" t="0.75" header="0.3" footer="0.3"/>
    <c:pageSetup orientation="landscape" verticalDpi="597"/>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r>
              <a:rPr lang="en-US" sz="1200"/>
              <a:t>Portion of Sample in Solids</a:t>
            </a:r>
          </a:p>
        </c:rich>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6907862707637736"/>
          <c:y val="0.14768951549116643"/>
          <c:w val="0.70444051636402583"/>
          <c:h val="0.6544423019055825"/>
        </c:manualLayout>
      </c:layout>
      <c:scatterChart>
        <c:scatterStyle val="lineMarker"/>
        <c:varyColors val="0"/>
        <c:ser>
          <c:idx val="0"/>
          <c:order val="2"/>
          <c:tx>
            <c:strRef>
              <c:f>'Individual Metals Conc '!$D$3</c:f>
              <c:strCache>
                <c:ptCount val="1"/>
                <c:pt idx="0">
                  <c:v>Zinc</c:v>
                </c:pt>
              </c:strCache>
            </c:strRef>
          </c:tx>
          <c:spPr>
            <a:ln w="19050" cap="rnd">
              <a:solidFill>
                <a:schemeClr val="accent1"/>
              </a:solidFill>
              <a:round/>
            </a:ln>
            <a:effectLst/>
          </c:spPr>
          <c:marker>
            <c:symbol val="square"/>
            <c:size val="6"/>
            <c:spPr>
              <a:solidFill>
                <a:schemeClr val="accent1"/>
              </a:solidFill>
              <a:ln w="9525">
                <a:solidFill>
                  <a:schemeClr val="accent1"/>
                </a:solidFill>
              </a:ln>
              <a:effectLst/>
            </c:spPr>
          </c:marker>
          <c:xVal>
            <c:numRef>
              <c:f>'Individual Metals Conc '!$B$5:$B$11</c:f>
              <c:numCache>
                <c:formatCode>0.0</c:formatCode>
                <c:ptCount val="7"/>
                <c:pt idx="0">
                  <c:v>12.5</c:v>
                </c:pt>
                <c:pt idx="1">
                  <c:v>16.399999999999999</c:v>
                </c:pt>
                <c:pt idx="2">
                  <c:v>63.8</c:v>
                </c:pt>
                <c:pt idx="3">
                  <c:v>94.2</c:v>
                </c:pt>
                <c:pt idx="4">
                  <c:v>132</c:v>
                </c:pt>
                <c:pt idx="5">
                  <c:v>164.1</c:v>
                </c:pt>
                <c:pt idx="6">
                  <c:v>190.2</c:v>
                </c:pt>
              </c:numCache>
            </c:numRef>
          </c:xVal>
          <c:yVal>
            <c:numRef>
              <c:f>'Individual Metals Conc '!$E$5:$E$11</c:f>
              <c:numCache>
                <c:formatCode>0.00</c:formatCode>
                <c:ptCount val="7"/>
                <c:pt idx="0">
                  <c:v>0</c:v>
                </c:pt>
                <c:pt idx="1">
                  <c:v>0.2180530508124694</c:v>
                </c:pt>
                <c:pt idx="2">
                  <c:v>0.39319968999583871</c:v>
                </c:pt>
                <c:pt idx="3">
                  <c:v>0.81351728761366349</c:v>
                </c:pt>
                <c:pt idx="4">
                  <c:v>0.98510914836147256</c:v>
                </c:pt>
                <c:pt idx="5">
                  <c:v>0.99165824450559104</c:v>
                </c:pt>
                <c:pt idx="6">
                  <c:v>0.98812633864631516</c:v>
                </c:pt>
              </c:numCache>
            </c:numRef>
          </c:yVal>
          <c:smooth val="0"/>
          <c:extLst>
            <c:ext xmlns:c16="http://schemas.microsoft.com/office/drawing/2014/chart" uri="{C3380CC4-5D6E-409C-BE32-E72D297353CC}">
              <c16:uniqueId val="{00000000-AAA4-4513-B570-5A0A33CC9660}"/>
            </c:ext>
          </c:extLst>
        </c:ser>
        <c:ser>
          <c:idx val="4"/>
          <c:order val="3"/>
          <c:tx>
            <c:strRef>
              <c:f>'Individual Metals Conc '!$J$15</c:f>
              <c:strCache>
                <c:ptCount val="1"/>
                <c:pt idx="0">
                  <c:v>Cadmium</c:v>
                </c:pt>
              </c:strCache>
            </c:strRef>
          </c:tx>
          <c:spPr>
            <a:ln w="19050" cap="rnd">
              <a:solidFill>
                <a:schemeClr val="accent4">
                  <a:lumMod val="75000"/>
                </a:schemeClr>
              </a:solidFill>
              <a:round/>
            </a:ln>
            <a:effectLst/>
          </c:spPr>
          <c:marker>
            <c:symbol val="triangle"/>
            <c:size val="6"/>
            <c:spPr>
              <a:solidFill>
                <a:schemeClr val="accent4">
                  <a:lumMod val="60000"/>
                  <a:lumOff val="40000"/>
                </a:schemeClr>
              </a:solidFill>
              <a:ln w="9525">
                <a:solidFill>
                  <a:schemeClr val="accent4">
                    <a:lumMod val="75000"/>
                  </a:schemeClr>
                </a:solidFill>
              </a:ln>
              <a:effectLst/>
            </c:spPr>
          </c:marker>
          <c:xVal>
            <c:numRef>
              <c:f>'Individual Metals Conc '!$B$17:$B$23</c:f>
              <c:numCache>
                <c:formatCode>General</c:formatCode>
                <c:ptCount val="7"/>
                <c:pt idx="0">
                  <c:v>12.5</c:v>
                </c:pt>
                <c:pt idx="1">
                  <c:v>16.399999999999999</c:v>
                </c:pt>
                <c:pt idx="2">
                  <c:v>63.8</c:v>
                </c:pt>
                <c:pt idx="3">
                  <c:v>94.2</c:v>
                </c:pt>
                <c:pt idx="4">
                  <c:v>132</c:v>
                </c:pt>
                <c:pt idx="5">
                  <c:v>164.1</c:v>
                </c:pt>
                <c:pt idx="6">
                  <c:v>190.2</c:v>
                </c:pt>
              </c:numCache>
            </c:numRef>
          </c:xVal>
          <c:yVal>
            <c:numRef>
              <c:f>'Individual Metals Conc '!$K$17:$K$23</c:f>
              <c:numCache>
                <c:formatCode>0.000</c:formatCode>
                <c:ptCount val="7"/>
                <c:pt idx="0">
                  <c:v>0</c:v>
                </c:pt>
                <c:pt idx="1">
                  <c:v>0.14816364780521882</c:v>
                </c:pt>
                <c:pt idx="2">
                  <c:v>0.38372093023255816</c:v>
                </c:pt>
                <c:pt idx="3">
                  <c:v>0.75242402021279697</c:v>
                </c:pt>
                <c:pt idx="4">
                  <c:v>0.95311249549385668</c:v>
                </c:pt>
                <c:pt idx="5">
                  <c:v>0.96397193752010157</c:v>
                </c:pt>
                <c:pt idx="6">
                  <c:v>0.93456561853878761</c:v>
                </c:pt>
              </c:numCache>
            </c:numRef>
          </c:yVal>
          <c:smooth val="0"/>
          <c:extLst>
            <c:ext xmlns:c16="http://schemas.microsoft.com/office/drawing/2014/chart" uri="{C3380CC4-5D6E-409C-BE32-E72D297353CC}">
              <c16:uniqueId val="{00000001-AAA4-4513-B570-5A0A33CC9660}"/>
            </c:ext>
          </c:extLst>
        </c:ser>
        <c:dLbls>
          <c:showLegendKey val="0"/>
          <c:showVal val="0"/>
          <c:showCatName val="0"/>
          <c:showSerName val="0"/>
          <c:showPercent val="0"/>
          <c:showBubbleSize val="0"/>
        </c:dLbls>
        <c:axId val="295986232"/>
        <c:axId val="295986624"/>
        <c:extLst>
          <c:ext xmlns:c15="http://schemas.microsoft.com/office/drawing/2012/chart" uri="{02D57815-91ED-43cb-92C2-25804820EDAC}">
            <c15:filteredScatterSeries>
              <c15:ser>
                <c:idx val="2"/>
                <c:order val="0"/>
                <c:tx>
                  <c:strRef>
                    <c:extLst>
                      <c:ext uri="{02D57815-91ED-43cb-92C2-25804820EDAC}">
                        <c15:formulaRef>
                          <c15:sqref>'Individual Metals Conc '!$D$15</c15:sqref>
                        </c15:formulaRef>
                      </c:ext>
                    </c:extLst>
                    <c:strCache>
                      <c:ptCount val="1"/>
                      <c:pt idx="0">
                        <c:v>Lead</c:v>
                      </c:pt>
                    </c:strCache>
                  </c:strRef>
                </c:tx>
                <c:spPr>
                  <a:ln w="19050" cap="rnd">
                    <a:solidFill>
                      <a:srgbClr val="6E65E5"/>
                    </a:solidFill>
                    <a:round/>
                  </a:ln>
                  <a:effectLst/>
                </c:spPr>
                <c:marker>
                  <c:symbol val="diamond"/>
                  <c:size val="6"/>
                  <c:spPr>
                    <a:solidFill>
                      <a:schemeClr val="accent3"/>
                    </a:solidFill>
                    <a:ln w="9525">
                      <a:solidFill>
                        <a:srgbClr val="6E65E5"/>
                      </a:solidFill>
                    </a:ln>
                    <a:effectLst/>
                  </c:spPr>
                </c:marker>
                <c:xVal>
                  <c:numRef>
                    <c:extLst>
                      <c:ext uri="{02D57815-91ED-43cb-92C2-25804820EDAC}">
                        <c15:formulaRef>
                          <c15:sqref>'Individual Metals Conc '!$B$17:$B$23</c15:sqref>
                        </c15:formulaRef>
                      </c:ext>
                    </c:extLst>
                    <c:numCache>
                      <c:formatCode>General</c:formatCode>
                      <c:ptCount val="7"/>
                      <c:pt idx="0">
                        <c:v>12.5</c:v>
                      </c:pt>
                      <c:pt idx="1">
                        <c:v>16.399999999999999</c:v>
                      </c:pt>
                      <c:pt idx="2">
                        <c:v>63.8</c:v>
                      </c:pt>
                      <c:pt idx="3">
                        <c:v>94.2</c:v>
                      </c:pt>
                      <c:pt idx="4">
                        <c:v>132</c:v>
                      </c:pt>
                      <c:pt idx="5">
                        <c:v>164.1</c:v>
                      </c:pt>
                      <c:pt idx="6">
                        <c:v>190.2</c:v>
                      </c:pt>
                    </c:numCache>
                  </c:numRef>
                </c:xVal>
                <c:yVal>
                  <c:numRef>
                    <c:extLst>
                      <c:ext uri="{02D57815-91ED-43cb-92C2-25804820EDAC}">
                        <c15:formulaRef>
                          <c15:sqref>'Individual Metals Conc '!$E$17:$E$23</c15:sqref>
                        </c15:formulaRef>
                      </c:ext>
                    </c:extLst>
                    <c:numCache>
                      <c:formatCode>0.00</c:formatCode>
                      <c:ptCount val="7"/>
                      <c:pt idx="0">
                        <c:v>0.99848934073057438</c:v>
                      </c:pt>
                      <c:pt idx="1">
                        <c:v>0.99894440817989127</c:v>
                      </c:pt>
                      <c:pt idx="2">
                        <c:v>0.99978748501841186</c:v>
                      </c:pt>
                      <c:pt idx="3">
                        <c:v>0.99947483845967666</c:v>
                      </c:pt>
                      <c:pt idx="4">
                        <c:v>0.99761238184692524</c:v>
                      </c:pt>
                      <c:pt idx="5">
                        <c:v>0.99968704212787685</c:v>
                      </c:pt>
                      <c:pt idx="6">
                        <c:v>0.99951898142982443</c:v>
                      </c:pt>
                    </c:numCache>
                  </c:numRef>
                </c:yVal>
                <c:smooth val="0"/>
                <c:extLst>
                  <c:ext xmlns:c16="http://schemas.microsoft.com/office/drawing/2014/chart" uri="{C3380CC4-5D6E-409C-BE32-E72D297353CC}">
                    <c16:uniqueId val="{00000003-AAA4-4513-B570-5A0A33CC9660}"/>
                  </c:ext>
                </c:extLst>
              </c15:ser>
            </c15:filteredScatterSeries>
            <c15:filteredScatterSeries>
              <c15:ser>
                <c:idx val="1"/>
                <c:order val="1"/>
                <c:tx>
                  <c:strRef>
                    <c:extLst xmlns:c15="http://schemas.microsoft.com/office/drawing/2012/chart">
                      <c:ext xmlns:c15="http://schemas.microsoft.com/office/drawing/2012/chart" uri="{02D57815-91ED-43cb-92C2-25804820EDAC}">
                        <c15:formulaRef>
                          <c15:sqref>'Individual Metals Conc '!$I$3</c15:sqref>
                        </c15:formulaRef>
                      </c:ext>
                    </c:extLst>
                    <c:strCache>
                      <c:ptCount val="1"/>
                      <c:pt idx="0">
                        <c:v>Copper</c:v>
                      </c:pt>
                    </c:strCache>
                  </c:strRef>
                </c:tx>
                <c:spPr>
                  <a:ln w="19050" cap="rnd">
                    <a:solidFill>
                      <a:schemeClr val="accent2"/>
                    </a:solidFill>
                    <a:round/>
                  </a:ln>
                  <a:effectLst/>
                </c:spPr>
                <c:marker>
                  <c:symbol val="circle"/>
                  <c:size val="6"/>
                  <c:spPr>
                    <a:solidFill>
                      <a:schemeClr val="accent2"/>
                    </a:solidFill>
                    <a:ln w="9525">
                      <a:solidFill>
                        <a:schemeClr val="tx1">
                          <a:lumMod val="50000"/>
                          <a:lumOff val="50000"/>
                        </a:schemeClr>
                      </a:solidFill>
                    </a:ln>
                    <a:effectLst/>
                  </c:spPr>
                </c:marker>
                <c:xVal>
                  <c:numRef>
                    <c:extLst xmlns:c15="http://schemas.microsoft.com/office/drawing/2012/chart">
                      <c:ext xmlns:c15="http://schemas.microsoft.com/office/drawing/2012/chart" uri="{02D57815-91ED-43cb-92C2-25804820EDAC}">
                        <c15:formulaRef>
                          <c15:sqref>'Individual Metals Conc '!$B$5:$B$11</c15:sqref>
                        </c15:formulaRef>
                      </c:ext>
                    </c:extLst>
                    <c:numCache>
                      <c:formatCode>0.0</c:formatCode>
                      <c:ptCount val="7"/>
                      <c:pt idx="0">
                        <c:v>12.5</c:v>
                      </c:pt>
                      <c:pt idx="1">
                        <c:v>16.399999999999999</c:v>
                      </c:pt>
                      <c:pt idx="2">
                        <c:v>63.8</c:v>
                      </c:pt>
                      <c:pt idx="3">
                        <c:v>94.2</c:v>
                      </c:pt>
                      <c:pt idx="4">
                        <c:v>132</c:v>
                      </c:pt>
                      <c:pt idx="5">
                        <c:v>164.1</c:v>
                      </c:pt>
                      <c:pt idx="6">
                        <c:v>190.2</c:v>
                      </c:pt>
                    </c:numCache>
                  </c:numRef>
                </c:xVal>
                <c:yVal>
                  <c:numRef>
                    <c:extLst xmlns:c15="http://schemas.microsoft.com/office/drawing/2012/chart">
                      <c:ext xmlns:c15="http://schemas.microsoft.com/office/drawing/2012/chart" uri="{02D57815-91ED-43cb-92C2-25804820EDAC}">
                        <c15:formulaRef>
                          <c15:sqref>'Individual Metals Conc '!$K$5:$K$11</c15:sqref>
                        </c15:formulaRef>
                      </c:ext>
                    </c:extLst>
                    <c:numCache>
                      <c:formatCode>0.000</c:formatCode>
                      <c:ptCount val="7"/>
                      <c:pt idx="0">
                        <c:v>0.45328968569037675</c:v>
                      </c:pt>
                      <c:pt idx="1">
                        <c:v>0.49597215249815357</c:v>
                      </c:pt>
                      <c:pt idx="2">
                        <c:v>0.91264097030893621</c:v>
                      </c:pt>
                      <c:pt idx="3">
                        <c:v>0.99148792531921037</c:v>
                      </c:pt>
                      <c:pt idx="4">
                        <c:v>0.99133010543002764</c:v>
                      </c:pt>
                      <c:pt idx="5">
                        <c:v>0.98828144503547533</c:v>
                      </c:pt>
                      <c:pt idx="6">
                        <c:v>0.97818437642473643</c:v>
                      </c:pt>
                    </c:numCache>
                  </c:numRef>
                </c:yVal>
                <c:smooth val="0"/>
                <c:extLst xmlns:c15="http://schemas.microsoft.com/office/drawing/2012/chart">
                  <c:ext xmlns:c16="http://schemas.microsoft.com/office/drawing/2014/chart" uri="{C3380CC4-5D6E-409C-BE32-E72D297353CC}">
                    <c16:uniqueId val="{00000004-AAA4-4513-B570-5A0A33CC9660}"/>
                  </c:ext>
                </c:extLst>
              </c15:ser>
            </c15:filteredScatterSeries>
            <c15:filteredScatterSeries>
              <c15:ser>
                <c:idx val="5"/>
                <c:order val="5"/>
                <c:tx>
                  <c:strRef>
                    <c:extLst xmlns:c15="http://schemas.microsoft.com/office/drawing/2012/chart">
                      <c:ext xmlns:c15="http://schemas.microsoft.com/office/drawing/2012/chart" uri="{02D57815-91ED-43cb-92C2-25804820EDAC}">
                        <c15:formulaRef>
                          <c15:sqref>'Individual Metals Conc '!$D$27:$E$27</c15:sqref>
                        </c15:formulaRef>
                      </c:ext>
                    </c:extLst>
                    <c:strCache>
                      <c:ptCount val="1"/>
                      <c:pt idx="0">
                        <c:v>Nickel</c:v>
                      </c:pt>
                    </c:strCache>
                  </c:strRef>
                </c:tx>
                <c:spPr>
                  <a:ln w="1270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'Individual Metals Conc '!$B$29:$B$35</c15:sqref>
                        </c15:formulaRef>
                      </c:ext>
                    </c:extLst>
                    <c:numCache>
                      <c:formatCode>General</c:formatCode>
                      <c:ptCount val="7"/>
                      <c:pt idx="0">
                        <c:v>12.5</c:v>
                      </c:pt>
                      <c:pt idx="1">
                        <c:v>16.399999999999999</c:v>
                      </c:pt>
                      <c:pt idx="2">
                        <c:v>63.8</c:v>
                      </c:pt>
                      <c:pt idx="3">
                        <c:v>94.2</c:v>
                      </c:pt>
                      <c:pt idx="4">
                        <c:v>132</c:v>
                      </c:pt>
                      <c:pt idx="5">
                        <c:v>164.1</c:v>
                      </c:pt>
                      <c:pt idx="6">
                        <c:v>190.2</c:v>
                      </c:pt>
                    </c:numCache>
                  </c:numRef>
                </c:xVal>
                <c:yVal>
                  <c:numRef>
                    <c:extLst xmlns:c15="http://schemas.microsoft.com/office/drawing/2012/chart">
                      <c:ext xmlns:c15="http://schemas.microsoft.com/office/drawing/2012/chart" uri="{02D57815-91ED-43cb-92C2-25804820EDAC}">
                        <c15:formulaRef>
                          <c15:sqref>'Individual Metals Conc '!$E$29:$E$35</c15:sqref>
                        </c15:formulaRef>
                      </c:ext>
                    </c:extLst>
                    <c:numCache>
                      <c:formatCode>0.000</c:formatCode>
                      <c:ptCount val="7"/>
                      <c:pt idx="0">
                        <c:v>0.42193702543666806</c:v>
                      </c:pt>
                      <c:pt idx="1">
                        <c:v>0.66788195885202872</c:v>
                      </c:pt>
                      <c:pt idx="2">
                        <c:v>0.7671000202501207</c:v>
                      </c:pt>
                      <c:pt idx="3">
                        <c:v>0.81205524981274624</c:v>
                      </c:pt>
                      <c:pt idx="4">
                        <c:v>1</c:v>
                      </c:pt>
                      <c:pt idx="5">
                        <c:v>0.97234621692373657</c:v>
                      </c:pt>
                      <c:pt idx="6">
                        <c:v>0</c:v>
                      </c:pt>
                    </c:numCache>
                  </c:numRef>
                </c:yVal>
                <c:smooth val="0"/>
                <c:extLst xmlns:c15="http://schemas.microsoft.com/office/drawing/2012/chart">
                  <c:ext xmlns:c16="http://schemas.microsoft.com/office/drawing/2014/chart" uri="{C3380CC4-5D6E-409C-BE32-E72D297353CC}">
                    <c16:uniqueId val="{00000005-AAA4-4513-B570-5A0A33CC9660}"/>
                  </c:ext>
                </c:extLst>
              </c15:ser>
            </c15:filteredScatterSeries>
          </c:ext>
        </c:extLst>
      </c:scatterChart>
      <c:scatterChart>
        <c:scatterStyle val="lineMarker"/>
        <c:varyColors val="0"/>
        <c:ser>
          <c:idx val="3"/>
          <c:order val="4"/>
          <c:tx>
            <c:strRef>
              <c:f>'Individual Metals Conc '!$O$28</c:f>
              <c:strCache>
                <c:ptCount val="1"/>
                <c:pt idx="0">
                  <c:v>Observed pH</c:v>
                </c:pt>
              </c:strCache>
            </c:strRef>
          </c:tx>
          <c:spPr>
            <a:ln w="19050" cap="rnd">
              <a:solidFill>
                <a:schemeClr val="tx1"/>
              </a:solidFill>
              <a:prstDash val="sysDash"/>
              <a:round/>
            </a:ln>
            <a:effectLst/>
          </c:spPr>
          <c:marker>
            <c:symbol val="none"/>
          </c:marker>
          <c:xVal>
            <c:numRef>
              <c:f>'Individual Metals Conc '!$N$29:$N$37</c:f>
              <c:numCache>
                <c:formatCode>0.00</c:formatCode>
                <c:ptCount val="9"/>
                <c:pt idx="0">
                  <c:v>0.01</c:v>
                </c:pt>
                <c:pt idx="1">
                  <c:v>12.6</c:v>
                </c:pt>
                <c:pt idx="2">
                  <c:v>64</c:v>
                </c:pt>
                <c:pt idx="3">
                  <c:v>96</c:v>
                </c:pt>
                <c:pt idx="4">
                  <c:v>104</c:v>
                </c:pt>
                <c:pt idx="5">
                  <c:v>109</c:v>
                </c:pt>
                <c:pt idx="6">
                  <c:v>132</c:v>
                </c:pt>
                <c:pt idx="7">
                  <c:v>164</c:v>
                </c:pt>
                <c:pt idx="8">
                  <c:v>189.4</c:v>
                </c:pt>
              </c:numCache>
            </c:numRef>
          </c:xVal>
          <c:yVal>
            <c:numRef>
              <c:f>'Individual Metals Conc '!$O$29:$O$37</c:f>
              <c:numCache>
                <c:formatCode>0.00</c:formatCode>
                <c:ptCount val="9"/>
                <c:pt idx="0">
                  <c:v>2.9</c:v>
                </c:pt>
                <c:pt idx="1">
                  <c:v>3.25</c:v>
                </c:pt>
                <c:pt idx="2">
                  <c:v>6.41</c:v>
                </c:pt>
                <c:pt idx="3">
                  <c:v>6.78</c:v>
                </c:pt>
                <c:pt idx="4">
                  <c:v>7.42</c:v>
                </c:pt>
                <c:pt idx="5">
                  <c:v>7.38</c:v>
                </c:pt>
                <c:pt idx="6">
                  <c:v>7.92</c:v>
                </c:pt>
                <c:pt idx="7">
                  <c:v>7.91</c:v>
                </c:pt>
                <c:pt idx="8">
                  <c:v>8.11</c:v>
                </c:pt>
              </c:numCache>
            </c:numRef>
          </c:yVal>
          <c:smooth val="0"/>
          <c:extLst>
            <c:ext xmlns:c16="http://schemas.microsoft.com/office/drawing/2014/chart" uri="{C3380CC4-5D6E-409C-BE32-E72D297353CC}">
              <c16:uniqueId val="{00000002-AAA4-4513-B570-5A0A33CC9660}"/>
            </c:ext>
          </c:extLst>
        </c:ser>
        <c:dLbls>
          <c:showLegendKey val="0"/>
          <c:showVal val="0"/>
          <c:showCatName val="0"/>
          <c:showSerName val="0"/>
          <c:showPercent val="0"/>
          <c:showBubbleSize val="0"/>
        </c:dLbls>
        <c:axId val="455146248"/>
        <c:axId val="455145856"/>
      </c:scatterChart>
      <c:valAx>
        <c:axId val="29598623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Distance from GKM (km)</a:t>
                </a:r>
              </a:p>
            </c:rich>
          </c:tx>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295986624"/>
        <c:crosses val="autoZero"/>
        <c:crossBetween val="midCat"/>
      </c:valAx>
      <c:valAx>
        <c:axId val="295986624"/>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Proportion Sorbed</a:t>
                </a:r>
              </a:p>
            </c:rich>
          </c:tx>
          <c:layout>
            <c:manualLayout>
              <c:xMode val="edge"/>
              <c:yMode val="edge"/>
              <c:x val="2.89506668809256E-2"/>
              <c:y val="0.2620142122300904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295986232"/>
        <c:crosses val="autoZero"/>
        <c:crossBetween val="midCat"/>
        <c:majorUnit val="0.2"/>
        <c:minorUnit val="0.1"/>
      </c:valAx>
      <c:valAx>
        <c:axId val="455145856"/>
        <c:scaling>
          <c:orientation val="minMax"/>
          <c:min val="2"/>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pH</a:t>
                </a:r>
              </a:p>
            </c:rich>
          </c:tx>
          <c:layout>
            <c:manualLayout>
              <c:xMode val="edge"/>
              <c:yMode val="edge"/>
              <c:x val="0.91939698013938731"/>
              <c:y val="0.4333065051121496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455146248"/>
        <c:crosses val="max"/>
        <c:crossBetween val="midCat"/>
      </c:valAx>
      <c:valAx>
        <c:axId val="455146248"/>
        <c:scaling>
          <c:orientation val="minMax"/>
        </c:scaling>
        <c:delete val="1"/>
        <c:axPos val="t"/>
        <c:numFmt formatCode="0.00" sourceLinked="1"/>
        <c:majorTickMark val="out"/>
        <c:minorTickMark val="none"/>
        <c:tickLblPos val="nextTo"/>
        <c:crossAx val="455145856"/>
        <c:crosses val="max"/>
        <c:crossBetween val="midCat"/>
      </c:valAx>
      <c:spPr>
        <a:noFill/>
        <a:ln>
          <a:noFill/>
        </a:ln>
        <a:effectLst/>
      </c:spPr>
    </c:plotArea>
    <c:legend>
      <c:legendPos val="r"/>
      <c:layout>
        <c:manualLayout>
          <c:xMode val="edge"/>
          <c:yMode val="edge"/>
          <c:x val="0.56605710000535636"/>
          <c:y val="0.3966733502648413"/>
          <c:w val="0.30367394551871491"/>
          <c:h val="0.34621891594977033"/>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Gill Sans MT" panose="020B0502020104020203" pitchFamily="34" charset="0"/>
        </a:defRPr>
      </a:pPr>
      <a:endParaRPr lang="en-US"/>
    </a:p>
  </c:txPr>
  <c:printSettings>
    <c:headerFooter>
      <c:oddFooter>&amp;L&amp;Z&amp;F&amp;R&amp;D &amp;T</c:oddFooter>
    </c:headerFooter>
    <c:pageMargins b="0.75" l="0.7" r="0.7" t="0.75" header="0.3" footer="0.3"/>
    <c:pageSetup orientation="landscape" verticalDpi="597"/>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emf"/><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5</xdr:col>
      <xdr:colOff>723900</xdr:colOff>
      <xdr:row>23</xdr:row>
      <xdr:rowOff>38100</xdr:rowOff>
    </xdr:from>
    <xdr:to>
      <xdr:col>14</xdr:col>
      <xdr:colOff>142875</xdr:colOff>
      <xdr:row>42</xdr:row>
      <xdr:rowOff>9525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47625</xdr:colOff>
      <xdr:row>23</xdr:row>
      <xdr:rowOff>0</xdr:rowOff>
    </xdr:from>
    <xdr:to>
      <xdr:col>5</xdr:col>
      <xdr:colOff>295275</xdr:colOff>
      <xdr:row>41</xdr:row>
      <xdr:rowOff>123825</xdr:rowOff>
    </xdr:to>
    <xdr:pic>
      <xdr:nvPicPr>
        <xdr:cNvPr id="8" name="Picture 7"/>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625" y="5124450"/>
          <a:ext cx="4895850" cy="3038475"/>
        </a:xfrm>
        <a:prstGeom prst="rect">
          <a:avLst/>
        </a:prstGeom>
        <a:noFill/>
        <a:ln>
          <a:noFill/>
        </a:ln>
      </xdr:spPr>
    </xdr:pic>
    <xdr:clientData/>
  </xdr:twoCellAnchor>
  <xdr:oneCellAnchor>
    <xdr:from>
      <xdr:col>3</xdr:col>
      <xdr:colOff>266700</xdr:colOff>
      <xdr:row>44</xdr:row>
      <xdr:rowOff>85725</xdr:rowOff>
    </xdr:from>
    <xdr:ext cx="184731" cy="264560"/>
    <xdr:sp macro="" textlink="">
      <xdr:nvSpPr>
        <xdr:cNvPr id="3" name="TextBox 2"/>
        <xdr:cNvSpPr txBox="1"/>
      </xdr:nvSpPr>
      <xdr:spPr>
        <a:xfrm>
          <a:off x="2914650" y="877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142875</xdr:colOff>
      <xdr:row>42</xdr:row>
      <xdr:rowOff>85725</xdr:rowOff>
    </xdr:from>
    <xdr:to>
      <xdr:col>5</xdr:col>
      <xdr:colOff>542925</xdr:colOff>
      <xdr:row>47</xdr:row>
      <xdr:rowOff>133350</xdr:rowOff>
    </xdr:to>
    <xdr:sp macro="" textlink="">
      <xdr:nvSpPr>
        <xdr:cNvPr id="9" name="TextBox 8"/>
        <xdr:cNvSpPr txBox="1"/>
      </xdr:nvSpPr>
      <xdr:spPr>
        <a:xfrm>
          <a:off x="142875" y="8448675"/>
          <a:ext cx="5048250"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5-9. Dissolved load of metals simulated by the empirical model as the Gold King Mine plume traveled through the Animas River. The initial volume of dissolved metals (minus major cations) that was input to the Animas River from Cement Creek was 15,000 kg.</a:t>
          </a:r>
        </a:p>
        <a:p>
          <a:endParaRPr lang="en-US" sz="1100"/>
        </a:p>
      </xdr:txBody>
    </xdr:sp>
    <xdr:clientData/>
  </xdr:twoCellAnchor>
  <xdr:twoCellAnchor editAs="oneCell">
    <xdr:from>
      <xdr:col>7</xdr:col>
      <xdr:colOff>238125</xdr:colOff>
      <xdr:row>45</xdr:row>
      <xdr:rowOff>133350</xdr:rowOff>
    </xdr:from>
    <xdr:to>
      <xdr:col>15</xdr:col>
      <xdr:colOff>257175</xdr:colOff>
      <xdr:row>64</xdr:row>
      <xdr:rowOff>95250</xdr:rowOff>
    </xdr:to>
    <xdr:pic>
      <xdr:nvPicPr>
        <xdr:cNvPr id="6" name="Picture 5"/>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57925" y="8982075"/>
          <a:ext cx="4895850" cy="3038475"/>
        </a:xfrm>
        <a:prstGeom prst="rect">
          <a:avLst/>
        </a:prstGeom>
        <a:noFill/>
        <a:ln>
          <a:noFill/>
        </a:ln>
      </xdr:spPr>
    </xdr:pic>
    <xdr:clientData/>
  </xdr:twoCellAnchor>
  <xdr:twoCellAnchor>
    <xdr:from>
      <xdr:col>7</xdr:col>
      <xdr:colOff>0</xdr:colOff>
      <xdr:row>68</xdr:row>
      <xdr:rowOff>0</xdr:rowOff>
    </xdr:from>
    <xdr:to>
      <xdr:col>15</xdr:col>
      <xdr:colOff>180975</xdr:colOff>
      <xdr:row>87</xdr:row>
      <xdr:rowOff>133350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0.24208</cdr:x>
      <cdr:y>0.1713</cdr:y>
    </cdr:from>
    <cdr:to>
      <cdr:x>0.95857</cdr:x>
      <cdr:y>0.24834</cdr:y>
    </cdr:to>
    <cdr:sp macro="" textlink="">
      <cdr:nvSpPr>
        <cdr:cNvPr id="2" name="TextBox 1"/>
        <cdr:cNvSpPr txBox="1"/>
      </cdr:nvSpPr>
      <cdr:spPr>
        <a:xfrm xmlns:a="http://schemas.openxmlformats.org/drawingml/2006/main">
          <a:off x="1224373" y="549867"/>
          <a:ext cx="3623851" cy="24729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t>Dissolved Load,</a:t>
          </a:r>
          <a:r>
            <a:rPr lang="en-US" sz="1050" b="1" baseline="0"/>
            <a:t> Summed</a:t>
          </a:r>
          <a:r>
            <a:rPr lang="en-US" sz="1050" b="1"/>
            <a:t> Metals  at Cement Creek = 15,400 kg </a:t>
          </a:r>
        </a:p>
      </cdr:txBody>
    </cdr:sp>
  </cdr:relSizeAnchor>
</c:userShapes>
</file>

<file path=xl/drawings/drawing3.xml><?xml version="1.0" encoding="utf-8"?>
<c:userShapes xmlns:c="http://schemas.openxmlformats.org/drawingml/2006/chart">
  <cdr:relSizeAnchor xmlns:cdr="http://schemas.openxmlformats.org/drawingml/2006/chartDrawing">
    <cdr:from>
      <cdr:x>0.26091</cdr:x>
      <cdr:y>0.1624</cdr:y>
    </cdr:from>
    <cdr:to>
      <cdr:x>0.96965</cdr:x>
      <cdr:y>0.23944</cdr:y>
    </cdr:to>
    <cdr:sp macro="" textlink="">
      <cdr:nvSpPr>
        <cdr:cNvPr id="2" name="TextBox 1"/>
        <cdr:cNvSpPr txBox="1"/>
      </cdr:nvSpPr>
      <cdr:spPr>
        <a:xfrm xmlns:a="http://schemas.openxmlformats.org/drawingml/2006/main">
          <a:off x="1319614" y="494980"/>
          <a:ext cx="3584648" cy="2348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t>Dissolved Load,</a:t>
          </a:r>
          <a:r>
            <a:rPr lang="en-US" sz="1050" b="1" baseline="0"/>
            <a:t> Summed</a:t>
          </a:r>
          <a:r>
            <a:rPr lang="en-US" sz="1050" b="1"/>
            <a:t> Metals  at Cement Creek = 15,000 kg </a:t>
          </a:r>
        </a:p>
      </cdr:txBody>
    </cdr:sp>
  </cdr:relSizeAnchor>
</c:userShapes>
</file>

<file path=xl/drawings/drawing4.xml><?xml version="1.0" encoding="utf-8"?>
<xdr:wsDr xmlns:xdr="http://schemas.openxmlformats.org/drawingml/2006/spreadsheetDrawing" xmlns:a="http://schemas.openxmlformats.org/drawingml/2006/main">
  <xdr:twoCellAnchor>
    <xdr:from>
      <xdr:col>8</xdr:col>
      <xdr:colOff>95250</xdr:colOff>
      <xdr:row>55</xdr:row>
      <xdr:rowOff>9525</xdr:rowOff>
    </xdr:from>
    <xdr:to>
      <xdr:col>13</xdr:col>
      <xdr:colOff>28575</xdr:colOff>
      <xdr:row>74</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49</xdr:row>
      <xdr:rowOff>128587</xdr:rowOff>
    </xdr:from>
    <xdr:to>
      <xdr:col>4</xdr:col>
      <xdr:colOff>323850</xdr:colOff>
      <xdr:row>68</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28575</xdr:colOff>
      <xdr:row>68</xdr:row>
      <xdr:rowOff>123824</xdr:rowOff>
    </xdr:from>
    <xdr:to>
      <xdr:col>4</xdr:col>
      <xdr:colOff>676275</xdr:colOff>
      <xdr:row>72</xdr:row>
      <xdr:rowOff>38099</xdr:rowOff>
    </xdr:to>
    <xdr:sp macro="" textlink="">
      <xdr:nvSpPr>
        <xdr:cNvPr id="5" name="TextBox 4"/>
        <xdr:cNvSpPr txBox="1"/>
      </xdr:nvSpPr>
      <xdr:spPr>
        <a:xfrm>
          <a:off x="28575" y="12087224"/>
          <a:ext cx="5648325" cy="56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5-5. Observed pH at or near the peak of the Gold King Mine plume at locations in the Animas River. The river approached background pH at approximately RK 130.  </a:t>
          </a:r>
        </a:p>
        <a:p>
          <a:r>
            <a:rPr lang="en-US" sz="1100">
              <a:solidFill>
                <a:schemeClr val="dk1"/>
              </a:solidFill>
              <a:effectLst/>
              <a:latin typeface="+mn-lt"/>
              <a:ea typeface="+mn-ea"/>
              <a:cs typeface="+mn-cs"/>
            </a:rPr>
            <a:t> </a:t>
          </a:r>
        </a:p>
        <a:p>
          <a:endParaRPr lang="en-US" sz="1100"/>
        </a:p>
      </xdr:txBody>
    </xdr:sp>
    <xdr:clientData/>
  </xdr:twoCellAnchor>
  <xdr:twoCellAnchor>
    <xdr:from>
      <xdr:col>7</xdr:col>
      <xdr:colOff>476250</xdr:colOff>
      <xdr:row>76</xdr:row>
      <xdr:rowOff>95250</xdr:rowOff>
    </xdr:from>
    <xdr:to>
      <xdr:col>13</xdr:col>
      <xdr:colOff>590550</xdr:colOff>
      <xdr:row>83</xdr:row>
      <xdr:rowOff>95250</xdr:rowOff>
    </xdr:to>
    <xdr:sp macro="" textlink="">
      <xdr:nvSpPr>
        <xdr:cNvPr id="3" name="TextBox 2"/>
        <xdr:cNvSpPr txBox="1"/>
      </xdr:nvSpPr>
      <xdr:spPr>
        <a:xfrm>
          <a:off x="7886700" y="13411200"/>
          <a:ext cx="5772150" cy="1133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5-5. Observed pH at or near the peak of the Gold King Mine plume at locations in the Animas River shown by data provider including estimated values at Silverton and Durango. The regression line begins in the Animas at Silverton starting with an estimate of pH based on mixing ratios with Cement Creek at the peak of the GKM release.  The river approached background pH at approximately RK 130.  </a:t>
          </a:r>
        </a:p>
        <a:p>
          <a:endParaRPr lang="en-US" sz="1100"/>
        </a:p>
      </xdr:txBody>
    </xdr:sp>
    <xdr:clientData/>
  </xdr:twoCellAnchor>
</xdr:wsDr>
</file>

<file path=xl/drawings/drawing5.xml><?xml version="1.0" encoding="utf-8"?>
<c:userShapes xmlns:c="http://schemas.openxmlformats.org/drawingml/2006/chart">
  <cdr:relSizeAnchor xmlns:cdr="http://schemas.openxmlformats.org/drawingml/2006/chartDrawing">
    <cdr:from>
      <cdr:x>0.5916</cdr:x>
      <cdr:y>0.2504</cdr:y>
    </cdr:from>
    <cdr:to>
      <cdr:x>0.95992</cdr:x>
      <cdr:y>0.25687</cdr:y>
    </cdr:to>
    <cdr:cxnSp macro="">
      <cdr:nvCxnSpPr>
        <cdr:cNvPr id="3" name="Straight Connector 2"/>
        <cdr:cNvCxnSpPr/>
      </cdr:nvCxnSpPr>
      <cdr:spPr>
        <a:xfrm xmlns:a="http://schemas.openxmlformats.org/drawingml/2006/main" flipV="1">
          <a:off x="2952750" y="738188"/>
          <a:ext cx="1838325" cy="19050"/>
        </a:xfrm>
        <a:prstGeom xmlns:a="http://schemas.openxmlformats.org/drawingml/2006/main" prst="line">
          <a:avLst/>
        </a:prstGeom>
        <a:ln xmlns:a="http://schemas.openxmlformats.org/drawingml/2006/main" w="9525">
          <a:solidFill>
            <a:schemeClr val="tx1">
              <a:lumMod val="75000"/>
              <a:lumOff val="25000"/>
            </a:schemeClr>
          </a:solidFill>
          <a:prstDash val="sys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0.14122</cdr:x>
      <cdr:y>0.22456</cdr:y>
    </cdr:from>
    <cdr:to>
      <cdr:x>0.67176</cdr:x>
      <cdr:y>0.72536</cdr:y>
    </cdr:to>
    <cdr:cxnSp macro="">
      <cdr:nvCxnSpPr>
        <cdr:cNvPr id="6" name="Straight Connector 5"/>
        <cdr:cNvCxnSpPr/>
      </cdr:nvCxnSpPr>
      <cdr:spPr>
        <a:xfrm xmlns:a="http://schemas.openxmlformats.org/drawingml/2006/main" flipV="1">
          <a:off x="704850" y="661988"/>
          <a:ext cx="2647950" cy="1476375"/>
        </a:xfrm>
        <a:prstGeom xmlns:a="http://schemas.openxmlformats.org/drawingml/2006/main" prst="line">
          <a:avLst/>
        </a:prstGeom>
        <a:ln xmlns:a="http://schemas.openxmlformats.org/drawingml/2006/main" w="9525">
          <a:solidFill>
            <a:schemeClr val="tx1">
              <a:lumMod val="75000"/>
              <a:lumOff val="25000"/>
            </a:schemeClr>
          </a:solidFill>
          <a:prstDash val="sys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6.xml><?xml version="1.0" encoding="utf-8"?>
<xdr:wsDr xmlns:xdr="http://schemas.openxmlformats.org/drawingml/2006/spreadsheetDrawing" xmlns:a="http://schemas.openxmlformats.org/drawingml/2006/main">
  <xdr:twoCellAnchor>
    <xdr:from>
      <xdr:col>26</xdr:col>
      <xdr:colOff>367514</xdr:colOff>
      <xdr:row>23</xdr:row>
      <xdr:rowOff>86902</xdr:rowOff>
    </xdr:from>
    <xdr:to>
      <xdr:col>33</xdr:col>
      <xdr:colOff>453239</xdr:colOff>
      <xdr:row>41</xdr:row>
      <xdr:rowOff>186807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19050</xdr:colOff>
      <xdr:row>2</xdr:row>
      <xdr:rowOff>18087</xdr:rowOff>
    </xdr:from>
    <xdr:to>
      <xdr:col>19</xdr:col>
      <xdr:colOff>409575</xdr:colOff>
      <xdr:row>19</xdr:row>
      <xdr:rowOff>128427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474645</xdr:colOff>
      <xdr:row>2</xdr:row>
      <xdr:rowOff>27826</xdr:rowOff>
    </xdr:from>
    <xdr:to>
      <xdr:col>26</xdr:col>
      <xdr:colOff>407970</xdr:colOff>
      <xdr:row>19</xdr:row>
      <xdr:rowOff>40616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160534</xdr:colOff>
      <xdr:row>21</xdr:row>
      <xdr:rowOff>32107</xdr:rowOff>
    </xdr:from>
    <xdr:to>
      <xdr:col>26</xdr:col>
      <xdr:colOff>160533</xdr:colOff>
      <xdr:row>24</xdr:row>
      <xdr:rowOff>128427</xdr:rowOff>
    </xdr:to>
    <xdr:sp macro="" textlink="">
      <xdr:nvSpPr>
        <xdr:cNvPr id="6" name="TextBox 5"/>
        <xdr:cNvSpPr txBox="1"/>
      </xdr:nvSpPr>
      <xdr:spPr>
        <a:xfrm>
          <a:off x="10338371" y="4313006"/>
          <a:ext cx="8080196" cy="5779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5-11. Observed sorption of metals to solid form relative to pH in the Animas River determined from water sample concentrations (Total-Dissolved/Total). The sorption of A) lead, copper and arsenic and B) cadmium and zinc relative to observed pH is shown. Observed river water pH was translated to distance based on Figure 5-5.  </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endParaRPr lang="en-US" sz="1100"/>
        </a:p>
      </xdr:txBody>
    </xdr:sp>
    <xdr:clientData/>
  </xdr:twoCellAnchor>
</xdr:wsDr>
</file>

<file path=xl/drawings/drawing7.xml><?xml version="1.0" encoding="utf-8"?>
<c:userShapes xmlns:c="http://schemas.openxmlformats.org/drawingml/2006/chart">
  <cdr:relSizeAnchor xmlns:cdr="http://schemas.openxmlformats.org/drawingml/2006/chartDrawing">
    <cdr:from>
      <cdr:x>0.00656</cdr:x>
      <cdr:y>0.03274</cdr:y>
    </cdr:from>
    <cdr:to>
      <cdr:x>0.16849</cdr:x>
      <cdr:y>0.11187</cdr:y>
    </cdr:to>
    <cdr:sp macro="" textlink="">
      <cdr:nvSpPr>
        <cdr:cNvPr id="2" name="TextBox 1"/>
        <cdr:cNvSpPr txBox="1"/>
      </cdr:nvSpPr>
      <cdr:spPr>
        <a:xfrm xmlns:a="http://schemas.openxmlformats.org/drawingml/2006/main">
          <a:off x="28576" y="114300"/>
          <a:ext cx="704850"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200" b="1"/>
        </a:p>
      </cdr:txBody>
    </cdr:sp>
  </cdr:relSizeAnchor>
  <cdr:relSizeAnchor xmlns:cdr="http://schemas.openxmlformats.org/drawingml/2006/chartDrawing">
    <cdr:from>
      <cdr:x>0.19081</cdr:x>
      <cdr:y>0.15117</cdr:y>
    </cdr:from>
    <cdr:to>
      <cdr:x>0.27434</cdr:x>
      <cdr:y>0.23777</cdr:y>
    </cdr:to>
    <cdr:sp macro="" textlink="">
      <cdr:nvSpPr>
        <cdr:cNvPr id="3" name="TextBox 2"/>
        <cdr:cNvSpPr txBox="1"/>
      </cdr:nvSpPr>
      <cdr:spPr>
        <a:xfrm xmlns:a="http://schemas.openxmlformats.org/drawingml/2006/main">
          <a:off x="831137" y="523127"/>
          <a:ext cx="363876" cy="2996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As</a:t>
          </a:r>
        </a:p>
      </cdr:txBody>
    </cdr:sp>
  </cdr:relSizeAnchor>
  <cdr:relSizeAnchor xmlns:cdr="http://schemas.openxmlformats.org/drawingml/2006/chartDrawing">
    <cdr:from>
      <cdr:x>0.25981</cdr:x>
      <cdr:y>0.15076</cdr:y>
    </cdr:from>
    <cdr:to>
      <cdr:x>0.37016</cdr:x>
      <cdr:y>0.23736</cdr:y>
    </cdr:to>
    <cdr:sp macro="" textlink="">
      <cdr:nvSpPr>
        <cdr:cNvPr id="4" name="TextBox 1"/>
        <cdr:cNvSpPr txBox="1"/>
      </cdr:nvSpPr>
      <cdr:spPr>
        <a:xfrm xmlns:a="http://schemas.openxmlformats.org/drawingml/2006/main">
          <a:off x="1131727" y="521699"/>
          <a:ext cx="480674" cy="299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a:t>Pb</a:t>
          </a:r>
        </a:p>
      </cdr:txBody>
    </cdr:sp>
  </cdr:relSizeAnchor>
  <cdr:relSizeAnchor xmlns:cdr="http://schemas.openxmlformats.org/drawingml/2006/chartDrawing">
    <cdr:from>
      <cdr:x>0.26473</cdr:x>
      <cdr:y>0.23427</cdr:y>
    </cdr:from>
    <cdr:to>
      <cdr:x>0.37508</cdr:x>
      <cdr:y>0.32086</cdr:y>
    </cdr:to>
    <cdr:sp macro="" textlink="">
      <cdr:nvSpPr>
        <cdr:cNvPr id="5" name="TextBox 1"/>
        <cdr:cNvSpPr txBox="1"/>
      </cdr:nvSpPr>
      <cdr:spPr>
        <a:xfrm xmlns:a="http://schemas.openxmlformats.org/drawingml/2006/main">
          <a:off x="1153131" y="810659"/>
          <a:ext cx="480674" cy="299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a:t>Cu</a:t>
          </a:r>
        </a:p>
      </cdr:txBody>
    </cdr:sp>
  </cdr:relSizeAnchor>
  <cdr:relSizeAnchor xmlns:cdr="http://schemas.openxmlformats.org/drawingml/2006/chartDrawing">
    <cdr:from>
      <cdr:x>0.25981</cdr:x>
      <cdr:y>0.41674</cdr:y>
    </cdr:from>
    <cdr:to>
      <cdr:x>0.37016</cdr:x>
      <cdr:y>0.50334</cdr:y>
    </cdr:to>
    <cdr:sp macro="" textlink="">
      <cdr:nvSpPr>
        <cdr:cNvPr id="6" name="TextBox 1"/>
        <cdr:cNvSpPr txBox="1"/>
      </cdr:nvSpPr>
      <cdr:spPr>
        <a:xfrm xmlns:a="http://schemas.openxmlformats.org/drawingml/2006/main">
          <a:off x="1131726" y="1442092"/>
          <a:ext cx="480674" cy="299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a:t>pH</a:t>
          </a:r>
        </a:p>
      </cdr:txBody>
    </cdr:sp>
  </cdr:relSizeAnchor>
  <cdr:relSizeAnchor xmlns:cdr="http://schemas.openxmlformats.org/drawingml/2006/chartDrawing">
    <cdr:from>
      <cdr:x>0.4146</cdr:x>
      <cdr:y>0.2188</cdr:y>
    </cdr:from>
    <cdr:to>
      <cdr:x>0.52495</cdr:x>
      <cdr:y>0.3054</cdr:y>
    </cdr:to>
    <cdr:sp macro="" textlink="">
      <cdr:nvSpPr>
        <cdr:cNvPr id="7" name="TextBox 1"/>
        <cdr:cNvSpPr txBox="1"/>
      </cdr:nvSpPr>
      <cdr:spPr>
        <a:xfrm xmlns:a="http://schemas.openxmlformats.org/drawingml/2006/main">
          <a:off x="1805968" y="757148"/>
          <a:ext cx="480674" cy="299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a:t>Zn</a:t>
          </a:r>
        </a:p>
      </cdr:txBody>
    </cdr:sp>
  </cdr:relSizeAnchor>
  <cdr:relSizeAnchor xmlns:cdr="http://schemas.openxmlformats.org/drawingml/2006/chartDrawing">
    <cdr:from>
      <cdr:x>0.49568</cdr:x>
      <cdr:y>0.38272</cdr:y>
    </cdr:from>
    <cdr:to>
      <cdr:x>0.60603</cdr:x>
      <cdr:y>0.46932</cdr:y>
    </cdr:to>
    <cdr:sp macro="" textlink="">
      <cdr:nvSpPr>
        <cdr:cNvPr id="8" name="TextBox 1"/>
        <cdr:cNvSpPr txBox="1"/>
      </cdr:nvSpPr>
      <cdr:spPr>
        <a:xfrm xmlns:a="http://schemas.openxmlformats.org/drawingml/2006/main">
          <a:off x="2159143" y="1324367"/>
          <a:ext cx="480674" cy="299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a:t>Cd</a:t>
          </a:r>
        </a:p>
      </cdr:txBody>
    </cdr:sp>
  </cdr:relSizeAnchor>
  <cdr:relSizeAnchor xmlns:cdr="http://schemas.openxmlformats.org/drawingml/2006/chartDrawing">
    <cdr:from>
      <cdr:x>0.46844</cdr:x>
      <cdr:y>0.40169</cdr:y>
    </cdr:from>
    <cdr:to>
      <cdr:x>0.49792</cdr:x>
      <cdr:y>0.41715</cdr:y>
    </cdr:to>
    <cdr:cxnSp macro="">
      <cdr:nvCxnSpPr>
        <cdr:cNvPr id="10" name="Straight Connector 9"/>
        <cdr:cNvCxnSpPr/>
      </cdr:nvCxnSpPr>
      <cdr:spPr>
        <a:xfrm xmlns:a="http://schemas.openxmlformats.org/drawingml/2006/main" flipH="1" flipV="1">
          <a:off x="2040491" y="1390007"/>
          <a:ext cx="128427" cy="53511"/>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8.xml><?xml version="1.0" encoding="utf-8"?>
<c:userShapes xmlns:c="http://schemas.openxmlformats.org/drawingml/2006/chart">
  <cdr:relSizeAnchor xmlns:cdr="http://schemas.openxmlformats.org/drawingml/2006/chartDrawing">
    <cdr:from>
      <cdr:x>0.01209</cdr:x>
      <cdr:y>0.01332</cdr:y>
    </cdr:from>
    <cdr:to>
      <cdr:x>0.17989</cdr:x>
      <cdr:y>0.08573</cdr:y>
    </cdr:to>
    <cdr:sp macro="" textlink="">
      <cdr:nvSpPr>
        <cdr:cNvPr id="2" name="TextBox 1"/>
        <cdr:cNvSpPr txBox="1"/>
      </cdr:nvSpPr>
      <cdr:spPr>
        <a:xfrm xmlns:a="http://schemas.openxmlformats.org/drawingml/2006/main">
          <a:off x="50800" y="50800"/>
          <a:ext cx="704850"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A)</a:t>
          </a:r>
        </a:p>
      </cdr:txBody>
    </cdr:sp>
  </cdr:relSizeAnchor>
</c:userShapes>
</file>

<file path=xl/drawings/drawing9.xml><?xml version="1.0" encoding="utf-8"?>
<c:userShapes xmlns:c="http://schemas.openxmlformats.org/drawingml/2006/chart">
  <cdr:relSizeAnchor xmlns:cdr="http://schemas.openxmlformats.org/drawingml/2006/chartDrawing">
    <cdr:from>
      <cdr:x>0.01209</cdr:x>
      <cdr:y>0.01424</cdr:y>
    </cdr:from>
    <cdr:to>
      <cdr:x>0.17989</cdr:x>
      <cdr:y>0.09168</cdr:y>
    </cdr:to>
    <cdr:sp macro="" textlink="">
      <cdr:nvSpPr>
        <cdr:cNvPr id="2" name="TextBox 1"/>
        <cdr:cNvSpPr txBox="1"/>
      </cdr:nvSpPr>
      <cdr:spPr>
        <a:xfrm xmlns:a="http://schemas.openxmlformats.org/drawingml/2006/main">
          <a:off x="50800" y="50800"/>
          <a:ext cx="704850"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abSelected="1" workbookViewId="0">
      <selection activeCell="A30" sqref="A30"/>
    </sheetView>
  </sheetViews>
  <sheetFormatPr defaultRowHeight="12.75" x14ac:dyDescent="0.2"/>
  <cols>
    <col min="1" max="1" width="67.7109375" style="10" customWidth="1"/>
    <col min="2" max="2" width="22.42578125" customWidth="1"/>
    <col min="3" max="3" width="28.7109375" customWidth="1"/>
  </cols>
  <sheetData>
    <row r="1" spans="1:3" ht="15.75" x14ac:dyDescent="0.25">
      <c r="A1" s="117" t="s">
        <v>198</v>
      </c>
    </row>
    <row r="3" spans="1:3" ht="47.25" x14ac:dyDescent="0.25">
      <c r="A3" s="118" t="s">
        <v>199</v>
      </c>
    </row>
    <row r="4" spans="1:3" ht="31.5" x14ac:dyDescent="0.25">
      <c r="A4" s="118" t="s">
        <v>216</v>
      </c>
    </row>
    <row r="5" spans="1:3" ht="17.25" customHeight="1" x14ac:dyDescent="0.25">
      <c r="A5" s="117" t="s">
        <v>217</v>
      </c>
    </row>
    <row r="6" spans="1:3" ht="15.75" x14ac:dyDescent="0.25">
      <c r="A6" s="118"/>
    </row>
    <row r="7" spans="1:3" ht="15.75" x14ac:dyDescent="0.25">
      <c r="A7" s="118" t="s">
        <v>200</v>
      </c>
    </row>
    <row r="8" spans="1:3" ht="15.75" x14ac:dyDescent="0.25">
      <c r="A8" s="118"/>
    </row>
    <row r="9" spans="1:3" ht="30" x14ac:dyDescent="0.25">
      <c r="A9" s="121" t="s">
        <v>207</v>
      </c>
    </row>
    <row r="10" spans="1:3" ht="15.75" x14ac:dyDescent="0.25">
      <c r="A10" s="118" t="s">
        <v>201</v>
      </c>
      <c r="B10" s="97" t="s">
        <v>208</v>
      </c>
      <c r="C10" s="97" t="s">
        <v>202</v>
      </c>
    </row>
    <row r="11" spans="1:3" ht="15.75" x14ac:dyDescent="0.25">
      <c r="B11" s="125" t="s">
        <v>203</v>
      </c>
      <c r="C11" s="97" t="s">
        <v>204</v>
      </c>
    </row>
    <row r="12" spans="1:3" ht="32.25" customHeight="1" x14ac:dyDescent="0.25">
      <c r="A12" s="10" t="s">
        <v>218</v>
      </c>
      <c r="B12" s="125" t="s">
        <v>205</v>
      </c>
      <c r="C12" s="97" t="s">
        <v>206</v>
      </c>
    </row>
    <row r="13" spans="1:3" ht="15.75" x14ac:dyDescent="0.25">
      <c r="A13" s="119"/>
      <c r="B13" s="126" t="s">
        <v>212</v>
      </c>
      <c r="C13" s="97" t="s">
        <v>213</v>
      </c>
    </row>
    <row r="14" spans="1:3" ht="15.75" x14ac:dyDescent="0.25">
      <c r="A14" s="119"/>
    </row>
    <row r="15" spans="1:3" ht="15.75" x14ac:dyDescent="0.25">
      <c r="A15" s="119"/>
    </row>
    <row r="16" spans="1:3" ht="15.75" x14ac:dyDescent="0.25">
      <c r="A16" s="120"/>
    </row>
    <row r="17" spans="1:1" ht="15.75" x14ac:dyDescent="0.25">
      <c r="A17" s="119"/>
    </row>
    <row r="18" spans="1:1" ht="15.75" x14ac:dyDescent="0.25">
      <c r="A18" s="119"/>
    </row>
    <row r="19" spans="1:1" ht="15.75" x14ac:dyDescent="0.25">
      <c r="A19" s="118"/>
    </row>
    <row r="20" spans="1:1" ht="15.75" x14ac:dyDescent="0.25">
      <c r="A20" s="118"/>
    </row>
    <row r="21" spans="1:1" ht="15.75" x14ac:dyDescent="0.25">
      <c r="A21" s="118"/>
    </row>
    <row r="22" spans="1:1" ht="15.75" x14ac:dyDescent="0.25">
      <c r="A22" s="118"/>
    </row>
    <row r="23" spans="1:1" ht="15.75" x14ac:dyDescent="0.25">
      <c r="A23" s="118"/>
    </row>
    <row r="24" spans="1:1" ht="15.75" x14ac:dyDescent="0.25">
      <c r="A24" s="118"/>
    </row>
    <row r="25" spans="1:1" ht="15.75" x14ac:dyDescent="0.25">
      <c r="A25" s="118"/>
    </row>
    <row r="26" spans="1:1" ht="15.75" x14ac:dyDescent="0.25">
      <c r="A26" s="118"/>
    </row>
    <row r="27" spans="1:1" ht="15.75" x14ac:dyDescent="0.25">
      <c r="A27" s="118"/>
    </row>
    <row r="28" spans="1:1" ht="15.75" x14ac:dyDescent="0.25">
      <c r="A28" s="118"/>
    </row>
    <row r="29" spans="1:1" ht="15.75" x14ac:dyDescent="0.25">
      <c r="A29" s="118"/>
    </row>
    <row r="30" spans="1:1" ht="15.75" x14ac:dyDescent="0.25">
      <c r="A30" s="118"/>
    </row>
    <row r="31" spans="1:1" ht="15.75" x14ac:dyDescent="0.25">
      <c r="A31" s="118"/>
    </row>
    <row r="32" spans="1:1" ht="15.75" x14ac:dyDescent="0.25">
      <c r="A32" s="118"/>
    </row>
  </sheetData>
  <sheetProtection algorithmName="SHA-512" hashValue="AszIDw1iU503wNoOGeCvpTcXU1Qaw118hjNZtxzmOKOoNTBCgH8/O0OpCF28Ae3JGzJUJTHCrDd9x7X7+oZ2fA==" saltValue="mBPoDNQwrrYjTE6LMc56Hw==" spinCount="100000" sheet="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pageSetUpPr fitToPage="1"/>
  </sheetPr>
  <dimension ref="A1:Z56"/>
  <sheetViews>
    <sheetView topLeftCell="A8" workbookViewId="0">
      <selection activeCell="J10" sqref="J10"/>
    </sheetView>
  </sheetViews>
  <sheetFormatPr defaultRowHeight="12.75" x14ac:dyDescent="0.2"/>
  <cols>
    <col min="1" max="1" width="16.140625" customWidth="1"/>
    <col min="2" max="2" width="9.140625" style="1"/>
    <col min="3" max="3" width="14.42578125" style="10" customWidth="1"/>
    <col min="4" max="4" width="15.140625" style="10" customWidth="1"/>
    <col min="5" max="5" width="14.85546875" style="10" customWidth="1"/>
    <col min="6" max="6" width="11.42578125" style="11" customWidth="1"/>
    <col min="7" max="8" width="9.140625" style="10"/>
    <col min="16" max="16" width="10.5703125" customWidth="1"/>
    <col min="18" max="18" width="10.85546875" customWidth="1"/>
    <col min="20" max="20" width="13.140625" customWidth="1"/>
    <col min="21" max="21" width="9.5703125" customWidth="1"/>
    <col min="22" max="22" width="10.140625" customWidth="1"/>
  </cols>
  <sheetData>
    <row r="1" spans="1:26" ht="18.75" x14ac:dyDescent="0.3">
      <c r="A1" s="18" t="s">
        <v>23</v>
      </c>
      <c r="H1" s="27"/>
    </row>
    <row r="2" spans="1:26" ht="15.75" x14ac:dyDescent="0.25">
      <c r="C2" s="76" t="s">
        <v>145</v>
      </c>
      <c r="E2" s="27"/>
    </row>
    <row r="3" spans="1:26" s="11" customFormat="1" ht="108" x14ac:dyDescent="0.2">
      <c r="A3" s="20"/>
      <c r="B3" s="20" t="s">
        <v>21</v>
      </c>
      <c r="C3" s="20" t="s">
        <v>3</v>
      </c>
      <c r="D3" s="20" t="s">
        <v>22</v>
      </c>
      <c r="E3" s="20" t="s">
        <v>144</v>
      </c>
      <c r="F3" s="74" t="s">
        <v>146</v>
      </c>
      <c r="G3" s="20" t="s">
        <v>17</v>
      </c>
      <c r="H3" s="20" t="s">
        <v>18</v>
      </c>
      <c r="I3" s="20" t="s">
        <v>19</v>
      </c>
      <c r="J3" s="20" t="s">
        <v>20</v>
      </c>
      <c r="L3" s="11" t="s">
        <v>24</v>
      </c>
      <c r="M3"/>
      <c r="Q3"/>
      <c r="R3"/>
      <c r="S3"/>
      <c r="T3"/>
      <c r="U3"/>
      <c r="V3"/>
      <c r="W3"/>
      <c r="X3"/>
      <c r="Y3"/>
      <c r="Z3"/>
    </row>
    <row r="4" spans="1:26" x14ac:dyDescent="0.2">
      <c r="A4" s="7" t="s">
        <v>11</v>
      </c>
      <c r="B4" s="1">
        <v>0.1</v>
      </c>
      <c r="C4" s="1">
        <v>2.9</v>
      </c>
      <c r="D4" s="1"/>
      <c r="E4" s="1"/>
      <c r="F4" s="12">
        <v>2900</v>
      </c>
      <c r="I4" s="11"/>
      <c r="J4" s="10"/>
      <c r="K4" s="10"/>
    </row>
    <row r="5" spans="1:26" x14ac:dyDescent="0.2">
      <c r="A5" s="7" t="s">
        <v>12</v>
      </c>
      <c r="B5" s="1">
        <v>12.5</v>
      </c>
      <c r="C5" s="1">
        <v>2.9</v>
      </c>
      <c r="D5" s="1">
        <v>0.1</v>
      </c>
      <c r="E5" s="1">
        <v>15391</v>
      </c>
      <c r="F5" s="12">
        <v>15400</v>
      </c>
      <c r="G5" s="11">
        <v>0</v>
      </c>
      <c r="H5" s="78">
        <v>1</v>
      </c>
      <c r="I5" s="11">
        <f>G5</f>
        <v>0</v>
      </c>
      <c r="J5" s="81">
        <v>0</v>
      </c>
      <c r="K5" s="10"/>
      <c r="L5" s="26">
        <v>16750</v>
      </c>
    </row>
    <row r="6" spans="1:26" x14ac:dyDescent="0.2">
      <c r="A6" s="7" t="s">
        <v>0</v>
      </c>
      <c r="B6" s="1">
        <v>16.399999999999999</v>
      </c>
      <c r="C6" s="1">
        <v>3</v>
      </c>
      <c r="D6" s="1">
        <f t="shared" ref="D6:D11" si="0">B6-$B$5</f>
        <v>3.8999999999999986</v>
      </c>
      <c r="E6" s="1">
        <v>17766</v>
      </c>
      <c r="F6" s="12">
        <f>E6-F12</f>
        <v>16753</v>
      </c>
      <c r="G6" s="77">
        <v>0</v>
      </c>
      <c r="H6" s="78">
        <v>1</v>
      </c>
      <c r="I6" s="30">
        <f t="shared" ref="I6:I11" si="1">G6+I5</f>
        <v>0</v>
      </c>
      <c r="J6" s="82">
        <v>0</v>
      </c>
      <c r="K6" s="10"/>
      <c r="L6" s="26">
        <v>16750</v>
      </c>
    </row>
    <row r="7" spans="1:26" x14ac:dyDescent="0.2">
      <c r="A7" s="7" t="s">
        <v>13</v>
      </c>
      <c r="B7" s="1">
        <v>63.8</v>
      </c>
      <c r="C7" s="1">
        <v>3.43</v>
      </c>
      <c r="D7" s="1">
        <f t="shared" si="0"/>
        <v>51.3</v>
      </c>
      <c r="E7" s="1">
        <v>2009</v>
      </c>
      <c r="F7" s="12">
        <f>E7-F13</f>
        <v>1466</v>
      </c>
      <c r="G7" s="15">
        <f>F6-F7</f>
        <v>15287</v>
      </c>
      <c r="H7" s="79">
        <f>1-G7/$F$6</f>
        <v>8.7506715215185382E-2</v>
      </c>
      <c r="I7" s="30">
        <f t="shared" si="1"/>
        <v>15287</v>
      </c>
      <c r="J7" s="82">
        <f>1-H7</f>
        <v>0.91249328478481462</v>
      </c>
      <c r="K7" s="10"/>
      <c r="L7" s="26">
        <v>16750</v>
      </c>
    </row>
    <row r="8" spans="1:26" x14ac:dyDescent="0.2">
      <c r="A8" s="8" t="s">
        <v>14</v>
      </c>
      <c r="B8" s="1">
        <v>94.2</v>
      </c>
      <c r="C8" s="1">
        <v>4.7300000000000004</v>
      </c>
      <c r="D8" s="1">
        <f t="shared" si="0"/>
        <v>81.7</v>
      </c>
      <c r="E8" s="1">
        <v>968</v>
      </c>
      <c r="F8" s="13">
        <f>E8-F13</f>
        <v>425</v>
      </c>
      <c r="G8" s="15">
        <f>F7-F8</f>
        <v>1041</v>
      </c>
      <c r="H8" s="79">
        <f>1-(G7+G8)/$F$6</f>
        <v>2.5368590700173055E-2</v>
      </c>
      <c r="I8" s="30">
        <f t="shared" si="1"/>
        <v>16328</v>
      </c>
      <c r="J8" s="82">
        <f>1-H8</f>
        <v>0.97463140929982695</v>
      </c>
      <c r="K8" s="10"/>
      <c r="L8" s="26">
        <v>16750</v>
      </c>
    </row>
    <row r="9" spans="1:26" x14ac:dyDescent="0.2">
      <c r="A9" s="8" t="s">
        <v>39</v>
      </c>
      <c r="B9" s="1">
        <v>131.5</v>
      </c>
      <c r="C9" s="1"/>
      <c r="D9" s="1">
        <f t="shared" si="0"/>
        <v>119</v>
      </c>
      <c r="E9" s="1">
        <v>1031</v>
      </c>
      <c r="F9" s="13">
        <f>E9-((F13+F14)/2)</f>
        <v>411.5</v>
      </c>
      <c r="G9" s="15">
        <f>F8-F9</f>
        <v>13.5</v>
      </c>
      <c r="H9" s="79">
        <f>1-(G7+G8+G9)/$F$6</f>
        <v>2.4562764877932297E-2</v>
      </c>
      <c r="I9" s="30">
        <f t="shared" si="1"/>
        <v>16341.5</v>
      </c>
      <c r="J9" s="82">
        <f>1-H9</f>
        <v>0.9754372351220677</v>
      </c>
      <c r="K9" s="10"/>
      <c r="L9" s="26">
        <v>16750</v>
      </c>
    </row>
    <row r="10" spans="1:26" x14ac:dyDescent="0.2">
      <c r="A10" s="8" t="s">
        <v>15</v>
      </c>
      <c r="B10" s="1">
        <v>164.1</v>
      </c>
      <c r="C10" s="1">
        <v>7.8</v>
      </c>
      <c r="D10" s="1">
        <f t="shared" si="0"/>
        <v>151.6</v>
      </c>
      <c r="E10" s="1">
        <v>534</v>
      </c>
      <c r="F10" s="13">
        <v>0</v>
      </c>
      <c r="G10" s="15">
        <v>0</v>
      </c>
      <c r="H10" s="79">
        <f>1-(G7+G8+G9+G10)/$F$6</f>
        <v>2.4562764877932297E-2</v>
      </c>
      <c r="I10" s="30">
        <f t="shared" si="1"/>
        <v>16341.5</v>
      </c>
      <c r="J10" s="82">
        <f>1-H10</f>
        <v>0.9754372351220677</v>
      </c>
      <c r="K10" s="10"/>
      <c r="L10" s="26">
        <v>16750</v>
      </c>
    </row>
    <row r="11" spans="1:26" x14ac:dyDescent="0.2">
      <c r="A11" s="9" t="s">
        <v>16</v>
      </c>
      <c r="B11" s="16">
        <v>190.2</v>
      </c>
      <c r="C11" s="16">
        <v>8.3000000000000007</v>
      </c>
      <c r="D11" s="16">
        <f t="shared" si="0"/>
        <v>177.7</v>
      </c>
      <c r="E11" s="16">
        <v>706</v>
      </c>
      <c r="F11" s="14">
        <v>0</v>
      </c>
      <c r="G11" s="17">
        <f>F10-F11</f>
        <v>0</v>
      </c>
      <c r="H11" s="80">
        <f>1-(G7+G8+G9+G10+G11)/$F$6</f>
        <v>2.4562764877932297E-2</v>
      </c>
      <c r="I11" s="17">
        <f t="shared" si="1"/>
        <v>16341.5</v>
      </c>
      <c r="J11" s="83">
        <f>1-H11</f>
        <v>0.9754372351220677</v>
      </c>
      <c r="K11" s="10"/>
      <c r="L11" s="26">
        <v>16750</v>
      </c>
    </row>
    <row r="12" spans="1:26" x14ac:dyDescent="0.2">
      <c r="A12" s="75" t="s">
        <v>141</v>
      </c>
      <c r="B12" s="26"/>
      <c r="C12" s="26"/>
      <c r="D12" s="26"/>
      <c r="E12" s="26"/>
      <c r="F12" s="8">
        <v>1013</v>
      </c>
      <c r="G12" s="30"/>
      <c r="H12" s="29"/>
      <c r="I12" s="10"/>
    </row>
    <row r="13" spans="1:26" x14ac:dyDescent="0.2">
      <c r="A13" s="75" t="s">
        <v>142</v>
      </c>
      <c r="B13" s="26"/>
      <c r="C13" s="26"/>
      <c r="D13" s="26"/>
      <c r="E13" s="26"/>
      <c r="F13" s="8">
        <v>543</v>
      </c>
      <c r="G13" s="30"/>
      <c r="H13" s="29"/>
      <c r="I13" s="10"/>
    </row>
    <row r="14" spans="1:26" x14ac:dyDescent="0.2">
      <c r="A14" t="s">
        <v>143</v>
      </c>
      <c r="B14" s="26"/>
      <c r="C14" s="26"/>
      <c r="D14" s="26"/>
      <c r="E14" s="26"/>
      <c r="F14" s="8">
        <v>696</v>
      </c>
      <c r="G14" s="30"/>
      <c r="H14" s="29"/>
      <c r="I14" s="10"/>
    </row>
    <row r="15" spans="1:26" x14ac:dyDescent="0.2">
      <c r="A15" s="75" t="s">
        <v>128</v>
      </c>
      <c r="D15" s="10">
        <v>21828</v>
      </c>
      <c r="F15" s="11">
        <v>896</v>
      </c>
      <c r="G15" s="11"/>
      <c r="I15" s="10"/>
    </row>
    <row r="16" spans="1:26" x14ac:dyDescent="0.2">
      <c r="D16" s="10">
        <v>22000</v>
      </c>
    </row>
    <row r="19" spans="1:9" x14ac:dyDescent="0.2">
      <c r="I19" s="19"/>
    </row>
    <row r="20" spans="1:9" x14ac:dyDescent="0.2">
      <c r="I20" s="19"/>
    </row>
    <row r="21" spans="1:9" ht="18.75" x14ac:dyDescent="0.3">
      <c r="A21" s="105" t="s">
        <v>189</v>
      </c>
      <c r="G21" s="116" t="s">
        <v>196</v>
      </c>
      <c r="I21" s="19"/>
    </row>
    <row r="22" spans="1:9" x14ac:dyDescent="0.2">
      <c r="I22" s="19"/>
    </row>
    <row r="23" spans="1:9" x14ac:dyDescent="0.2">
      <c r="I23" s="19"/>
    </row>
    <row r="24" spans="1:9" x14ac:dyDescent="0.2">
      <c r="I24" s="19"/>
    </row>
    <row r="25" spans="1:9" x14ac:dyDescent="0.2">
      <c r="H25" s="19"/>
      <c r="I25" s="19"/>
    </row>
    <row r="26" spans="1:9" x14ac:dyDescent="0.2">
      <c r="H26" s="19"/>
      <c r="I26" s="19"/>
    </row>
    <row r="27" spans="1:9" x14ac:dyDescent="0.2">
      <c r="H27" s="19"/>
      <c r="I27" s="19"/>
    </row>
    <row r="28" spans="1:9" x14ac:dyDescent="0.2">
      <c r="H28" s="19"/>
      <c r="I28" s="19"/>
    </row>
    <row r="29" spans="1:9" x14ac:dyDescent="0.2">
      <c r="H29" s="19"/>
      <c r="I29" s="19"/>
    </row>
    <row r="30" spans="1:9" x14ac:dyDescent="0.2">
      <c r="H30" s="19"/>
      <c r="I30" s="19"/>
    </row>
    <row r="31" spans="1:9" x14ac:dyDescent="0.2">
      <c r="H31" s="19"/>
      <c r="I31" s="19"/>
    </row>
    <row r="32" spans="1:9" x14ac:dyDescent="0.2">
      <c r="H32" s="19"/>
      <c r="I32" s="19"/>
    </row>
    <row r="37" spans="1:1" x14ac:dyDescent="0.2">
      <c r="A37" s="19"/>
    </row>
    <row r="38" spans="1:1" x14ac:dyDescent="0.2">
      <c r="A38" s="19"/>
    </row>
    <row r="39" spans="1:1" x14ac:dyDescent="0.2">
      <c r="A39" s="19"/>
    </row>
    <row r="40" spans="1:1" x14ac:dyDescent="0.2">
      <c r="A40" s="19"/>
    </row>
    <row r="41" spans="1:1" x14ac:dyDescent="0.2">
      <c r="A41" s="19"/>
    </row>
    <row r="42" spans="1:1" ht="25.5" customHeight="1" x14ac:dyDescent="0.2">
      <c r="A42" s="19"/>
    </row>
    <row r="43" spans="1:1" x14ac:dyDescent="0.2">
      <c r="A43" s="19"/>
    </row>
    <row r="50" spans="1:1" x14ac:dyDescent="0.2">
      <c r="A50" t="s">
        <v>190</v>
      </c>
    </row>
    <row r="51" spans="1:1" x14ac:dyDescent="0.2">
      <c r="A51" t="s">
        <v>191</v>
      </c>
    </row>
    <row r="52" spans="1:1" x14ac:dyDescent="0.2">
      <c r="A52" t="s">
        <v>192</v>
      </c>
    </row>
    <row r="53" spans="1:1" x14ac:dyDescent="0.2">
      <c r="A53" t="s">
        <v>193</v>
      </c>
    </row>
    <row r="54" spans="1:1" x14ac:dyDescent="0.2">
      <c r="A54" t="s">
        <v>194</v>
      </c>
    </row>
    <row r="55" spans="1:1" x14ac:dyDescent="0.2">
      <c r="A55" t="s">
        <v>195</v>
      </c>
    </row>
    <row r="56" spans="1:1" x14ac:dyDescent="0.2">
      <c r="A56" t="s">
        <v>197</v>
      </c>
    </row>
  </sheetData>
  <sheetProtection algorithmName="SHA-512" hashValue="EDSfeEBMcGVqD0PNKxRYbJzuglcsT4t+0zPSHXiu+d+4hB7nqSiR31fUTm/PxrQKfyK3w1Yf2o1ifkvO08i64w==" saltValue="4vEHfKPB5L0X6qT8qqSmeA==" spinCount="100000" sheet="1" scenarios="1"/>
  <pageMargins left="0.7" right="0.7" top="0.75" bottom="0.75" header="0.3" footer="0.3"/>
  <pageSetup paperSize="3" scale="86" orientation="landscape" r:id="rId1"/>
  <headerFooter>
    <oddFooter>&amp;L&amp;Z&amp;F&amp;R&amp;D &amp;T</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78"/>
  <sheetViews>
    <sheetView topLeftCell="A43" workbookViewId="0">
      <selection activeCell="H74" sqref="H74"/>
    </sheetView>
  </sheetViews>
  <sheetFormatPr defaultRowHeight="12.75" x14ac:dyDescent="0.2"/>
  <cols>
    <col min="1" max="1" width="13.42578125" customWidth="1"/>
    <col min="2" max="2" width="24" customWidth="1"/>
    <col min="3" max="3" width="21.140625" customWidth="1"/>
    <col min="4" max="4" width="16.42578125" customWidth="1"/>
    <col min="5" max="5" width="15.42578125" customWidth="1"/>
    <col min="6" max="6" width="11.5703125" customWidth="1"/>
    <col min="9" max="9" width="9.140625" style="1"/>
    <col min="10" max="10" width="11.85546875" customWidth="1"/>
    <col min="11" max="11" width="19.5703125" customWidth="1"/>
    <col min="12" max="12" width="14.5703125" customWidth="1"/>
    <col min="13" max="13" width="20.5703125" customWidth="1"/>
    <col min="14" max="14" width="16.42578125" customWidth="1"/>
    <col min="15" max="15" width="12.140625" customWidth="1"/>
    <col min="16" max="16" width="11.7109375" customWidth="1"/>
    <col min="17" max="17" width="12.42578125" customWidth="1"/>
    <col min="18" max="18" width="24.85546875" customWidth="1"/>
    <col min="19" max="19" width="9.140625" style="1"/>
    <col min="22" max="22" width="15" customWidth="1"/>
  </cols>
  <sheetData>
    <row r="1" spans="1:21" ht="25.5" customHeight="1" x14ac:dyDescent="0.3">
      <c r="A1" s="18" t="s">
        <v>173</v>
      </c>
      <c r="B1" s="18"/>
      <c r="C1" s="18"/>
      <c r="D1" s="46"/>
      <c r="E1" s="1"/>
      <c r="F1" s="1"/>
      <c r="H1" s="1"/>
      <c r="J1" s="1"/>
      <c r="M1" s="1"/>
      <c r="S1"/>
    </row>
    <row r="2" spans="1:21" s="21" customFormat="1" ht="24" customHeight="1" x14ac:dyDescent="0.2">
      <c r="A2" s="21" t="s">
        <v>47</v>
      </c>
      <c r="B2" s="21" t="s">
        <v>48</v>
      </c>
      <c r="C2" s="21" t="s">
        <v>25</v>
      </c>
      <c r="D2" s="95" t="s">
        <v>162</v>
      </c>
      <c r="E2" s="21" t="s">
        <v>159</v>
      </c>
      <c r="F2" s="22" t="s">
        <v>26</v>
      </c>
      <c r="G2" s="21" t="s">
        <v>27</v>
      </c>
      <c r="H2" s="22" t="s">
        <v>28</v>
      </c>
      <c r="I2" s="22" t="s">
        <v>29</v>
      </c>
      <c r="J2" s="22" t="s">
        <v>156</v>
      </c>
      <c r="K2" s="21" t="s">
        <v>55</v>
      </c>
      <c r="L2" s="21" t="s">
        <v>58</v>
      </c>
      <c r="M2" s="22" t="s">
        <v>164</v>
      </c>
    </row>
    <row r="3" spans="1:21" s="21" customFormat="1" ht="12" x14ac:dyDescent="0.2">
      <c r="A3" s="21" t="s">
        <v>62</v>
      </c>
      <c r="B3" s="21" t="s">
        <v>63</v>
      </c>
      <c r="C3" s="21" t="s">
        <v>30</v>
      </c>
      <c r="D3" s="22" t="s">
        <v>163</v>
      </c>
      <c r="E3" s="22" t="s">
        <v>154</v>
      </c>
      <c r="F3" s="22">
        <v>7.09</v>
      </c>
      <c r="G3" s="21" t="s">
        <v>31</v>
      </c>
      <c r="H3" s="23">
        <v>42222</v>
      </c>
      <c r="I3" s="22" t="s">
        <v>32</v>
      </c>
      <c r="J3" s="94">
        <f>H3+I3</f>
        <v>42222.836805555555</v>
      </c>
      <c r="K3" s="21" t="s">
        <v>31</v>
      </c>
      <c r="L3" s="21" t="s">
        <v>65</v>
      </c>
    </row>
    <row r="4" spans="1:21" s="21" customFormat="1" ht="12" x14ac:dyDescent="0.2">
      <c r="A4" s="21" t="s">
        <v>62</v>
      </c>
      <c r="B4" s="21" t="s">
        <v>66</v>
      </c>
      <c r="C4" s="21" t="s">
        <v>30</v>
      </c>
      <c r="D4" s="22" t="s">
        <v>163</v>
      </c>
      <c r="E4" s="22" t="s">
        <v>154</v>
      </c>
      <c r="F4" s="22">
        <v>7.12</v>
      </c>
      <c r="G4" s="21" t="s">
        <v>31</v>
      </c>
      <c r="H4" s="23">
        <v>42222</v>
      </c>
      <c r="I4" s="22" t="s">
        <v>33</v>
      </c>
      <c r="J4" s="94">
        <f t="shared" ref="J4:J9" si="0">H4+I4</f>
        <v>42222.880555555559</v>
      </c>
      <c r="K4" s="21" t="s">
        <v>31</v>
      </c>
      <c r="L4" s="21" t="s">
        <v>65</v>
      </c>
    </row>
    <row r="5" spans="1:21" s="21" customFormat="1" ht="12" x14ac:dyDescent="0.2">
      <c r="A5" s="21" t="s">
        <v>62</v>
      </c>
      <c r="B5" s="21" t="s">
        <v>67</v>
      </c>
      <c r="C5" s="21" t="s">
        <v>30</v>
      </c>
      <c r="D5" s="22" t="s">
        <v>163</v>
      </c>
      <c r="E5" s="22" t="s">
        <v>154</v>
      </c>
      <c r="F5" s="22">
        <v>7.14</v>
      </c>
      <c r="G5" s="21" t="s">
        <v>31</v>
      </c>
      <c r="H5" s="23">
        <v>42222</v>
      </c>
      <c r="I5" s="22" t="s">
        <v>34</v>
      </c>
      <c r="J5" s="94">
        <f t="shared" si="0"/>
        <v>42222.916666666664</v>
      </c>
      <c r="K5" s="21" t="s">
        <v>31</v>
      </c>
      <c r="L5" s="21" t="s">
        <v>65</v>
      </c>
    </row>
    <row r="6" spans="1:21" s="21" customFormat="1" ht="12" x14ac:dyDescent="0.2">
      <c r="A6" s="21" t="s">
        <v>62</v>
      </c>
      <c r="B6" s="21" t="s">
        <v>68</v>
      </c>
      <c r="C6" s="21" t="s">
        <v>30</v>
      </c>
      <c r="D6" s="22" t="s">
        <v>163</v>
      </c>
      <c r="E6" s="22" t="s">
        <v>154</v>
      </c>
      <c r="F6" s="22">
        <v>7.1</v>
      </c>
      <c r="G6" s="21" t="s">
        <v>31</v>
      </c>
      <c r="H6" s="23">
        <v>42222</v>
      </c>
      <c r="I6" s="22" t="s">
        <v>35</v>
      </c>
      <c r="J6" s="94">
        <f t="shared" si="0"/>
        <v>42222.958333333336</v>
      </c>
      <c r="K6" s="21" t="s">
        <v>31</v>
      </c>
      <c r="L6" s="21" t="s">
        <v>65</v>
      </c>
    </row>
    <row r="7" spans="1:21" s="21" customFormat="1" ht="12" x14ac:dyDescent="0.2">
      <c r="A7" s="21" t="s">
        <v>62</v>
      </c>
      <c r="B7" s="21" t="s">
        <v>69</v>
      </c>
      <c r="C7" s="21" t="s">
        <v>30</v>
      </c>
      <c r="D7" s="22" t="s">
        <v>163</v>
      </c>
      <c r="E7" s="22" t="s">
        <v>154</v>
      </c>
      <c r="F7" s="91">
        <v>5.84</v>
      </c>
      <c r="G7" s="21" t="s">
        <v>31</v>
      </c>
      <c r="H7" s="23">
        <v>42223</v>
      </c>
      <c r="I7" s="22" t="s">
        <v>36</v>
      </c>
      <c r="J7" s="94">
        <f t="shared" si="0"/>
        <v>42223</v>
      </c>
      <c r="K7" s="21" t="s">
        <v>31</v>
      </c>
      <c r="L7" s="21" t="s">
        <v>65</v>
      </c>
    </row>
    <row r="8" spans="1:21" s="21" customFormat="1" x14ac:dyDescent="0.2">
      <c r="A8" s="21" t="s">
        <v>62</v>
      </c>
      <c r="B8" s="21" t="s">
        <v>70</v>
      </c>
      <c r="C8" s="21" t="s">
        <v>30</v>
      </c>
      <c r="D8" s="22" t="s">
        <v>163</v>
      </c>
      <c r="E8" s="22" t="s">
        <v>154</v>
      </c>
      <c r="F8" s="92">
        <v>6.78</v>
      </c>
      <c r="G8" s="21" t="s">
        <v>31</v>
      </c>
      <c r="H8" s="23">
        <v>42223</v>
      </c>
      <c r="I8" s="22" t="s">
        <v>37</v>
      </c>
      <c r="J8" s="94">
        <f t="shared" si="0"/>
        <v>42223.020833333336</v>
      </c>
      <c r="K8" s="21" t="s">
        <v>31</v>
      </c>
      <c r="L8" s="21" t="s">
        <v>65</v>
      </c>
      <c r="M8" s="96" t="s">
        <v>147</v>
      </c>
    </row>
    <row r="9" spans="1:21" s="21" customFormat="1" ht="12" x14ac:dyDescent="0.2">
      <c r="A9" s="21" t="s">
        <v>62</v>
      </c>
      <c r="B9" s="21" t="s">
        <v>71</v>
      </c>
      <c r="C9" s="21" t="s">
        <v>30</v>
      </c>
      <c r="D9" s="22" t="s">
        <v>163</v>
      </c>
      <c r="E9" s="22" t="s">
        <v>154</v>
      </c>
      <c r="F9" s="22">
        <v>6.68</v>
      </c>
      <c r="G9" s="21" t="s">
        <v>31</v>
      </c>
      <c r="H9" s="23">
        <v>42223</v>
      </c>
      <c r="I9" s="22" t="s">
        <v>38</v>
      </c>
      <c r="J9" s="94">
        <f t="shared" si="0"/>
        <v>42223.416666666664</v>
      </c>
      <c r="K9" s="21" t="s">
        <v>31</v>
      </c>
      <c r="L9" s="21" t="s">
        <v>65</v>
      </c>
    </row>
    <row r="10" spans="1:21" x14ac:dyDescent="0.2">
      <c r="A10" s="21" t="s">
        <v>72</v>
      </c>
      <c r="B10" s="21" t="s">
        <v>157</v>
      </c>
      <c r="D10" s="1" t="s">
        <v>161</v>
      </c>
      <c r="E10" s="22" t="s">
        <v>160</v>
      </c>
      <c r="F10" s="1">
        <v>2.93</v>
      </c>
      <c r="H10" s="47">
        <v>42231</v>
      </c>
      <c r="J10" s="1"/>
      <c r="M10" s="3" t="s">
        <v>165</v>
      </c>
      <c r="S10"/>
    </row>
    <row r="11" spans="1:21" x14ac:dyDescent="0.2">
      <c r="A11" s="21" t="s">
        <v>73</v>
      </c>
      <c r="D11" s="1" t="s">
        <v>161</v>
      </c>
      <c r="E11" s="22" t="s">
        <v>160</v>
      </c>
      <c r="F11" s="1">
        <v>3.19</v>
      </c>
      <c r="H11" s="47">
        <v>42231</v>
      </c>
      <c r="J11" s="1"/>
      <c r="M11" s="3" t="s">
        <v>165</v>
      </c>
      <c r="S11"/>
    </row>
    <row r="12" spans="1:21" x14ac:dyDescent="0.2">
      <c r="A12" s="21" t="s">
        <v>74</v>
      </c>
      <c r="B12" s="21" t="s">
        <v>158</v>
      </c>
      <c r="D12" s="1" t="s">
        <v>161</v>
      </c>
      <c r="E12" s="22" t="s">
        <v>160</v>
      </c>
      <c r="F12" s="1">
        <v>3.39</v>
      </c>
      <c r="H12" s="47">
        <v>42231</v>
      </c>
      <c r="J12" s="1"/>
      <c r="M12" s="3" t="s">
        <v>165</v>
      </c>
      <c r="S12"/>
    </row>
    <row r="13" spans="1:21" x14ac:dyDescent="0.2">
      <c r="D13" s="1"/>
      <c r="E13" s="1"/>
      <c r="F13" s="1"/>
      <c r="G13" s="1"/>
      <c r="K13" s="1"/>
      <c r="L13" s="1"/>
      <c r="R13" s="1"/>
      <c r="S13"/>
    </row>
    <row r="14" spans="1:21" ht="18.75" x14ac:dyDescent="0.3">
      <c r="A14" s="18" t="s">
        <v>174</v>
      </c>
      <c r="D14" s="1"/>
      <c r="E14" s="1"/>
      <c r="F14" s="1"/>
      <c r="G14" s="1" t="s">
        <v>118</v>
      </c>
      <c r="K14" s="1"/>
      <c r="L14" s="1"/>
      <c r="M14" s="1"/>
    </row>
    <row r="15" spans="1:21" s="49" customFormat="1" x14ac:dyDescent="0.2">
      <c r="A15" s="48" t="s">
        <v>48</v>
      </c>
      <c r="B15" s="48" t="s">
        <v>25</v>
      </c>
      <c r="C15" s="48" t="s">
        <v>49</v>
      </c>
      <c r="D15" s="48" t="s">
        <v>51</v>
      </c>
      <c r="E15"/>
      <c r="F15" s="48" t="s">
        <v>26</v>
      </c>
      <c r="G15" s="48" t="s">
        <v>27</v>
      </c>
      <c r="H15" s="48" t="s">
        <v>52</v>
      </c>
      <c r="I15" s="48" t="s">
        <v>53</v>
      </c>
      <c r="J15" s="48" t="s">
        <v>28</v>
      </c>
      <c r="K15" s="48" t="s">
        <v>29</v>
      </c>
      <c r="L15" s="48"/>
      <c r="M15" s="48" t="s">
        <v>54</v>
      </c>
      <c r="N15" s="48" t="s">
        <v>55</v>
      </c>
      <c r="O15" s="48" t="s">
        <v>56</v>
      </c>
      <c r="P15" s="48" t="s">
        <v>57</v>
      </c>
      <c r="Q15" s="48" t="s">
        <v>58</v>
      </c>
      <c r="R15" s="48" t="s">
        <v>59</v>
      </c>
      <c r="S15" s="48" t="s">
        <v>60</v>
      </c>
      <c r="T15" s="48" t="s">
        <v>61</v>
      </c>
      <c r="U15" s="48" t="s">
        <v>50</v>
      </c>
    </row>
    <row r="16" spans="1:21" s="49" customFormat="1" x14ac:dyDescent="0.2">
      <c r="A16" s="50" t="s">
        <v>75</v>
      </c>
      <c r="B16" s="50" t="s">
        <v>76</v>
      </c>
      <c r="C16" s="50" t="s">
        <v>77</v>
      </c>
      <c r="D16" s="51" t="s">
        <v>3</v>
      </c>
      <c r="E16"/>
      <c r="F16" s="51">
        <v>8.17</v>
      </c>
      <c r="G16" s="51" t="s">
        <v>78</v>
      </c>
      <c r="H16" s="51" t="s">
        <v>79</v>
      </c>
      <c r="I16" s="51" t="s">
        <v>80</v>
      </c>
      <c r="J16" s="93">
        <v>42223</v>
      </c>
      <c r="K16" s="51" t="s">
        <v>81</v>
      </c>
      <c r="L16" s="51"/>
      <c r="M16" s="51"/>
      <c r="N16" s="51"/>
      <c r="O16" s="51"/>
      <c r="P16" s="51"/>
      <c r="Q16" s="50" t="s">
        <v>65</v>
      </c>
      <c r="R16" s="51" t="s">
        <v>82</v>
      </c>
      <c r="S16" s="52">
        <v>36.872838000000002</v>
      </c>
      <c r="T16" s="52">
        <v>-107.960791</v>
      </c>
      <c r="U16" s="50" t="s">
        <v>83</v>
      </c>
    </row>
    <row r="17" spans="1:21" s="49" customFormat="1" x14ac:dyDescent="0.2">
      <c r="A17" s="50" t="s">
        <v>84</v>
      </c>
      <c r="B17" s="50" t="s">
        <v>76</v>
      </c>
      <c r="C17" s="50" t="s">
        <v>77</v>
      </c>
      <c r="D17" s="51" t="s">
        <v>3</v>
      </c>
      <c r="E17"/>
      <c r="F17" s="51">
        <v>8.26</v>
      </c>
      <c r="G17" s="51" t="s">
        <v>78</v>
      </c>
      <c r="H17" s="51" t="s">
        <v>79</v>
      </c>
      <c r="I17" s="51" t="s">
        <v>80</v>
      </c>
      <c r="J17" s="93">
        <v>42223</v>
      </c>
      <c r="K17" s="51" t="s">
        <v>81</v>
      </c>
      <c r="L17" s="51"/>
      <c r="M17" s="51"/>
      <c r="N17" s="51"/>
      <c r="O17" s="51"/>
      <c r="P17" s="51"/>
      <c r="Q17" s="50" t="s">
        <v>65</v>
      </c>
      <c r="R17" s="51" t="s">
        <v>82</v>
      </c>
      <c r="S17" s="52">
        <v>36.872838000000002</v>
      </c>
      <c r="T17" s="52">
        <v>-107.960791</v>
      </c>
      <c r="U17" s="50" t="s">
        <v>83</v>
      </c>
    </row>
    <row r="18" spans="1:21" s="49" customFormat="1" x14ac:dyDescent="0.2">
      <c r="A18" s="50" t="s">
        <v>85</v>
      </c>
      <c r="B18" s="50" t="s">
        <v>86</v>
      </c>
      <c r="C18" s="50" t="s">
        <v>77</v>
      </c>
      <c r="D18" s="51" t="s">
        <v>3</v>
      </c>
      <c r="E18"/>
      <c r="F18" s="53">
        <v>8.1999999999999993</v>
      </c>
      <c r="G18" s="51" t="s">
        <v>78</v>
      </c>
      <c r="H18" s="51" t="s">
        <v>79</v>
      </c>
      <c r="I18" s="51" t="s">
        <v>80</v>
      </c>
      <c r="J18" s="93">
        <v>42223</v>
      </c>
      <c r="K18" s="51" t="s">
        <v>87</v>
      </c>
      <c r="L18" s="51"/>
      <c r="M18" s="51"/>
      <c r="N18" s="51"/>
      <c r="O18" s="51"/>
      <c r="P18" s="51"/>
      <c r="Q18" s="50" t="s">
        <v>65</v>
      </c>
      <c r="R18" s="51" t="s">
        <v>82</v>
      </c>
      <c r="S18" s="52">
        <v>36.933295000000001</v>
      </c>
      <c r="T18" s="52">
        <v>-107.90907300000001</v>
      </c>
      <c r="U18" s="50" t="s">
        <v>83</v>
      </c>
    </row>
    <row r="19" spans="1:21" s="49" customFormat="1" x14ac:dyDescent="0.2">
      <c r="A19" s="50" t="s">
        <v>88</v>
      </c>
      <c r="B19" s="50" t="s">
        <v>89</v>
      </c>
      <c r="C19" s="50" t="s">
        <v>77</v>
      </c>
      <c r="D19" s="51" t="s">
        <v>3</v>
      </c>
      <c r="E19"/>
      <c r="F19" s="51">
        <v>8.31</v>
      </c>
      <c r="G19" s="51" t="s">
        <v>78</v>
      </c>
      <c r="H19" s="51" t="s">
        <v>79</v>
      </c>
      <c r="I19" s="51" t="s">
        <v>80</v>
      </c>
      <c r="J19" s="93">
        <v>42223</v>
      </c>
      <c r="K19" s="51" t="s">
        <v>90</v>
      </c>
      <c r="L19" s="51"/>
      <c r="M19" s="51"/>
      <c r="N19" s="51"/>
      <c r="O19" s="51"/>
      <c r="P19" s="51"/>
      <c r="Q19" s="50" t="s">
        <v>65</v>
      </c>
      <c r="R19" s="51" t="s">
        <v>82</v>
      </c>
      <c r="S19" s="52">
        <v>36.783569999999997</v>
      </c>
      <c r="T19" s="52">
        <v>-108.10213899999999</v>
      </c>
      <c r="U19" s="50" t="s">
        <v>83</v>
      </c>
    </row>
    <row r="20" spans="1:21" s="49" customFormat="1" x14ac:dyDescent="0.2">
      <c r="A20" s="50" t="s">
        <v>91</v>
      </c>
      <c r="B20" s="50" t="s">
        <v>92</v>
      </c>
      <c r="C20" s="50" t="s">
        <v>77</v>
      </c>
      <c r="D20" s="51" t="s">
        <v>3</v>
      </c>
      <c r="E20"/>
      <c r="F20" s="53">
        <v>8.11</v>
      </c>
      <c r="G20" s="51" t="s">
        <v>78</v>
      </c>
      <c r="H20" s="51" t="s">
        <v>79</v>
      </c>
      <c r="I20" s="51" t="s">
        <v>80</v>
      </c>
      <c r="J20" s="93">
        <v>42223</v>
      </c>
      <c r="K20" s="51" t="s">
        <v>93</v>
      </c>
      <c r="L20" s="51"/>
      <c r="M20" s="51"/>
      <c r="N20" s="51"/>
      <c r="O20" s="51"/>
      <c r="P20" s="51"/>
      <c r="Q20" s="50" t="s">
        <v>65</v>
      </c>
      <c r="R20" s="51" t="s">
        <v>82</v>
      </c>
      <c r="S20" s="52">
        <v>36.731555</v>
      </c>
      <c r="T20" s="52">
        <v>-108.314255</v>
      </c>
      <c r="U20" s="50" t="s">
        <v>83</v>
      </c>
    </row>
    <row r="21" spans="1:21" s="49" customFormat="1" x14ac:dyDescent="0.2">
      <c r="A21" s="50" t="s">
        <v>94</v>
      </c>
      <c r="B21" s="50" t="s">
        <v>95</v>
      </c>
      <c r="C21" s="50" t="s">
        <v>77</v>
      </c>
      <c r="D21" s="51" t="s">
        <v>3</v>
      </c>
      <c r="E21"/>
      <c r="F21" s="54">
        <v>8.0399999999999991</v>
      </c>
      <c r="G21" s="51" t="s">
        <v>78</v>
      </c>
      <c r="H21" s="51" t="s">
        <v>64</v>
      </c>
      <c r="I21" s="51" t="s">
        <v>80</v>
      </c>
      <c r="J21" s="93">
        <v>42224</v>
      </c>
      <c r="K21" s="51" t="s">
        <v>96</v>
      </c>
      <c r="L21" s="51"/>
      <c r="M21" s="51"/>
      <c r="N21" s="51" t="s">
        <v>78</v>
      </c>
      <c r="O21" s="51"/>
      <c r="P21" s="51" t="s">
        <v>78</v>
      </c>
      <c r="Q21" s="50" t="s">
        <v>65</v>
      </c>
      <c r="R21" s="51" t="s">
        <v>82</v>
      </c>
      <c r="S21" s="52">
        <v>36.838545000000003</v>
      </c>
      <c r="T21" s="52">
        <v>-107.992183</v>
      </c>
      <c r="U21" s="50" t="s">
        <v>97</v>
      </c>
    </row>
    <row r="22" spans="1:21" s="49" customFormat="1" x14ac:dyDescent="0.2">
      <c r="A22" s="50" t="s">
        <v>98</v>
      </c>
      <c r="B22" s="50" t="s">
        <v>76</v>
      </c>
      <c r="C22" s="50" t="s">
        <v>77</v>
      </c>
      <c r="D22" s="51" t="s">
        <v>3</v>
      </c>
      <c r="E22"/>
      <c r="F22" s="54">
        <v>8.06</v>
      </c>
      <c r="G22" s="51" t="s">
        <v>78</v>
      </c>
      <c r="H22" s="51" t="s">
        <v>64</v>
      </c>
      <c r="I22" s="51" t="s">
        <v>80</v>
      </c>
      <c r="J22" s="93">
        <v>42224</v>
      </c>
      <c r="K22" s="51" t="s">
        <v>99</v>
      </c>
      <c r="L22" s="51"/>
      <c r="M22" s="51"/>
      <c r="N22" s="51" t="s">
        <v>78</v>
      </c>
      <c r="O22" s="51"/>
      <c r="P22" s="51" t="s">
        <v>78</v>
      </c>
      <c r="Q22" s="50" t="s">
        <v>65</v>
      </c>
      <c r="R22" s="51" t="s">
        <v>82</v>
      </c>
      <c r="S22" s="52">
        <v>36.872838000000002</v>
      </c>
      <c r="T22" s="52">
        <v>-107.960791</v>
      </c>
      <c r="U22" s="50" t="s">
        <v>97</v>
      </c>
    </row>
    <row r="23" spans="1:21" s="49" customFormat="1" x14ac:dyDescent="0.2">
      <c r="A23" s="50" t="s">
        <v>100</v>
      </c>
      <c r="B23" s="50" t="s">
        <v>86</v>
      </c>
      <c r="C23" s="50" t="s">
        <v>77</v>
      </c>
      <c r="D23" s="51" t="s">
        <v>3</v>
      </c>
      <c r="E23"/>
      <c r="F23" s="53">
        <v>8.1300000000000008</v>
      </c>
      <c r="G23" s="51" t="s">
        <v>78</v>
      </c>
      <c r="H23" s="51" t="s">
        <v>64</v>
      </c>
      <c r="I23" s="51" t="s">
        <v>80</v>
      </c>
      <c r="J23" s="93">
        <v>42224</v>
      </c>
      <c r="K23" s="51" t="s">
        <v>101</v>
      </c>
      <c r="L23" s="51"/>
      <c r="M23" s="51"/>
      <c r="N23" s="51" t="s">
        <v>78</v>
      </c>
      <c r="O23" s="51"/>
      <c r="P23" s="51" t="s">
        <v>78</v>
      </c>
      <c r="Q23" s="50" t="s">
        <v>65</v>
      </c>
      <c r="R23" s="51" t="s">
        <v>82</v>
      </c>
      <c r="S23" s="52">
        <v>36.933295000000001</v>
      </c>
      <c r="T23" s="52">
        <v>-107.90907300000001</v>
      </c>
      <c r="U23" s="50" t="s">
        <v>97</v>
      </c>
    </row>
    <row r="24" spans="1:21" s="49" customFormat="1" x14ac:dyDescent="0.2">
      <c r="A24" s="50" t="s">
        <v>102</v>
      </c>
      <c r="B24" s="50" t="s">
        <v>89</v>
      </c>
      <c r="C24" s="50" t="s">
        <v>77</v>
      </c>
      <c r="D24" s="51" t="s">
        <v>3</v>
      </c>
      <c r="E24"/>
      <c r="F24" s="53">
        <v>8.1</v>
      </c>
      <c r="G24" s="51" t="s">
        <v>78</v>
      </c>
      <c r="H24" s="51" t="s">
        <v>64</v>
      </c>
      <c r="I24" s="51" t="s">
        <v>80</v>
      </c>
      <c r="J24" s="93">
        <v>42224</v>
      </c>
      <c r="K24" s="51" t="s">
        <v>103</v>
      </c>
      <c r="L24" s="51"/>
      <c r="M24" s="51"/>
      <c r="N24" s="51" t="s">
        <v>78</v>
      </c>
      <c r="O24" s="51"/>
      <c r="P24" s="51" t="s">
        <v>78</v>
      </c>
      <c r="Q24" s="50" t="s">
        <v>65</v>
      </c>
      <c r="R24" s="51" t="s">
        <v>82</v>
      </c>
      <c r="S24" s="52">
        <v>36.783569999999997</v>
      </c>
      <c r="T24" s="52">
        <v>-108.10213899999999</v>
      </c>
      <c r="U24" s="50" t="s">
        <v>97</v>
      </c>
    </row>
    <row r="25" spans="1:21" s="49" customFormat="1" x14ac:dyDescent="0.2">
      <c r="A25" s="50" t="s">
        <v>104</v>
      </c>
      <c r="B25" s="50" t="s">
        <v>105</v>
      </c>
      <c r="C25" s="50" t="s">
        <v>77</v>
      </c>
      <c r="D25" s="51" t="s">
        <v>3</v>
      </c>
      <c r="E25"/>
      <c r="F25" s="22">
        <v>8.1</v>
      </c>
      <c r="G25" s="51" t="s">
        <v>78</v>
      </c>
      <c r="H25" s="51" t="s">
        <v>64</v>
      </c>
      <c r="I25" s="51" t="s">
        <v>80</v>
      </c>
      <c r="J25" s="93">
        <v>42224</v>
      </c>
      <c r="K25" s="51" t="s">
        <v>106</v>
      </c>
      <c r="L25" s="51"/>
      <c r="M25" s="51"/>
      <c r="N25" s="51" t="s">
        <v>78</v>
      </c>
      <c r="O25" s="51"/>
      <c r="P25" s="51" t="s">
        <v>78</v>
      </c>
      <c r="Q25" s="50" t="s">
        <v>65</v>
      </c>
      <c r="R25" s="51" t="s">
        <v>82</v>
      </c>
      <c r="S25" s="52">
        <v>36.714550000000003</v>
      </c>
      <c r="T25" s="52">
        <v>-108.216444</v>
      </c>
      <c r="U25" s="50" t="s">
        <v>97</v>
      </c>
    </row>
    <row r="26" spans="1:21" s="49" customFormat="1" x14ac:dyDescent="0.2">
      <c r="A26" s="50" t="s">
        <v>107</v>
      </c>
      <c r="B26" s="50" t="s">
        <v>92</v>
      </c>
      <c r="C26" s="50" t="s">
        <v>77</v>
      </c>
      <c r="D26" s="51" t="s">
        <v>3</v>
      </c>
      <c r="E26"/>
      <c r="F26" s="51">
        <v>8.0299999999999994</v>
      </c>
      <c r="G26" s="51" t="s">
        <v>78</v>
      </c>
      <c r="H26" s="51" t="s">
        <v>64</v>
      </c>
      <c r="I26" s="51" t="s">
        <v>80</v>
      </c>
      <c r="J26" s="93">
        <v>42224</v>
      </c>
      <c r="K26" s="51" t="s">
        <v>108</v>
      </c>
      <c r="L26" s="51"/>
      <c r="M26" s="51"/>
      <c r="N26" s="51" t="s">
        <v>78</v>
      </c>
      <c r="O26" s="51"/>
      <c r="P26" s="51" t="s">
        <v>78</v>
      </c>
      <c r="Q26" s="50" t="s">
        <v>65</v>
      </c>
      <c r="R26" s="51" t="s">
        <v>82</v>
      </c>
      <c r="S26" s="52">
        <v>36.731555</v>
      </c>
      <c r="T26" s="52">
        <v>-108.314255</v>
      </c>
      <c r="U26" s="50" t="s">
        <v>97</v>
      </c>
    </row>
    <row r="27" spans="1:21" s="49" customFormat="1" x14ac:dyDescent="0.2">
      <c r="A27" s="50" t="s">
        <v>109</v>
      </c>
      <c r="B27" s="50" t="s">
        <v>110</v>
      </c>
      <c r="C27" s="50" t="s">
        <v>77</v>
      </c>
      <c r="D27" s="51" t="s">
        <v>3</v>
      </c>
      <c r="E27"/>
      <c r="F27" s="51">
        <v>8.02</v>
      </c>
      <c r="G27" s="51" t="s">
        <v>78</v>
      </c>
      <c r="H27" s="51" t="s">
        <v>64</v>
      </c>
      <c r="I27" s="51" t="s">
        <v>80</v>
      </c>
      <c r="J27" s="93">
        <v>42224</v>
      </c>
      <c r="K27" s="51" t="s">
        <v>111</v>
      </c>
      <c r="L27" s="51"/>
      <c r="M27" s="51"/>
      <c r="N27" s="51" t="s">
        <v>78</v>
      </c>
      <c r="O27" s="51"/>
      <c r="P27" s="51" t="s">
        <v>78</v>
      </c>
      <c r="Q27" s="50" t="s">
        <v>65</v>
      </c>
      <c r="R27" s="51" t="s">
        <v>82</v>
      </c>
      <c r="S27" s="52">
        <v>36.731389999999998</v>
      </c>
      <c r="T27" s="52">
        <v>-108.249</v>
      </c>
      <c r="U27" s="50" t="s">
        <v>97</v>
      </c>
    </row>
    <row r="28" spans="1:21" s="49" customFormat="1" x14ac:dyDescent="0.2">
      <c r="A28" s="50" t="s">
        <v>112</v>
      </c>
      <c r="B28" s="50" t="s">
        <v>113</v>
      </c>
      <c r="C28" s="50" t="s">
        <v>77</v>
      </c>
      <c r="D28" s="51" t="s">
        <v>3</v>
      </c>
      <c r="E28"/>
      <c r="F28" s="22">
        <v>8.1199999999999992</v>
      </c>
      <c r="G28" s="51" t="s">
        <v>78</v>
      </c>
      <c r="H28" s="51" t="s">
        <v>64</v>
      </c>
      <c r="I28" s="51" t="s">
        <v>80</v>
      </c>
      <c r="J28" s="93">
        <v>42224</v>
      </c>
      <c r="K28" s="51" t="s">
        <v>114</v>
      </c>
      <c r="L28" s="51"/>
      <c r="M28" s="51"/>
      <c r="N28" s="51" t="s">
        <v>78</v>
      </c>
      <c r="O28" s="51"/>
      <c r="P28" s="51" t="s">
        <v>78</v>
      </c>
      <c r="Q28" s="50" t="s">
        <v>65</v>
      </c>
      <c r="R28" s="51" t="s">
        <v>82</v>
      </c>
      <c r="S28" s="52">
        <v>36.771343000000002</v>
      </c>
      <c r="T28" s="52">
        <v>-108.118927</v>
      </c>
      <c r="U28" s="50" t="s">
        <v>97</v>
      </c>
    </row>
    <row r="29" spans="1:21" s="49" customFormat="1" x14ac:dyDescent="0.2">
      <c r="A29" s="50" t="s">
        <v>115</v>
      </c>
      <c r="B29" s="50" t="s">
        <v>116</v>
      </c>
      <c r="C29" s="50" t="s">
        <v>77</v>
      </c>
      <c r="D29" s="51" t="s">
        <v>3</v>
      </c>
      <c r="E29"/>
      <c r="F29" s="22">
        <v>8.1199999999999992</v>
      </c>
      <c r="G29" s="51" t="s">
        <v>78</v>
      </c>
      <c r="H29" s="51" t="s">
        <v>64</v>
      </c>
      <c r="I29" s="51" t="s">
        <v>80</v>
      </c>
      <c r="J29" s="93">
        <v>42224</v>
      </c>
      <c r="K29" s="51" t="s">
        <v>117</v>
      </c>
      <c r="L29" s="51"/>
      <c r="M29" s="51"/>
      <c r="N29" s="51" t="s">
        <v>78</v>
      </c>
      <c r="O29" s="51"/>
      <c r="P29" s="51" t="s">
        <v>78</v>
      </c>
      <c r="Q29" s="50" t="s">
        <v>65</v>
      </c>
      <c r="R29" s="51" t="s">
        <v>82</v>
      </c>
      <c r="S29" s="52">
        <v>36.900897999999998</v>
      </c>
      <c r="T29" s="52">
        <v>-107.91712200000001</v>
      </c>
      <c r="U29" s="50" t="s">
        <v>97</v>
      </c>
    </row>
    <row r="30" spans="1:21" s="21" customFormat="1" ht="12" x14ac:dyDescent="0.2">
      <c r="D30" s="22"/>
      <c r="E30" s="22"/>
      <c r="F30" s="22"/>
      <c r="G30" s="22"/>
      <c r="I30" s="22"/>
      <c r="K30" s="22"/>
      <c r="L30" s="22"/>
      <c r="M30" s="22"/>
      <c r="S30" s="22"/>
    </row>
    <row r="31" spans="1:21" x14ac:dyDescent="0.2">
      <c r="D31" s="1"/>
      <c r="E31" s="1"/>
      <c r="F31" s="1"/>
      <c r="G31" s="1"/>
      <c r="K31" s="1"/>
      <c r="L31" s="1"/>
      <c r="M31" s="1"/>
    </row>
    <row r="32" spans="1:21" x14ac:dyDescent="0.2">
      <c r="B32" s="1"/>
      <c r="C32" s="1"/>
      <c r="D32" s="1"/>
      <c r="E32" s="2"/>
      <c r="F32" s="2"/>
      <c r="G32" s="2"/>
      <c r="H32" s="2"/>
      <c r="I32" s="2"/>
      <c r="J32" s="2"/>
      <c r="K32" s="2"/>
      <c r="L32" s="103"/>
      <c r="S32"/>
      <c r="T32" s="1"/>
    </row>
    <row r="33" spans="1:21" ht="15.75" x14ac:dyDescent="0.25">
      <c r="A33" s="97" t="s">
        <v>176</v>
      </c>
      <c r="B33" s="1"/>
      <c r="C33" s="1"/>
      <c r="D33" s="1"/>
      <c r="E33" s="2"/>
      <c r="F33" s="2"/>
      <c r="G33" s="2"/>
      <c r="H33" s="2"/>
      <c r="I33" s="2" t="s">
        <v>119</v>
      </c>
      <c r="J33" s="2" t="s">
        <v>152</v>
      </c>
      <c r="K33" s="2" t="s">
        <v>151</v>
      </c>
      <c r="L33" s="103"/>
      <c r="M33" s="108" t="s">
        <v>188</v>
      </c>
      <c r="N33" s="108"/>
      <c r="O33" s="108"/>
      <c r="P33" s="108"/>
      <c r="S33"/>
      <c r="U33" s="1"/>
    </row>
    <row r="34" spans="1:21" ht="39" customHeight="1" x14ac:dyDescent="0.25">
      <c r="A34" s="99" t="s">
        <v>155</v>
      </c>
      <c r="B34" s="127" t="s">
        <v>167</v>
      </c>
      <c r="C34" s="127"/>
      <c r="D34" s="110" t="s">
        <v>169</v>
      </c>
      <c r="G34" s="2"/>
      <c r="J34" s="110" t="s">
        <v>131</v>
      </c>
      <c r="K34" s="11" t="s">
        <v>181</v>
      </c>
      <c r="L34" s="10"/>
      <c r="N34" s="103" t="s">
        <v>177</v>
      </c>
      <c r="P34" s="1"/>
      <c r="S34"/>
    </row>
    <row r="35" spans="1:21" x14ac:dyDescent="0.2">
      <c r="A35" s="100"/>
      <c r="B35" s="101" t="s">
        <v>2</v>
      </c>
      <c r="C35" s="101" t="s">
        <v>3</v>
      </c>
      <c r="D35" s="2"/>
      <c r="G35" s="2"/>
      <c r="J35" s="109" t="s">
        <v>2</v>
      </c>
      <c r="K35" s="90"/>
      <c r="L35" s="90"/>
      <c r="M35" s="24"/>
      <c r="N35" s="107"/>
      <c r="P35" s="1"/>
      <c r="R35" t="s">
        <v>187</v>
      </c>
      <c r="S35"/>
    </row>
    <row r="36" spans="1:21" x14ac:dyDescent="0.2">
      <c r="A36" s="100" t="s">
        <v>151</v>
      </c>
      <c r="B36" s="101">
        <v>0.01</v>
      </c>
      <c r="C36" s="101">
        <v>2.9</v>
      </c>
      <c r="D36" s="98" t="s">
        <v>168</v>
      </c>
      <c r="G36" s="2"/>
      <c r="J36" s="109">
        <v>0.01</v>
      </c>
      <c r="K36" s="64">
        <v>2.9</v>
      </c>
      <c r="L36" s="64" t="s">
        <v>151</v>
      </c>
      <c r="M36" s="24"/>
      <c r="N36" s="111" t="s">
        <v>178</v>
      </c>
      <c r="P36" s="1"/>
      <c r="R36" s="24"/>
      <c r="S36" s="26" t="s">
        <v>183</v>
      </c>
      <c r="T36" s="26" t="s">
        <v>3</v>
      </c>
    </row>
    <row r="37" spans="1:21" x14ac:dyDescent="0.2">
      <c r="A37" s="100" t="s">
        <v>151</v>
      </c>
      <c r="B37" s="101">
        <v>12.6</v>
      </c>
      <c r="C37" s="101">
        <v>3.25</v>
      </c>
      <c r="D37" s="103" t="s">
        <v>151</v>
      </c>
      <c r="G37" s="2"/>
      <c r="J37" s="109">
        <v>12.6</v>
      </c>
      <c r="K37" s="64">
        <v>3.25</v>
      </c>
      <c r="L37" s="64" t="s">
        <v>151</v>
      </c>
      <c r="M37" s="24"/>
      <c r="N37" s="111" t="s">
        <v>182</v>
      </c>
      <c r="P37" s="1"/>
      <c r="R37" s="24" t="s">
        <v>184</v>
      </c>
      <c r="S37" s="26">
        <v>120</v>
      </c>
      <c r="T37" s="26">
        <v>3.2</v>
      </c>
    </row>
    <row r="38" spans="1:21" x14ac:dyDescent="0.2">
      <c r="A38" s="100" t="s">
        <v>151</v>
      </c>
      <c r="B38" s="101">
        <v>64</v>
      </c>
      <c r="C38" s="101">
        <v>5.6</v>
      </c>
      <c r="D38" s="103" t="s">
        <v>151</v>
      </c>
      <c r="G38" s="2"/>
      <c r="J38" s="5">
        <v>14</v>
      </c>
      <c r="K38" s="5">
        <v>5.4</v>
      </c>
      <c r="L38" s="64" t="s">
        <v>151</v>
      </c>
      <c r="M38" s="25">
        <v>5.4</v>
      </c>
      <c r="N38" s="112" t="s">
        <v>179</v>
      </c>
      <c r="P38" s="1"/>
      <c r="R38" s="24" t="s">
        <v>185</v>
      </c>
      <c r="S38" s="26">
        <v>122</v>
      </c>
      <c r="T38" s="26">
        <v>7.6</v>
      </c>
    </row>
    <row r="39" spans="1:21" x14ac:dyDescent="0.2">
      <c r="A39" s="100" t="s">
        <v>154</v>
      </c>
      <c r="B39" s="101">
        <v>94.2</v>
      </c>
      <c r="C39" s="101">
        <v>6.78</v>
      </c>
      <c r="D39" s="2" t="s">
        <v>153</v>
      </c>
      <c r="G39" s="2"/>
      <c r="J39" s="5">
        <v>16.399999999999999</v>
      </c>
      <c r="K39" s="5">
        <v>5.8</v>
      </c>
      <c r="L39" s="64" t="s">
        <v>151</v>
      </c>
      <c r="M39" s="25">
        <v>5.8</v>
      </c>
      <c r="N39" s="112" t="s">
        <v>220</v>
      </c>
      <c r="P39" s="1"/>
      <c r="R39" s="90" t="s">
        <v>219</v>
      </c>
      <c r="S39" s="1">
        <v>242</v>
      </c>
      <c r="T39" s="1">
        <v>5.4</v>
      </c>
    </row>
    <row r="40" spans="1:21" x14ac:dyDescent="0.2">
      <c r="A40" s="100" t="s">
        <v>152</v>
      </c>
      <c r="B40" s="102">
        <v>104</v>
      </c>
      <c r="C40" s="101">
        <v>7.42</v>
      </c>
      <c r="D40" s="2" t="s">
        <v>172</v>
      </c>
      <c r="G40" s="2"/>
      <c r="J40" s="109">
        <v>94.2</v>
      </c>
      <c r="K40" s="64">
        <v>6.78</v>
      </c>
      <c r="L40" s="64" t="s">
        <v>151</v>
      </c>
      <c r="M40" s="26">
        <v>6.78</v>
      </c>
      <c r="N40" s="111" t="s">
        <v>153</v>
      </c>
      <c r="P40" s="1"/>
      <c r="R40" s="24" t="s">
        <v>186</v>
      </c>
      <c r="S40" s="26">
        <v>304</v>
      </c>
      <c r="T40" s="26">
        <v>5.8</v>
      </c>
    </row>
    <row r="41" spans="1:21" x14ac:dyDescent="0.2">
      <c r="A41" s="100" t="s">
        <v>152</v>
      </c>
      <c r="B41" s="102">
        <v>109</v>
      </c>
      <c r="C41" s="101">
        <v>7.38</v>
      </c>
      <c r="D41" s="103" t="s">
        <v>172</v>
      </c>
      <c r="G41" s="2"/>
      <c r="J41" s="109">
        <v>104</v>
      </c>
      <c r="K41" s="114">
        <v>7.42</v>
      </c>
      <c r="L41" s="6" t="s">
        <v>152</v>
      </c>
      <c r="M41" s="115">
        <v>7.42</v>
      </c>
      <c r="N41" s="111" t="s">
        <v>180</v>
      </c>
      <c r="P41" s="1"/>
      <c r="S41"/>
    </row>
    <row r="42" spans="1:21" x14ac:dyDescent="0.2">
      <c r="A42" s="100" t="s">
        <v>152</v>
      </c>
      <c r="B42" s="102">
        <v>131.5</v>
      </c>
      <c r="C42" s="101">
        <v>7.92</v>
      </c>
      <c r="D42" s="103" t="s">
        <v>172</v>
      </c>
      <c r="G42" s="2"/>
      <c r="J42" s="109">
        <v>109</v>
      </c>
      <c r="K42" s="114">
        <v>7.38</v>
      </c>
      <c r="L42" s="6" t="s">
        <v>152</v>
      </c>
      <c r="M42" s="115">
        <v>7.38</v>
      </c>
      <c r="N42" s="111" t="s">
        <v>180</v>
      </c>
      <c r="P42" s="1"/>
      <c r="S42"/>
    </row>
    <row r="43" spans="1:21" x14ac:dyDescent="0.2">
      <c r="A43" s="100" t="s">
        <v>119</v>
      </c>
      <c r="B43" s="102">
        <v>164</v>
      </c>
      <c r="C43" s="101">
        <v>7.9</v>
      </c>
      <c r="D43" s="103" t="s">
        <v>172</v>
      </c>
      <c r="G43" s="2"/>
      <c r="J43" s="109">
        <v>131.5</v>
      </c>
      <c r="K43" s="114">
        <v>7.92</v>
      </c>
      <c r="L43" s="6" t="s">
        <v>152</v>
      </c>
      <c r="M43" s="114">
        <v>7.92</v>
      </c>
      <c r="N43" s="111" t="s">
        <v>180</v>
      </c>
      <c r="P43" s="1"/>
      <c r="S43"/>
    </row>
    <row r="44" spans="1:21" x14ac:dyDescent="0.2">
      <c r="A44" s="100" t="s">
        <v>119</v>
      </c>
      <c r="B44" s="102">
        <v>190</v>
      </c>
      <c r="C44" s="101">
        <v>8.1</v>
      </c>
      <c r="D44" s="103" t="s">
        <v>172</v>
      </c>
      <c r="G44" s="2"/>
      <c r="J44" s="113">
        <v>163</v>
      </c>
      <c r="K44" s="64">
        <v>7.9</v>
      </c>
      <c r="L44" s="64" t="s">
        <v>119</v>
      </c>
      <c r="M44" s="25">
        <v>7.9</v>
      </c>
      <c r="N44" s="111" t="s">
        <v>180</v>
      </c>
      <c r="P44" s="1"/>
      <c r="S44"/>
    </row>
    <row r="45" spans="1:21" x14ac:dyDescent="0.2">
      <c r="B45" s="4"/>
      <c r="C45" s="1"/>
      <c r="D45" s="1"/>
      <c r="E45" s="2"/>
      <c r="F45" s="2"/>
      <c r="G45" s="2"/>
      <c r="J45" s="113">
        <v>190</v>
      </c>
      <c r="K45" s="64">
        <v>8.11</v>
      </c>
      <c r="L45" s="64" t="s">
        <v>119</v>
      </c>
      <c r="M45" s="25">
        <v>8.11</v>
      </c>
      <c r="N45" s="111" t="s">
        <v>180</v>
      </c>
      <c r="P45" s="1"/>
      <c r="S45"/>
    </row>
    <row r="46" spans="1:21" ht="15.75" x14ac:dyDescent="0.25">
      <c r="A46" s="97" t="s">
        <v>166</v>
      </c>
      <c r="B46" s="1"/>
      <c r="C46" s="1"/>
      <c r="D46" s="1"/>
      <c r="E46" s="2"/>
      <c r="F46" s="2"/>
      <c r="G46" s="2"/>
      <c r="J46" s="2"/>
      <c r="K46" s="2"/>
      <c r="L46" s="2"/>
      <c r="M46" s="2"/>
      <c r="P46" s="1"/>
      <c r="S46"/>
    </row>
    <row r="47" spans="1:21" x14ac:dyDescent="0.2">
      <c r="B47" s="1"/>
      <c r="C47" s="1"/>
      <c r="D47" s="1"/>
      <c r="E47" s="2"/>
      <c r="F47" s="2"/>
      <c r="G47" s="2"/>
      <c r="H47" s="2"/>
      <c r="J47" s="1"/>
      <c r="O47" s="1"/>
      <c r="S47"/>
    </row>
    <row r="48" spans="1:21" ht="15" x14ac:dyDescent="0.25">
      <c r="I48" s="2"/>
      <c r="K48" s="122" t="s">
        <v>150</v>
      </c>
      <c r="S48"/>
      <c r="T48" s="1"/>
    </row>
    <row r="49" spans="2:20" ht="18.75" x14ac:dyDescent="0.3">
      <c r="B49" s="105" t="s">
        <v>170</v>
      </c>
      <c r="G49" s="124" t="s">
        <v>215</v>
      </c>
      <c r="I49"/>
      <c r="K49" s="122" t="s">
        <v>210</v>
      </c>
      <c r="S49"/>
      <c r="T49" s="1"/>
    </row>
    <row r="51" spans="2:20" ht="18.75" x14ac:dyDescent="0.3">
      <c r="I51" s="106" t="s">
        <v>171</v>
      </c>
    </row>
    <row r="52" spans="2:20" ht="15" x14ac:dyDescent="0.25">
      <c r="I52" s="104" t="s">
        <v>175</v>
      </c>
    </row>
    <row r="53" spans="2:20" ht="15" x14ac:dyDescent="0.25">
      <c r="I53" s="104" t="s">
        <v>209</v>
      </c>
    </row>
    <row r="77" spans="2:2" x14ac:dyDescent="0.2">
      <c r="B77" t="s">
        <v>221</v>
      </c>
    </row>
    <row r="78" spans="2:2" x14ac:dyDescent="0.2">
      <c r="B78" t="s">
        <v>222</v>
      </c>
    </row>
  </sheetData>
  <sheetProtection algorithmName="SHA-512" hashValue="7PzYM0NUM6PFEgu+mHWPSlJ7wzi8ARNqE/0LabvGUCjNDxB3Jnu7ntGDfQ4oX33My3l7xvn3HFS4eprXp2efHA==" saltValue="eHADZQzU40NDxMuLAg+6og==" spinCount="100000" sheet="1" scenarios="1"/>
  <mergeCells count="1">
    <mergeCell ref="B34:C34"/>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49"/>
  <sheetViews>
    <sheetView zoomScale="89" zoomScaleNormal="89" workbookViewId="0">
      <selection activeCell="Y29" sqref="Y29"/>
    </sheetView>
  </sheetViews>
  <sheetFormatPr defaultRowHeight="12.75" x14ac:dyDescent="0.2"/>
  <cols>
    <col min="1" max="1" width="20" style="32" customWidth="1"/>
    <col min="2" max="2" width="15.42578125" style="32" customWidth="1"/>
    <col min="3" max="3" width="13.5703125" style="32" customWidth="1"/>
    <col min="4" max="4" width="10.7109375" style="32" customWidth="1"/>
    <col min="5" max="5" width="10.28515625" style="32" customWidth="1"/>
    <col min="6" max="6" width="9.140625" style="32"/>
    <col min="7" max="7" width="18.85546875" style="32" customWidth="1"/>
    <col min="8" max="8" width="11.7109375" style="32" customWidth="1"/>
    <col min="9" max="9" width="10.28515625" style="32" customWidth="1"/>
    <col min="10" max="10" width="9.140625" style="32"/>
    <col min="11" max="11" width="10.28515625" style="32" customWidth="1"/>
    <col min="12" max="13" width="9.140625" style="32"/>
    <col min="14" max="14" width="11.42578125" style="32" customWidth="1"/>
    <col min="15" max="16384" width="9.140625" style="32"/>
  </cols>
  <sheetData>
    <row r="1" spans="1:11" ht="18.75" x14ac:dyDescent="0.3">
      <c r="A1" s="31" t="s">
        <v>135</v>
      </c>
      <c r="B1" s="31"/>
    </row>
    <row r="2" spans="1:11" ht="15.75" x14ac:dyDescent="0.25">
      <c r="A2" s="66" t="s">
        <v>46</v>
      </c>
      <c r="B2" s="33"/>
      <c r="J2" s="34"/>
    </row>
    <row r="3" spans="1:11" ht="18.75" x14ac:dyDescent="0.3">
      <c r="D3" s="128" t="s">
        <v>8</v>
      </c>
      <c r="E3" s="128"/>
      <c r="I3" s="128" t="s">
        <v>7</v>
      </c>
      <c r="J3" s="128"/>
    </row>
    <row r="4" spans="1:11" ht="38.25" x14ac:dyDescent="0.2">
      <c r="A4" s="35" t="s">
        <v>25</v>
      </c>
      <c r="B4" s="65" t="s">
        <v>131</v>
      </c>
      <c r="C4" s="65" t="s">
        <v>132</v>
      </c>
      <c r="D4" s="65" t="s">
        <v>133</v>
      </c>
      <c r="E4" s="65" t="s">
        <v>214</v>
      </c>
      <c r="G4" s="35" t="s">
        <v>25</v>
      </c>
      <c r="H4" s="65" t="s">
        <v>131</v>
      </c>
      <c r="I4" s="65" t="s">
        <v>132</v>
      </c>
      <c r="J4" s="65" t="s">
        <v>133</v>
      </c>
      <c r="K4" s="65" t="s">
        <v>214</v>
      </c>
    </row>
    <row r="5" spans="1:11" x14ac:dyDescent="0.2">
      <c r="A5" s="35" t="s">
        <v>12</v>
      </c>
      <c r="B5" s="36">
        <v>12.5</v>
      </c>
      <c r="C5" s="45">
        <v>172.20039027615525</v>
      </c>
      <c r="D5" s="38">
        <v>155.32</v>
      </c>
      <c r="E5" s="39">
        <v>0</v>
      </c>
      <c r="G5" s="35" t="s">
        <v>12</v>
      </c>
      <c r="H5" s="36">
        <v>12.5</v>
      </c>
      <c r="I5" s="45">
        <v>70.82686792912601</v>
      </c>
      <c r="J5" s="59">
        <v>129.55100000000002</v>
      </c>
      <c r="K5" s="40">
        <f>(J5-I5)/J5</f>
        <v>0.45328968569037675</v>
      </c>
    </row>
    <row r="6" spans="1:11" x14ac:dyDescent="0.2">
      <c r="A6" s="35" t="s">
        <v>41</v>
      </c>
      <c r="B6" s="36">
        <v>16.399999999999999</v>
      </c>
      <c r="C6" s="45">
        <v>35.92</v>
      </c>
      <c r="D6" s="38">
        <v>45.936620172662735</v>
      </c>
      <c r="E6" s="39">
        <f t="shared" ref="E6:E11" si="0">(D6-C6)/D6</f>
        <v>0.2180530508124694</v>
      </c>
      <c r="G6" s="35" t="s">
        <v>41</v>
      </c>
      <c r="H6" s="36">
        <v>16.399999999999999</v>
      </c>
      <c r="I6" s="45">
        <v>18.920000000000002</v>
      </c>
      <c r="J6" s="59">
        <v>37.537608474957707</v>
      </c>
      <c r="K6" s="40">
        <f t="shared" ref="K6:K11" si="1">(J6-I6)/J6</f>
        <v>0.49597215249815357</v>
      </c>
    </row>
    <row r="7" spans="1:11" x14ac:dyDescent="0.2">
      <c r="A7" s="35" t="s">
        <v>1</v>
      </c>
      <c r="B7" s="36">
        <v>63.8</v>
      </c>
      <c r="C7" s="45">
        <v>1.8739186062473701</v>
      </c>
      <c r="D7" s="38">
        <v>3.0881965209189151</v>
      </c>
      <c r="E7" s="39">
        <f t="shared" si="0"/>
        <v>0.39319968999583871</v>
      </c>
      <c r="G7" s="35" t="s">
        <v>1</v>
      </c>
      <c r="H7" s="36">
        <v>63.8</v>
      </c>
      <c r="I7" s="45">
        <v>0.12880164082982201</v>
      </c>
      <c r="J7" s="59">
        <v>1.4743941328711605</v>
      </c>
      <c r="K7" s="40">
        <f t="shared" si="1"/>
        <v>0.91264097030893621</v>
      </c>
    </row>
    <row r="8" spans="1:11" x14ac:dyDescent="0.2">
      <c r="A8" s="35" t="s">
        <v>42</v>
      </c>
      <c r="B8" s="36">
        <v>94.2</v>
      </c>
      <c r="C8" s="45">
        <v>0.27061464336118701</v>
      </c>
      <c r="D8" s="38">
        <v>1.4511513689298683</v>
      </c>
      <c r="E8" s="39">
        <f t="shared" si="0"/>
        <v>0.81351728761366349</v>
      </c>
      <c r="G8" s="35" t="s">
        <v>42</v>
      </c>
      <c r="H8" s="36">
        <v>94.2</v>
      </c>
      <c r="I8" s="45">
        <v>5.5497359661004098E-3</v>
      </c>
      <c r="J8" s="59">
        <v>0.65198393743246796</v>
      </c>
      <c r="K8" s="40">
        <f t="shared" si="1"/>
        <v>0.99148792531921037</v>
      </c>
    </row>
    <row r="9" spans="1:11" x14ac:dyDescent="0.2">
      <c r="A9" s="35" t="s">
        <v>43</v>
      </c>
      <c r="B9" s="36">
        <v>132</v>
      </c>
      <c r="C9" s="45">
        <v>1.0999999999999999E-2</v>
      </c>
      <c r="D9" s="38">
        <v>0.73870858880491697</v>
      </c>
      <c r="E9" s="39">
        <f t="shared" si="0"/>
        <v>0.98510914836147256</v>
      </c>
      <c r="G9" s="35" t="s">
        <v>43</v>
      </c>
      <c r="H9" s="36">
        <v>132</v>
      </c>
      <c r="I9" s="45">
        <v>2.3E-3</v>
      </c>
      <c r="J9" s="59">
        <v>0.26528580958365144</v>
      </c>
      <c r="K9" s="40">
        <f t="shared" si="1"/>
        <v>0.99133010543002764</v>
      </c>
    </row>
    <row r="10" spans="1:11" x14ac:dyDescent="0.2">
      <c r="A10" s="35" t="s">
        <v>44</v>
      </c>
      <c r="B10" s="36">
        <v>164.1</v>
      </c>
      <c r="C10" s="45">
        <v>4.0600000000000002E-3</v>
      </c>
      <c r="D10" s="38">
        <v>0.4867081039142459</v>
      </c>
      <c r="E10" s="39">
        <f t="shared" si="0"/>
        <v>0.99165824450559104</v>
      </c>
      <c r="G10" s="35" t="s">
        <v>44</v>
      </c>
      <c r="H10" s="36">
        <v>164.1</v>
      </c>
      <c r="I10" s="45">
        <v>1.885E-3</v>
      </c>
      <c r="J10" s="59">
        <v>0.16085601046429557</v>
      </c>
      <c r="K10" s="40">
        <f t="shared" si="1"/>
        <v>0.98828144503547533</v>
      </c>
    </row>
    <row r="11" spans="1:11" x14ac:dyDescent="0.2">
      <c r="A11" s="35" t="s">
        <v>40</v>
      </c>
      <c r="B11" s="36">
        <v>190.2</v>
      </c>
      <c r="C11" s="45">
        <v>4.2588000000000001E-3</v>
      </c>
      <c r="D11" s="38">
        <v>0.35867622236660368</v>
      </c>
      <c r="E11" s="39">
        <f t="shared" si="0"/>
        <v>0.98812633864631516</v>
      </c>
      <c r="G11" s="35" t="s">
        <v>40</v>
      </c>
      <c r="H11" s="36">
        <v>190.2</v>
      </c>
      <c r="I11" s="45">
        <v>2.4336000000000002E-3</v>
      </c>
      <c r="J11" s="59">
        <v>0.11155307991101462</v>
      </c>
      <c r="K11" s="40">
        <f t="shared" si="1"/>
        <v>0.97818437642473643</v>
      </c>
    </row>
    <row r="12" spans="1:11" x14ac:dyDescent="0.2">
      <c r="A12" s="41"/>
      <c r="B12" s="41"/>
      <c r="C12" s="37"/>
      <c r="D12" s="38"/>
      <c r="E12" s="39"/>
    </row>
    <row r="15" spans="1:11" ht="18.75" x14ac:dyDescent="0.3">
      <c r="D15" s="128" t="s">
        <v>6</v>
      </c>
      <c r="E15" s="128"/>
      <c r="J15" s="128" t="s">
        <v>10</v>
      </c>
      <c r="K15" s="128"/>
    </row>
    <row r="16" spans="1:11" ht="38.25" x14ac:dyDescent="0.2">
      <c r="A16" s="35" t="s">
        <v>25</v>
      </c>
      <c r="B16" s="65" t="s">
        <v>131</v>
      </c>
      <c r="C16" s="65" t="s">
        <v>132</v>
      </c>
      <c r="D16" s="65" t="s">
        <v>133</v>
      </c>
      <c r="E16" s="65" t="s">
        <v>214</v>
      </c>
      <c r="G16" s="35" t="s">
        <v>25</v>
      </c>
      <c r="H16" s="65" t="s">
        <v>131</v>
      </c>
      <c r="I16" s="65" t="s">
        <v>132</v>
      </c>
      <c r="J16" s="65" t="s">
        <v>133</v>
      </c>
      <c r="K16" s="65" t="s">
        <v>214</v>
      </c>
    </row>
    <row r="17" spans="1:16" x14ac:dyDescent="0.2">
      <c r="A17" s="35" t="s">
        <v>12</v>
      </c>
      <c r="B17" s="42">
        <v>12.5</v>
      </c>
      <c r="C17" s="45">
        <v>0.95454027257195306</v>
      </c>
      <c r="D17" s="60">
        <v>631.87</v>
      </c>
      <c r="E17" s="39">
        <f>(D17-C17)/D17</f>
        <v>0.99848934073057438</v>
      </c>
      <c r="G17" s="35" t="s">
        <v>12</v>
      </c>
      <c r="H17" s="36">
        <v>12.5</v>
      </c>
      <c r="I17" s="45">
        <v>0.64679652325546932</v>
      </c>
      <c r="J17" s="62">
        <v>0.58245000000000002</v>
      </c>
      <c r="K17" s="123">
        <v>0</v>
      </c>
    </row>
    <row r="18" spans="1:16" x14ac:dyDescent="0.2">
      <c r="A18" s="35" t="s">
        <v>41</v>
      </c>
      <c r="B18" s="42">
        <v>16.399999999999999</v>
      </c>
      <c r="C18" s="45">
        <v>0.193</v>
      </c>
      <c r="D18" s="60">
        <v>182.83582377526088</v>
      </c>
      <c r="E18" s="39">
        <f t="shared" ref="E18:E23" si="2">(D18-C18)/D18</f>
        <v>0.99894440817989127</v>
      </c>
      <c r="G18" s="35" t="s">
        <v>41</v>
      </c>
      <c r="H18" s="36">
        <v>16.399999999999999</v>
      </c>
      <c r="I18" s="45">
        <v>0.19500000000000001</v>
      </c>
      <c r="J18" s="62">
        <v>0.22891720868401169</v>
      </c>
      <c r="K18" s="123">
        <f t="shared" ref="K18:K23" si="3">(J18-I18)/J18</f>
        <v>0.14816364780521882</v>
      </c>
    </row>
    <row r="19" spans="1:16" x14ac:dyDescent="0.2">
      <c r="A19" s="35" t="s">
        <v>1</v>
      </c>
      <c r="B19" s="42">
        <v>63.8</v>
      </c>
      <c r="C19" s="45">
        <v>1.53095612357263E-3</v>
      </c>
      <c r="D19" s="60">
        <v>7.2039915121829079</v>
      </c>
      <c r="E19" s="39">
        <f t="shared" si="2"/>
        <v>0.99978748501841186</v>
      </c>
      <c r="G19" s="35" t="s">
        <v>1</v>
      </c>
      <c r="H19" s="36">
        <v>63.8</v>
      </c>
      <c r="I19" s="61">
        <v>5.3E-3</v>
      </c>
      <c r="J19" s="63">
        <v>8.6E-3</v>
      </c>
      <c r="K19" s="123">
        <f t="shared" si="3"/>
        <v>0.38372093023255816</v>
      </c>
    </row>
    <row r="20" spans="1:16" x14ac:dyDescent="0.2">
      <c r="A20" s="35" t="s">
        <v>42</v>
      </c>
      <c r="B20" s="42">
        <v>94.2</v>
      </c>
      <c r="C20" s="45">
        <v>1.53095612357263E-3</v>
      </c>
      <c r="D20" s="60">
        <v>2.9152099040421895</v>
      </c>
      <c r="E20" s="39">
        <f t="shared" si="2"/>
        <v>0.99947483845967666</v>
      </c>
      <c r="G20" s="35" t="s">
        <v>42</v>
      </c>
      <c r="H20" s="36">
        <v>94.2</v>
      </c>
      <c r="I20" s="45">
        <v>1.26260639077967E-3</v>
      </c>
      <c r="J20" s="62">
        <v>5.0998743572171577E-3</v>
      </c>
      <c r="K20" s="123">
        <f t="shared" si="3"/>
        <v>0.75242402021279697</v>
      </c>
    </row>
    <row r="21" spans="1:16" x14ac:dyDescent="0.2">
      <c r="A21" s="35" t="s">
        <v>43</v>
      </c>
      <c r="B21" s="42">
        <v>132</v>
      </c>
      <c r="C21" s="45">
        <v>3.0999999999999999E-3</v>
      </c>
      <c r="D21" s="60">
        <v>1.2983650656232497</v>
      </c>
      <c r="E21" s="39">
        <f t="shared" si="2"/>
        <v>0.99761238184692524</v>
      </c>
      <c r="G21" s="35" t="s">
        <v>43</v>
      </c>
      <c r="H21" s="36">
        <v>132</v>
      </c>
      <c r="I21" s="45">
        <v>1E-4</v>
      </c>
      <c r="J21" s="62">
        <v>2.1327643911374628E-3</v>
      </c>
      <c r="K21" s="123">
        <f t="shared" si="3"/>
        <v>0.95311249549385668</v>
      </c>
    </row>
    <row r="22" spans="1:16" x14ac:dyDescent="0.2">
      <c r="A22" s="35" t="s">
        <v>44</v>
      </c>
      <c r="B22" s="42">
        <v>164.1</v>
      </c>
      <c r="C22" s="45">
        <v>2.4650000000000003E-4</v>
      </c>
      <c r="D22" s="60">
        <v>0.78764594840759139</v>
      </c>
      <c r="E22" s="39">
        <f t="shared" si="2"/>
        <v>0.99968704212787685</v>
      </c>
      <c r="G22" s="35" t="s">
        <v>44</v>
      </c>
      <c r="H22" s="36">
        <v>164.1</v>
      </c>
      <c r="I22" s="45">
        <v>6.2349999999999984E-5</v>
      </c>
      <c r="J22" s="62">
        <v>1.730595422243085E-3</v>
      </c>
      <c r="K22" s="123">
        <f t="shared" si="3"/>
        <v>0.96397193752010157</v>
      </c>
    </row>
    <row r="23" spans="1:16" x14ac:dyDescent="0.2">
      <c r="A23" s="35" t="s">
        <v>40</v>
      </c>
      <c r="B23" s="42">
        <v>190.2</v>
      </c>
      <c r="C23" s="45">
        <v>3.0420000000000002E-4</v>
      </c>
      <c r="D23" s="60">
        <v>0.6324080167818551</v>
      </c>
      <c r="E23" s="39">
        <f t="shared" si="2"/>
        <v>0.99951898142982443</v>
      </c>
      <c r="G23" s="35" t="s">
        <v>40</v>
      </c>
      <c r="H23" s="36">
        <v>190.2</v>
      </c>
      <c r="I23" s="45">
        <v>6.5402999999999997E-5</v>
      </c>
      <c r="J23" s="62">
        <v>9.9952041326728308E-4</v>
      </c>
      <c r="K23" s="123">
        <f t="shared" si="3"/>
        <v>0.93456561853878761</v>
      </c>
    </row>
    <row r="27" spans="1:16" ht="18.75" x14ac:dyDescent="0.3">
      <c r="A27" s="44"/>
      <c r="B27" s="44"/>
      <c r="C27" s="44"/>
      <c r="D27" s="128" t="s">
        <v>9</v>
      </c>
      <c r="E27" s="128"/>
      <c r="J27" s="128" t="s">
        <v>5</v>
      </c>
      <c r="K27" s="128"/>
    </row>
    <row r="28" spans="1:16" ht="38.25" x14ac:dyDescent="0.2">
      <c r="A28" s="35" t="s">
        <v>25</v>
      </c>
      <c r="B28" s="65" t="s">
        <v>131</v>
      </c>
      <c r="C28" s="65" t="s">
        <v>132</v>
      </c>
      <c r="D28" s="65" t="s">
        <v>133</v>
      </c>
      <c r="E28" s="65" t="s">
        <v>214</v>
      </c>
      <c r="G28" s="65" t="s">
        <v>25</v>
      </c>
      <c r="H28" s="65" t="s">
        <v>131</v>
      </c>
      <c r="I28" s="65" t="s">
        <v>132</v>
      </c>
      <c r="J28" s="65" t="s">
        <v>133</v>
      </c>
      <c r="K28" s="65" t="s">
        <v>214</v>
      </c>
      <c r="N28" s="11" t="s">
        <v>134</v>
      </c>
      <c r="O28" t="s">
        <v>4</v>
      </c>
    </row>
    <row r="29" spans="1:16" x14ac:dyDescent="0.2">
      <c r="A29" s="35" t="s">
        <v>12</v>
      </c>
      <c r="B29" s="42">
        <v>12.5</v>
      </c>
      <c r="C29" s="45">
        <v>0.56319519485756309</v>
      </c>
      <c r="D29" s="60">
        <v>0.97428000000000003</v>
      </c>
      <c r="E29" s="40">
        <f t="shared" ref="E29:E34" si="4">(D29-C29)/D29</f>
        <v>0.42193702543666806</v>
      </c>
      <c r="G29" s="35" t="s">
        <v>12</v>
      </c>
      <c r="H29" s="36">
        <v>12.5</v>
      </c>
      <c r="I29" s="45">
        <v>0.29697999999999997</v>
      </c>
      <c r="J29" s="60">
        <v>29.0519</v>
      </c>
      <c r="K29" s="40">
        <f>(J29-I29)/J29</f>
        <v>0.98977760490708</v>
      </c>
      <c r="N29" s="2">
        <v>0.01</v>
      </c>
      <c r="O29" s="67">
        <v>2.9</v>
      </c>
    </row>
    <row r="30" spans="1:16" x14ac:dyDescent="0.2">
      <c r="A30" s="35" t="s">
        <v>41</v>
      </c>
      <c r="B30" s="42">
        <v>16.399999999999999</v>
      </c>
      <c r="C30" s="45">
        <v>9.8000000000000004E-2</v>
      </c>
      <c r="D30" s="60">
        <v>0.29507580997786642</v>
      </c>
      <c r="E30" s="40">
        <f t="shared" si="4"/>
        <v>0.66788195885202872</v>
      </c>
      <c r="G30" s="35" t="s">
        <v>41</v>
      </c>
      <c r="H30" s="36">
        <v>16.399999999999999</v>
      </c>
      <c r="I30" s="45">
        <v>3.7999999999999999E-2</v>
      </c>
      <c r="J30" s="60">
        <v>8.4750069559041723</v>
      </c>
      <c r="K30" s="40">
        <f t="shared" ref="K30:K35" si="5">(J30-I30)/J30</f>
        <v>0.99551622786887184</v>
      </c>
      <c r="N30" s="2">
        <v>12.6</v>
      </c>
      <c r="O30" s="67">
        <v>3.25</v>
      </c>
      <c r="P30" s="32" t="s">
        <v>140</v>
      </c>
    </row>
    <row r="31" spans="1:16" x14ac:dyDescent="0.2">
      <c r="A31" s="35" t="s">
        <v>1</v>
      </c>
      <c r="B31" s="42">
        <v>63.8</v>
      </c>
      <c r="C31" s="45">
        <v>6.3062999999999991E-3</v>
      </c>
      <c r="D31" s="60">
        <v>2.7077288743316278E-2</v>
      </c>
      <c r="E31" s="40">
        <f t="shared" si="4"/>
        <v>0.7671000202501207</v>
      </c>
      <c r="G31" s="35" t="s">
        <v>1</v>
      </c>
      <c r="H31" s="36">
        <v>63.8</v>
      </c>
      <c r="I31" s="45">
        <v>5.8500000000000002E-4</v>
      </c>
      <c r="J31" s="60">
        <v>0.33815170868862382</v>
      </c>
      <c r="K31" s="40">
        <f t="shared" si="5"/>
        <v>0.99827000726310489</v>
      </c>
      <c r="M31" s="73"/>
      <c r="N31" s="67">
        <v>64</v>
      </c>
      <c r="O31" s="67">
        <v>6.41</v>
      </c>
      <c r="P31" s="32" t="s">
        <v>140</v>
      </c>
    </row>
    <row r="32" spans="1:16" x14ac:dyDescent="0.2">
      <c r="A32" s="35" t="s">
        <v>42</v>
      </c>
      <c r="B32" s="42">
        <v>94.2</v>
      </c>
      <c r="C32" s="45">
        <v>1.0500000000000002E-3</v>
      </c>
      <c r="D32" s="60">
        <v>5.5867482276246603E-3</v>
      </c>
      <c r="E32" s="40">
        <f t="shared" si="4"/>
        <v>0.81205524981274624</v>
      </c>
      <c r="G32" s="35" t="s">
        <v>42</v>
      </c>
      <c r="H32" s="36">
        <v>94.2</v>
      </c>
      <c r="I32" s="45">
        <v>1.0500000000000002E-3</v>
      </c>
      <c r="J32" s="60">
        <v>0.137320553633727</v>
      </c>
      <c r="K32" s="40">
        <f t="shared" si="5"/>
        <v>0.99235365739348358</v>
      </c>
      <c r="N32" s="2">
        <v>96</v>
      </c>
      <c r="O32" s="67">
        <v>6.78</v>
      </c>
      <c r="P32" s="35"/>
    </row>
    <row r="33" spans="1:15" x14ac:dyDescent="0.2">
      <c r="A33" s="35" t="s">
        <v>43</v>
      </c>
      <c r="B33" s="42">
        <v>132</v>
      </c>
      <c r="C33" s="45">
        <v>0</v>
      </c>
      <c r="D33" s="60">
        <v>3.4000862476662778E-3</v>
      </c>
      <c r="E33" s="40">
        <f t="shared" si="4"/>
        <v>1</v>
      </c>
      <c r="G33" s="35" t="s">
        <v>43</v>
      </c>
      <c r="H33" s="36">
        <v>132</v>
      </c>
      <c r="I33" s="45">
        <v>4.0000000000000002E-4</v>
      </c>
      <c r="J33" s="60">
        <v>6.1351901760391292E-2</v>
      </c>
      <c r="K33" s="40">
        <f t="shared" si="5"/>
        <v>0.99348023470303837</v>
      </c>
      <c r="N33" s="28">
        <v>104</v>
      </c>
      <c r="O33" s="68">
        <v>7.42</v>
      </c>
    </row>
    <row r="34" spans="1:15" x14ac:dyDescent="0.2">
      <c r="A34" s="35" t="s">
        <v>44</v>
      </c>
      <c r="B34" s="42">
        <v>164.1</v>
      </c>
      <c r="C34" s="45">
        <v>1.7399999999999998E-3</v>
      </c>
      <c r="D34" s="60">
        <v>6.2920866747288751E-2</v>
      </c>
      <c r="E34" s="40">
        <f t="shared" si="4"/>
        <v>0.97234621692373657</v>
      </c>
      <c r="G34" s="35" t="s">
        <v>44</v>
      </c>
      <c r="H34" s="36">
        <v>164.1</v>
      </c>
      <c r="I34" s="45">
        <v>8.4099999999999995E-4</v>
      </c>
      <c r="J34" s="60">
        <v>3.7291172982166991E-2</v>
      </c>
      <c r="K34" s="40">
        <f t="shared" si="5"/>
        <v>0.97744774613546814</v>
      </c>
      <c r="N34" s="28">
        <v>109</v>
      </c>
      <c r="O34" s="68">
        <v>7.38</v>
      </c>
    </row>
    <row r="35" spans="1:15" x14ac:dyDescent="0.2">
      <c r="A35" s="35" t="s">
        <v>40</v>
      </c>
      <c r="B35" s="42">
        <v>190.2</v>
      </c>
      <c r="C35" s="45">
        <v>2.8641600000000001E-3</v>
      </c>
      <c r="D35" s="60">
        <v>2.0698296786693065E-3</v>
      </c>
      <c r="E35" s="40">
        <v>0</v>
      </c>
      <c r="G35" s="35" t="s">
        <v>40</v>
      </c>
      <c r="H35" s="36">
        <v>190.2</v>
      </c>
      <c r="I35" s="45">
        <v>1.2093120000000001E-3</v>
      </c>
      <c r="J35" s="60">
        <v>2.5907287590640746E-2</v>
      </c>
      <c r="K35" s="40">
        <f t="shared" si="5"/>
        <v>0.95332155109758088</v>
      </c>
      <c r="N35" s="28">
        <v>132</v>
      </c>
      <c r="O35" s="68">
        <v>7.92</v>
      </c>
    </row>
    <row r="36" spans="1:15" x14ac:dyDescent="0.2">
      <c r="N36" s="28">
        <v>164</v>
      </c>
      <c r="O36" s="68">
        <v>7.91</v>
      </c>
    </row>
    <row r="37" spans="1:15" x14ac:dyDescent="0.2">
      <c r="B37" s="32" t="s">
        <v>45</v>
      </c>
      <c r="N37" s="2">
        <v>189.4</v>
      </c>
      <c r="O37" s="67">
        <v>8.11</v>
      </c>
    </row>
    <row r="41" spans="1:15" ht="18.75" x14ac:dyDescent="0.3">
      <c r="A41" s="44"/>
      <c r="B41" s="44"/>
      <c r="C41" s="44"/>
      <c r="D41" s="128" t="s">
        <v>129</v>
      </c>
      <c r="E41" s="128"/>
      <c r="J41" s="128" t="s">
        <v>130</v>
      </c>
      <c r="K41" s="128"/>
    </row>
    <row r="42" spans="1:15" ht="38.25" x14ac:dyDescent="0.2">
      <c r="A42" s="35" t="s">
        <v>25</v>
      </c>
      <c r="B42" s="65" t="s">
        <v>131</v>
      </c>
      <c r="C42" s="65" t="s">
        <v>132</v>
      </c>
      <c r="D42" s="65" t="s">
        <v>133</v>
      </c>
      <c r="E42" s="65" t="s">
        <v>214</v>
      </c>
      <c r="G42" s="65" t="s">
        <v>25</v>
      </c>
      <c r="H42" s="65" t="s">
        <v>131</v>
      </c>
      <c r="I42" s="65" t="s">
        <v>132</v>
      </c>
      <c r="J42" s="65" t="s">
        <v>133</v>
      </c>
      <c r="K42" s="65" t="s">
        <v>214</v>
      </c>
    </row>
    <row r="43" spans="1:15" x14ac:dyDescent="0.2">
      <c r="A43" s="35" t="s">
        <v>12</v>
      </c>
      <c r="B43" s="42">
        <v>12.5</v>
      </c>
      <c r="C43" s="45">
        <v>596.17487192152737</v>
      </c>
      <c r="D43" s="60">
        <v>3335.85</v>
      </c>
      <c r="E43" s="43">
        <f>(D43-C43)/D43</f>
        <v>0.82128247015857203</v>
      </c>
      <c r="G43" s="35" t="s">
        <v>12</v>
      </c>
      <c r="H43" s="36">
        <v>12.5</v>
      </c>
      <c r="I43" s="45">
        <v>297.44950780935892</v>
      </c>
      <c r="J43" s="60">
        <v>35052.9</v>
      </c>
      <c r="K43" s="40">
        <f>(J43-I43)/J43</f>
        <v>0.99151426821149291</v>
      </c>
    </row>
    <row r="44" spans="1:15" x14ac:dyDescent="0.2">
      <c r="A44" s="35" t="s">
        <v>41</v>
      </c>
      <c r="B44" s="42">
        <v>16.399999999999999</v>
      </c>
      <c r="C44" s="45">
        <v>127.84</v>
      </c>
      <c r="D44" s="60">
        <v>967.97732943893686</v>
      </c>
      <c r="E44" s="43">
        <f t="shared" ref="E44:E49" si="6">(D44-C44)/D44</f>
        <v>0.86793079123650629</v>
      </c>
      <c r="G44" s="35" t="s">
        <v>41</v>
      </c>
      <c r="H44" s="36">
        <v>16.399999999999999</v>
      </c>
      <c r="I44" s="45">
        <v>88.34</v>
      </c>
      <c r="J44" s="60">
        <v>10218.851110094027</v>
      </c>
      <c r="K44" s="40">
        <f t="shared" ref="K44:K49" si="7">(J44-I44)/J44</f>
        <v>0.99135519257025484</v>
      </c>
    </row>
    <row r="45" spans="1:15" x14ac:dyDescent="0.2">
      <c r="A45" s="35" t="s">
        <v>1</v>
      </c>
      <c r="B45" s="42">
        <v>63.8</v>
      </c>
      <c r="C45" s="45">
        <v>1.05768</v>
      </c>
      <c r="D45" s="60">
        <v>61.110095205269289</v>
      </c>
      <c r="E45" s="43">
        <f t="shared" si="6"/>
        <v>0.98269222136788947</v>
      </c>
      <c r="G45" s="35" t="s">
        <v>1</v>
      </c>
      <c r="H45" s="36">
        <v>63.8</v>
      </c>
      <c r="I45" s="45">
        <v>0.22112999999999999</v>
      </c>
      <c r="J45" s="60">
        <v>442.44688926355286</v>
      </c>
      <c r="K45" s="40">
        <f t="shared" si="7"/>
        <v>0.99950021119965815</v>
      </c>
    </row>
    <row r="46" spans="1:15" x14ac:dyDescent="0.2">
      <c r="A46" s="35" t="s">
        <v>42</v>
      </c>
      <c r="B46" s="42">
        <v>94.2</v>
      </c>
      <c r="C46" s="45">
        <v>9.9750000000000005E-2</v>
      </c>
      <c r="D46" s="60">
        <v>28.215265492860578</v>
      </c>
      <c r="E46" s="43">
        <f t="shared" si="6"/>
        <v>0.99646467973072095</v>
      </c>
      <c r="G46" s="35" t="s">
        <v>42</v>
      </c>
      <c r="H46" s="36">
        <v>94.2</v>
      </c>
      <c r="I46" s="45">
        <v>3.1E-2</v>
      </c>
      <c r="J46" s="60">
        <v>181.99551627716127</v>
      </c>
      <c r="K46" s="40">
        <f t="shared" si="7"/>
        <v>0.99982966613335245</v>
      </c>
    </row>
    <row r="47" spans="1:15" x14ac:dyDescent="0.2">
      <c r="A47" s="35" t="s">
        <v>43</v>
      </c>
      <c r="B47" s="42">
        <v>132</v>
      </c>
      <c r="C47" s="45">
        <v>0.04</v>
      </c>
      <c r="D47" s="60">
        <v>15.800400797978588</v>
      </c>
      <c r="E47" s="43">
        <f t="shared" si="6"/>
        <v>0.99746841864890434</v>
      </c>
      <c r="G47" s="35" t="s">
        <v>43</v>
      </c>
      <c r="H47" s="36">
        <v>132</v>
      </c>
      <c r="I47" s="45">
        <v>0.45</v>
      </c>
      <c r="J47" s="60">
        <v>83.826412342193322</v>
      </c>
      <c r="K47" s="40">
        <f t="shared" si="7"/>
        <v>0.9946317635763412</v>
      </c>
    </row>
    <row r="48" spans="1:15" x14ac:dyDescent="0.2">
      <c r="A48" s="35" t="s">
        <v>44</v>
      </c>
      <c r="B48" s="42">
        <v>164.1</v>
      </c>
      <c r="C48" s="45">
        <v>3.4799999999999998E-2</v>
      </c>
      <c r="D48" s="60">
        <v>9.2255777542743651</v>
      </c>
      <c r="E48" s="43">
        <f t="shared" si="6"/>
        <v>0.9962278785213341</v>
      </c>
      <c r="G48" s="35" t="s">
        <v>44</v>
      </c>
      <c r="H48" s="36">
        <v>164.1</v>
      </c>
      <c r="I48" s="45">
        <v>2.4650000000000002E-2</v>
      </c>
      <c r="J48" s="60">
        <v>51.599269037493904</v>
      </c>
      <c r="K48" s="40">
        <f t="shared" si="7"/>
        <v>0.99952228005435328</v>
      </c>
    </row>
    <row r="49" spans="1:11" x14ac:dyDescent="0.2">
      <c r="A49" s="35" t="s">
        <v>40</v>
      </c>
      <c r="B49" s="42">
        <v>190.2</v>
      </c>
      <c r="C49" s="45">
        <v>3.8188800000000002E-2</v>
      </c>
      <c r="D49" s="60">
        <v>6.7505796218015774</v>
      </c>
      <c r="E49" s="43">
        <f t="shared" si="6"/>
        <v>0.99434288577581309</v>
      </c>
      <c r="G49" s="35" t="s">
        <v>40</v>
      </c>
      <c r="H49" s="36">
        <v>190.2</v>
      </c>
      <c r="I49" s="45">
        <v>2.7050400000000002E-2</v>
      </c>
      <c r="J49" s="60">
        <v>36.180280207209513</v>
      </c>
      <c r="K49" s="40">
        <f t="shared" si="7"/>
        <v>0.99925234409891028</v>
      </c>
    </row>
  </sheetData>
  <sheetProtection algorithmName="SHA-512" hashValue="bLTlh8Gnb4T7jgjxRQAamyTcKnrirw/2QPk9fMGEEmUlB1nSNk9CNFpd67d97UqDFsWo04DV+E6IgPJnN9lkqA==" saltValue="v3LrgBVIwm35g+49MG69UQ==" spinCount="100000" sheet="1" scenarios="1"/>
  <mergeCells count="8">
    <mergeCell ref="D41:E41"/>
    <mergeCell ref="J41:K41"/>
    <mergeCell ref="D3:E3"/>
    <mergeCell ref="I3:J3"/>
    <mergeCell ref="D15:E15"/>
    <mergeCell ref="J15:K15"/>
    <mergeCell ref="D27:E27"/>
    <mergeCell ref="J27:K27"/>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workbookViewId="0">
      <selection activeCell="J26" sqref="J26"/>
    </sheetView>
  </sheetViews>
  <sheetFormatPr defaultRowHeight="12.75" x14ac:dyDescent="0.2"/>
  <cols>
    <col min="1" max="1" width="28.28515625" customWidth="1"/>
    <col min="9" max="9" width="9.42578125" customWidth="1"/>
    <col min="10" max="10" width="24" customWidth="1"/>
  </cols>
  <sheetData>
    <row r="1" spans="1:17" ht="18.75" x14ac:dyDescent="0.3">
      <c r="A1" s="18" t="s">
        <v>138</v>
      </c>
    </row>
    <row r="2" spans="1:17" x14ac:dyDescent="0.2">
      <c r="A2" t="s">
        <v>139</v>
      </c>
      <c r="G2" s="84"/>
      <c r="H2" s="84"/>
      <c r="I2" s="84"/>
    </row>
    <row r="3" spans="1:17" x14ac:dyDescent="0.2">
      <c r="B3" s="55"/>
      <c r="C3" s="55"/>
      <c r="D3" s="55"/>
      <c r="E3" s="55"/>
      <c r="F3" s="55"/>
      <c r="G3" s="55"/>
      <c r="H3" s="55"/>
      <c r="I3" s="55"/>
      <c r="J3" s="55"/>
      <c r="K3" s="55"/>
      <c r="L3" s="55"/>
      <c r="M3" s="55"/>
      <c r="N3" s="55"/>
      <c r="O3" s="55"/>
      <c r="P3" s="55"/>
      <c r="Q3" s="55"/>
    </row>
    <row r="4" spans="1:17" ht="15" x14ac:dyDescent="0.25">
      <c r="A4" s="55"/>
      <c r="B4" s="55"/>
      <c r="C4" s="55"/>
      <c r="D4" s="70" t="s">
        <v>136</v>
      </c>
      <c r="E4" s="55"/>
      <c r="F4" s="55"/>
      <c r="G4" s="55"/>
      <c r="H4" s="55"/>
      <c r="I4" s="55"/>
      <c r="J4" s="55"/>
      <c r="K4" s="55"/>
      <c r="L4" s="70" t="s">
        <v>120</v>
      </c>
      <c r="M4" s="55"/>
      <c r="N4" s="55"/>
      <c r="O4" s="55"/>
      <c r="P4" s="55"/>
      <c r="Q4" s="55"/>
    </row>
    <row r="5" spans="1:17" x14ac:dyDescent="0.2">
      <c r="A5" s="72" t="s">
        <v>25</v>
      </c>
      <c r="B5" s="56" t="s">
        <v>5</v>
      </c>
      <c r="C5" s="56" t="s">
        <v>10</v>
      </c>
      <c r="D5" s="56" t="s">
        <v>7</v>
      </c>
      <c r="E5" s="56" t="s">
        <v>6</v>
      </c>
      <c r="F5" s="56" t="s">
        <v>9</v>
      </c>
      <c r="G5" s="56" t="s">
        <v>8</v>
      </c>
      <c r="H5" s="86" t="s">
        <v>148</v>
      </c>
      <c r="I5" s="86" t="s">
        <v>149</v>
      </c>
      <c r="J5" s="72" t="s">
        <v>25</v>
      </c>
      <c r="K5" s="56" t="s">
        <v>5</v>
      </c>
      <c r="L5" s="56" t="s">
        <v>10</v>
      </c>
      <c r="M5" s="56" t="s">
        <v>7</v>
      </c>
      <c r="N5" s="56" t="s">
        <v>6</v>
      </c>
      <c r="O5" s="56" t="s">
        <v>9</v>
      </c>
      <c r="P5" s="56" t="s">
        <v>8</v>
      </c>
      <c r="Q5" s="55"/>
    </row>
    <row r="6" spans="1:17" x14ac:dyDescent="0.2">
      <c r="A6" s="57" t="s">
        <v>121</v>
      </c>
      <c r="B6" s="87">
        <v>2.9188365679501951</v>
      </c>
      <c r="C6" s="88">
        <v>7.0284385413944337</v>
      </c>
      <c r="D6" s="87">
        <v>731.04181185009747</v>
      </c>
      <c r="E6" s="87">
        <v>11.211923393784065</v>
      </c>
      <c r="F6" s="87">
        <v>6.2933147704500616</v>
      </c>
      <c r="G6" s="87">
        <v>1904.2461211753089</v>
      </c>
      <c r="H6" s="85">
        <v>6376</v>
      </c>
      <c r="I6" s="85">
        <v>3750</v>
      </c>
      <c r="J6" s="57" t="s">
        <v>121</v>
      </c>
      <c r="K6" s="69">
        <f t="shared" ref="K6:P12" si="0">B6/B17</f>
        <v>8.1449484169665611E-3</v>
      </c>
      <c r="L6" s="69">
        <f t="shared" si="0"/>
        <v>0.91414198857369056</v>
      </c>
      <c r="M6" s="69">
        <f t="shared" si="0"/>
        <v>0.45265435028384232</v>
      </c>
      <c r="N6" s="69">
        <f t="shared" si="0"/>
        <v>1.4640217055146708E-3</v>
      </c>
      <c r="O6" s="69">
        <f t="shared" si="0"/>
        <v>0.50482943348901388</v>
      </c>
      <c r="P6" s="69">
        <f t="shared" si="0"/>
        <v>0.92468675778685472</v>
      </c>
      <c r="Q6" s="55"/>
    </row>
    <row r="7" spans="1:17" x14ac:dyDescent="0.2">
      <c r="A7" s="58" t="s">
        <v>122</v>
      </c>
      <c r="B7" s="87">
        <v>2.27</v>
      </c>
      <c r="C7" s="89">
        <v>10.45</v>
      </c>
      <c r="D7" s="87">
        <v>1163</v>
      </c>
      <c r="E7" s="87">
        <v>16.71</v>
      </c>
      <c r="F7" s="87">
        <v>7.46</v>
      </c>
      <c r="G7" s="87">
        <v>2729</v>
      </c>
      <c r="H7" s="85">
        <v>8033</v>
      </c>
      <c r="I7" s="85">
        <v>2796</v>
      </c>
      <c r="J7" s="58" t="s">
        <v>122</v>
      </c>
      <c r="K7" s="69">
        <f t="shared" si="0"/>
        <v>6.6961651917404131E-3</v>
      </c>
      <c r="L7" s="69">
        <f t="shared" si="0"/>
        <v>1.0999999999999999</v>
      </c>
      <c r="M7" s="69">
        <f t="shared" si="0"/>
        <v>0.76462853385930307</v>
      </c>
      <c r="N7" s="69">
        <f t="shared" si="0"/>
        <v>2.1914754098360657E-3</v>
      </c>
      <c r="O7" s="69">
        <f t="shared" si="0"/>
        <v>0.77708333333333335</v>
      </c>
      <c r="P7" s="69">
        <f t="shared" si="0"/>
        <v>1.214508233199822</v>
      </c>
      <c r="Q7" s="55"/>
    </row>
    <row r="8" spans="1:17" x14ac:dyDescent="0.2">
      <c r="A8" s="58" t="s">
        <v>123</v>
      </c>
      <c r="B8" s="87">
        <v>0.22</v>
      </c>
      <c r="C8" s="89">
        <v>1.94</v>
      </c>
      <c r="D8" s="87">
        <v>44.6</v>
      </c>
      <c r="E8" s="87">
        <v>0.54</v>
      </c>
      <c r="F8" s="87">
        <v>2.4300000000000002</v>
      </c>
      <c r="G8" s="87">
        <v>658.3</v>
      </c>
      <c r="H8" s="85">
        <v>437</v>
      </c>
      <c r="I8" s="85">
        <v>83</v>
      </c>
      <c r="J8" s="58" t="s">
        <v>123</v>
      </c>
      <c r="K8" s="69">
        <f t="shared" si="0"/>
        <v>2.1032504780114725E-3</v>
      </c>
      <c r="L8" s="69">
        <f t="shared" si="0"/>
        <v>0.64238410596026485</v>
      </c>
      <c r="M8" s="69">
        <f t="shared" si="0"/>
        <v>9.6286701208981001E-2</v>
      </c>
      <c r="N8" s="69">
        <f t="shared" si="0"/>
        <v>2.4093160219515458E-4</v>
      </c>
      <c r="O8" s="69">
        <f t="shared" si="0"/>
        <v>0.38207547169811323</v>
      </c>
      <c r="P8" s="69">
        <f t="shared" si="0"/>
        <v>0.27270091135045565</v>
      </c>
      <c r="Q8" s="55"/>
    </row>
    <row r="9" spans="1:17" x14ac:dyDescent="0.2">
      <c r="A9" s="58" t="s">
        <v>124</v>
      </c>
      <c r="B9" s="87">
        <v>0.77</v>
      </c>
      <c r="C9" s="89">
        <v>0.69</v>
      </c>
      <c r="D9" s="87">
        <v>6.88</v>
      </c>
      <c r="E9" s="87">
        <v>1.35</v>
      </c>
      <c r="F9" s="87">
        <v>2.4900000000000002</v>
      </c>
      <c r="G9" s="87">
        <v>120.8</v>
      </c>
      <c r="H9" s="85">
        <v>96.7</v>
      </c>
      <c r="I9" s="85">
        <v>140.80000000000001</v>
      </c>
      <c r="J9" s="58" t="s">
        <v>124</v>
      </c>
      <c r="K9" s="69">
        <f t="shared" si="0"/>
        <v>1.6630669546436286E-2</v>
      </c>
      <c r="L9" s="69">
        <f t="shared" si="0"/>
        <v>0.27272727272727271</v>
      </c>
      <c r="M9" s="69">
        <f t="shared" si="0"/>
        <v>2.7944760357432982E-2</v>
      </c>
      <c r="N9" s="69">
        <f t="shared" si="0"/>
        <v>1.685814185814186E-3</v>
      </c>
      <c r="O9" s="69">
        <f t="shared" si="0"/>
        <v>0.47248576850094887</v>
      </c>
      <c r="P9" s="69">
        <f t="shared" si="0"/>
        <v>0.19661458333333334</v>
      </c>
      <c r="Q9" s="55"/>
    </row>
    <row r="10" spans="1:17" x14ac:dyDescent="0.2">
      <c r="A10" s="58" t="s">
        <v>125</v>
      </c>
      <c r="B10" s="87">
        <v>1.2360529043242772</v>
      </c>
      <c r="C10" s="89">
        <v>0.12030907769938601</v>
      </c>
      <c r="D10" s="87">
        <v>7.6688862046065305</v>
      </c>
      <c r="E10" s="87">
        <v>3.6908335173747595</v>
      </c>
      <c r="F10" s="87">
        <v>2.8846764136207232</v>
      </c>
      <c r="G10" s="87">
        <v>35.807757709678107</v>
      </c>
      <c r="H10" s="85">
        <v>90</v>
      </c>
      <c r="I10" s="85">
        <v>507</v>
      </c>
      <c r="J10" s="58" t="s">
        <v>125</v>
      </c>
      <c r="K10" s="69">
        <f t="shared" si="0"/>
        <v>2.8612335748247154E-2</v>
      </c>
      <c r="L10" s="69">
        <f t="shared" si="0"/>
        <v>6.7485776954542595E-2</v>
      </c>
      <c r="M10" s="69">
        <f t="shared" si="0"/>
        <v>4.1075983956114254E-2</v>
      </c>
      <c r="N10" s="69">
        <f t="shared" si="0"/>
        <v>4.1671373121539568E-3</v>
      </c>
      <c r="O10" s="69">
        <f t="shared" si="0"/>
        <v>0.52448662065831331</v>
      </c>
      <c r="P10" s="69">
        <f t="shared" si="0"/>
        <v>6.2047752052812523E-2</v>
      </c>
      <c r="Q10" s="55"/>
    </row>
    <row r="11" spans="1:17" x14ac:dyDescent="0.2">
      <c r="A11" s="58" t="s">
        <v>126</v>
      </c>
      <c r="B11" s="87">
        <v>2.2985100570008576</v>
      </c>
      <c r="C11" s="89">
        <v>0.19419362498719295</v>
      </c>
      <c r="D11" s="87">
        <v>7.216812836058887</v>
      </c>
      <c r="E11" s="87">
        <v>0.81657975956242246</v>
      </c>
      <c r="F11" s="87">
        <v>5.1386009490255224</v>
      </c>
      <c r="G11" s="87">
        <v>39.905379110307223</v>
      </c>
      <c r="H11" s="85">
        <v>119</v>
      </c>
      <c r="I11" s="85">
        <v>76.599999999999994</v>
      </c>
      <c r="J11" s="58" t="s">
        <v>126</v>
      </c>
      <c r="K11" s="69">
        <f t="shared" si="0"/>
        <v>7.6873246053540387E-2</v>
      </c>
      <c r="L11" s="69">
        <f t="shared" si="0"/>
        <v>0.11423154411011351</v>
      </c>
      <c r="M11" s="69">
        <f t="shared" si="0"/>
        <v>5.5386130744887845E-2</v>
      </c>
      <c r="N11" s="69">
        <f t="shared" si="0"/>
        <v>1.3113533957964066E-3</v>
      </c>
      <c r="O11" s="69">
        <f t="shared" si="0"/>
        <v>0.17418986267883127</v>
      </c>
      <c r="P11" s="69">
        <f t="shared" si="0"/>
        <v>7.6963122681402554E-2</v>
      </c>
      <c r="Q11" s="55"/>
    </row>
    <row r="12" spans="1:17" x14ac:dyDescent="0.2">
      <c r="A12" s="58" t="s">
        <v>127</v>
      </c>
      <c r="B12" s="87">
        <v>1.8848169905550656</v>
      </c>
      <c r="C12" s="89">
        <v>0.18709946120083773</v>
      </c>
      <c r="D12" s="87">
        <v>11.083658240788901</v>
      </c>
      <c r="E12" s="87">
        <v>1.3132273498598992</v>
      </c>
      <c r="F12" s="87">
        <v>6.6512687518127818</v>
      </c>
      <c r="G12" s="87">
        <v>146.21227009431138</v>
      </c>
      <c r="H12" s="85">
        <v>132.6</v>
      </c>
      <c r="I12" s="85">
        <v>93.5</v>
      </c>
      <c r="J12" s="58" t="s">
        <v>127</v>
      </c>
      <c r="K12" s="69">
        <f t="shared" si="0"/>
        <v>6.3676249680914371E-2</v>
      </c>
      <c r="L12" s="69">
        <f t="shared" si="0"/>
        <v>0.13364247228631268</v>
      </c>
      <c r="M12" s="69">
        <f t="shared" si="0"/>
        <v>8.2162032919117126E-2</v>
      </c>
      <c r="N12" s="69">
        <f t="shared" si="0"/>
        <v>2.2902465117891511E-3</v>
      </c>
      <c r="O12" s="69">
        <f t="shared" si="0"/>
        <v>0.87516694102799764</v>
      </c>
      <c r="P12" s="69">
        <f t="shared" si="0"/>
        <v>0.27288590909725902</v>
      </c>
      <c r="Q12" s="55"/>
    </row>
    <row r="13" spans="1:17" x14ac:dyDescent="0.2">
      <c r="A13" s="55" t="s">
        <v>211</v>
      </c>
      <c r="B13" s="69"/>
      <c r="C13" s="69"/>
      <c r="D13" s="69"/>
      <c r="E13" s="69"/>
      <c r="F13" s="69"/>
      <c r="G13" s="69"/>
      <c r="H13" s="85"/>
      <c r="I13" s="85"/>
      <c r="J13" s="55"/>
      <c r="K13" s="55"/>
      <c r="L13" s="55"/>
      <c r="M13" s="55"/>
      <c r="N13" s="55"/>
      <c r="O13" s="55"/>
      <c r="P13" s="55"/>
      <c r="Q13" s="55"/>
    </row>
    <row r="14" spans="1:17" x14ac:dyDescent="0.2">
      <c r="A14" s="55"/>
      <c r="B14" s="69"/>
      <c r="C14" s="69"/>
      <c r="D14" s="69"/>
      <c r="E14" s="69"/>
      <c r="F14" s="69"/>
      <c r="G14" s="69"/>
      <c r="H14" s="85"/>
      <c r="I14" s="85"/>
      <c r="J14" s="55"/>
      <c r="K14" s="55"/>
      <c r="L14" s="55"/>
      <c r="M14" s="55"/>
      <c r="N14" s="55"/>
      <c r="O14" s="55"/>
      <c r="P14" s="55"/>
      <c r="Q14" s="55"/>
    </row>
    <row r="15" spans="1:17" ht="15" x14ac:dyDescent="0.25">
      <c r="A15" s="55"/>
      <c r="B15" s="69"/>
      <c r="C15" s="69"/>
      <c r="D15" s="71" t="s">
        <v>137</v>
      </c>
      <c r="E15" s="69"/>
      <c r="F15" s="69"/>
      <c r="G15" s="69"/>
      <c r="H15" s="85"/>
      <c r="I15" s="85"/>
      <c r="J15" s="55"/>
      <c r="K15" s="55"/>
      <c r="L15" s="55"/>
      <c r="M15" s="55"/>
      <c r="N15" s="55"/>
      <c r="O15" s="55"/>
      <c r="P15" s="55"/>
      <c r="Q15" s="55"/>
    </row>
    <row r="16" spans="1:17" x14ac:dyDescent="0.2">
      <c r="A16" s="72" t="s">
        <v>25</v>
      </c>
      <c r="B16" s="56" t="s">
        <v>5</v>
      </c>
      <c r="C16" s="56" t="s">
        <v>10</v>
      </c>
      <c r="D16" s="56" t="s">
        <v>7</v>
      </c>
      <c r="E16" s="56" t="s">
        <v>6</v>
      </c>
      <c r="F16" s="56" t="s">
        <v>9</v>
      </c>
      <c r="G16" s="56" t="s">
        <v>8</v>
      </c>
      <c r="H16" s="86" t="s">
        <v>148</v>
      </c>
      <c r="I16" s="86" t="s">
        <v>149</v>
      </c>
      <c r="J16" s="55"/>
      <c r="K16" s="55"/>
      <c r="L16" s="55"/>
      <c r="M16" s="55"/>
      <c r="N16" s="55"/>
      <c r="O16" s="55"/>
      <c r="P16" s="55"/>
      <c r="Q16" s="55"/>
    </row>
    <row r="17" spans="1:17" x14ac:dyDescent="0.2">
      <c r="A17" s="57" t="s">
        <v>121</v>
      </c>
      <c r="B17" s="87">
        <v>358.36157806353094</v>
      </c>
      <c r="C17" s="87">
        <v>7.6885632967813944</v>
      </c>
      <c r="D17" s="87">
        <v>1615.0111257998271</v>
      </c>
      <c r="E17" s="87">
        <v>7658.3040753774621</v>
      </c>
      <c r="F17" s="87">
        <v>12.466219980390697</v>
      </c>
      <c r="G17" s="87">
        <v>2059.3418313169441</v>
      </c>
      <c r="H17" s="85">
        <v>41132</v>
      </c>
      <c r="I17" s="85">
        <v>433086</v>
      </c>
      <c r="J17" s="55"/>
      <c r="K17" s="55"/>
      <c r="L17" s="55"/>
      <c r="M17" s="55"/>
      <c r="N17" s="55"/>
      <c r="O17" s="55"/>
      <c r="P17" s="55"/>
      <c r="Q17" s="55"/>
    </row>
    <row r="18" spans="1:17" x14ac:dyDescent="0.2">
      <c r="A18" s="58" t="s">
        <v>122</v>
      </c>
      <c r="B18" s="87">
        <v>339</v>
      </c>
      <c r="C18" s="87">
        <v>9.5</v>
      </c>
      <c r="D18" s="87">
        <v>1521</v>
      </c>
      <c r="E18" s="87">
        <v>7625</v>
      </c>
      <c r="F18" s="87">
        <v>9.6</v>
      </c>
      <c r="G18" s="87">
        <v>2247</v>
      </c>
      <c r="H18" s="85">
        <v>39407</v>
      </c>
      <c r="I18" s="85">
        <v>401015</v>
      </c>
      <c r="J18" s="55"/>
      <c r="K18" s="55"/>
      <c r="L18" s="55"/>
      <c r="M18" s="55"/>
      <c r="N18" s="55"/>
      <c r="O18" s="55"/>
      <c r="P18" s="55"/>
      <c r="Q18" s="55"/>
    </row>
    <row r="19" spans="1:17" x14ac:dyDescent="0.2">
      <c r="A19" s="58" t="s">
        <v>123</v>
      </c>
      <c r="B19" s="87">
        <v>104.6</v>
      </c>
      <c r="C19" s="87">
        <v>3.02</v>
      </c>
      <c r="D19" s="87">
        <v>463.2</v>
      </c>
      <c r="E19" s="87">
        <v>2241.3000000000002</v>
      </c>
      <c r="F19" s="87">
        <v>6.36</v>
      </c>
      <c r="G19" s="87">
        <v>2414</v>
      </c>
      <c r="H19" s="85">
        <v>15411</v>
      </c>
      <c r="I19" s="85">
        <v>132909</v>
      </c>
      <c r="J19" s="55"/>
      <c r="K19" s="55"/>
      <c r="L19" s="55"/>
      <c r="M19" s="55"/>
      <c r="N19" s="55"/>
      <c r="O19" s="55"/>
      <c r="P19" s="55"/>
      <c r="Q19" s="55"/>
    </row>
    <row r="20" spans="1:17" x14ac:dyDescent="0.2">
      <c r="A20" s="58" t="s">
        <v>124</v>
      </c>
      <c r="B20" s="87">
        <v>46.3</v>
      </c>
      <c r="C20" s="87">
        <v>2.5299999999999998</v>
      </c>
      <c r="D20" s="87">
        <v>246.2</v>
      </c>
      <c r="E20" s="87">
        <v>800.8</v>
      </c>
      <c r="F20" s="87">
        <v>5.27</v>
      </c>
      <c r="G20" s="87">
        <v>614.4</v>
      </c>
      <c r="H20" s="85">
        <v>9962</v>
      </c>
      <c r="I20" s="85">
        <v>66627</v>
      </c>
      <c r="J20" s="55"/>
      <c r="K20" s="55"/>
      <c r="L20" s="55"/>
      <c r="M20" s="55"/>
      <c r="N20" s="55"/>
      <c r="O20" s="55"/>
      <c r="P20" s="55"/>
      <c r="Q20" s="55"/>
    </row>
    <row r="21" spans="1:17" x14ac:dyDescent="0.2">
      <c r="A21" s="58" t="s">
        <v>125</v>
      </c>
      <c r="B21" s="87">
        <v>43.2</v>
      </c>
      <c r="C21" s="87">
        <v>1.7827323493722891</v>
      </c>
      <c r="D21" s="87">
        <v>186.7</v>
      </c>
      <c r="E21" s="87">
        <v>885.7</v>
      </c>
      <c r="F21" s="87">
        <v>5.5</v>
      </c>
      <c r="G21" s="87">
        <v>577.1</v>
      </c>
      <c r="H21" s="85">
        <v>12146</v>
      </c>
      <c r="I21" s="85">
        <v>57957</v>
      </c>
      <c r="J21" s="55"/>
      <c r="K21" s="55"/>
      <c r="L21" s="55"/>
      <c r="M21" s="55"/>
      <c r="N21" s="55"/>
      <c r="O21" s="55"/>
      <c r="P21" s="55"/>
      <c r="Q21" s="55"/>
    </row>
    <row r="22" spans="1:17" x14ac:dyDescent="0.2">
      <c r="A22" s="58" t="s">
        <v>126</v>
      </c>
      <c r="B22" s="87">
        <v>29.9</v>
      </c>
      <c r="C22" s="87">
        <v>1.7</v>
      </c>
      <c r="D22" s="87">
        <v>130.30000000000001</v>
      </c>
      <c r="E22" s="87">
        <v>622.70000000000005</v>
      </c>
      <c r="F22" s="87">
        <v>29.5</v>
      </c>
      <c r="G22" s="87">
        <v>518.5</v>
      </c>
      <c r="H22" s="85">
        <v>8571</v>
      </c>
      <c r="I22" s="85">
        <v>43559</v>
      </c>
      <c r="J22" s="55"/>
      <c r="K22" s="55"/>
      <c r="L22" s="55"/>
      <c r="M22" s="55"/>
      <c r="N22" s="55"/>
      <c r="O22" s="55"/>
      <c r="P22" s="55"/>
      <c r="Q22" s="55"/>
    </row>
    <row r="23" spans="1:17" x14ac:dyDescent="0.2">
      <c r="A23" s="58" t="s">
        <v>127</v>
      </c>
      <c r="B23" s="87">
        <v>29.6</v>
      </c>
      <c r="C23" s="87">
        <v>1.4</v>
      </c>
      <c r="D23" s="87">
        <v>134.9</v>
      </c>
      <c r="E23" s="87">
        <v>573.4</v>
      </c>
      <c r="F23" s="87">
        <v>7.6</v>
      </c>
      <c r="G23" s="87">
        <v>535.79999999999995</v>
      </c>
      <c r="H23" s="85">
        <v>9448</v>
      </c>
      <c r="I23" s="85">
        <v>40826</v>
      </c>
      <c r="J23" s="55"/>
      <c r="K23" s="55"/>
      <c r="L23" s="55"/>
      <c r="M23" s="55"/>
      <c r="N23" s="55"/>
      <c r="O23" s="55"/>
      <c r="P23" s="55"/>
      <c r="Q23" s="55"/>
    </row>
    <row r="24" spans="1:17" x14ac:dyDescent="0.2">
      <c r="A24" s="55"/>
      <c r="B24" s="55"/>
      <c r="C24" s="55"/>
      <c r="D24" s="55"/>
      <c r="E24" s="55"/>
      <c r="F24" s="55"/>
      <c r="G24" s="55"/>
      <c r="H24" s="55"/>
      <c r="I24" s="55"/>
      <c r="J24" s="55"/>
      <c r="K24" s="55"/>
      <c r="L24" s="55"/>
      <c r="M24" s="55"/>
      <c r="N24" s="55"/>
      <c r="O24" s="55"/>
      <c r="P24" s="55"/>
      <c r="Q24" s="55"/>
    </row>
    <row r="25" spans="1:17" x14ac:dyDescent="0.2">
      <c r="A25" s="55"/>
      <c r="B25" s="55"/>
      <c r="C25" s="55"/>
      <c r="D25" s="55"/>
      <c r="E25" s="55"/>
      <c r="F25" s="55"/>
      <c r="G25" s="55"/>
      <c r="Q25" s="55"/>
    </row>
  </sheetData>
  <sheetProtection algorithmName="SHA-512" hashValue="v61cZCyHm7wZxAjPoWb8fK/TbAvh4oYg1JRcS3d/yk0h11wOdglbDoI7XzZGRpgpE/BXOARh4SKygldDDlwhvQ==" saltValue="PMAFCOZ18c0HU34QP8eZtA==" spinCount="100000" sheet="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README</vt:lpstr>
      <vt:lpstr>Total Sorbed Fig 5-9</vt:lpstr>
      <vt:lpstr>pH Measures</vt:lpstr>
      <vt:lpstr>Individual Metals Conc </vt:lpstr>
      <vt:lpstr>MASS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Plume Analysis</cp:keywords>
  <cp:lastModifiedBy>K Sullivan</cp:lastModifiedBy>
  <cp:lastPrinted>2016-06-10T23:15:52Z</cp:lastPrinted>
  <dcterms:created xsi:type="dcterms:W3CDTF">2015-11-06T16:11:06Z</dcterms:created>
  <dcterms:modified xsi:type="dcterms:W3CDTF">2017-07-30T19:57:30Z</dcterms:modified>
  <cp:category>Geochemistry</cp:category>
</cp:coreProperties>
</file>