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4.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charts/chart16.xml" ContentType="application/vnd.openxmlformats-officedocument.drawingml.chart+xml"/>
  <Override PartName="/xl/charts/style15.xml" ContentType="application/vnd.ms-office.chartstyle+xml"/>
  <Override PartName="/xl/charts/colors15.xml" ContentType="application/vnd.ms-office.chartcolorstyle+xml"/>
  <Override PartName="/xl/charts/chart17.xml" ContentType="application/vnd.openxmlformats-officedocument.drawingml.chart+xml"/>
  <Override PartName="/xl/charts/style16.xml" ContentType="application/vnd.ms-office.chartstyle+xml"/>
  <Override PartName="/xl/charts/colors16.xml" ContentType="application/vnd.ms-office.chartcolorstyle+xml"/>
  <Override PartName="/xl/charts/chart18.xml" ContentType="application/vnd.openxmlformats-officedocument.drawingml.chart+xml"/>
  <Override PartName="/xl/charts/style17.xml" ContentType="application/vnd.ms-office.chartstyle+xml"/>
  <Override PartName="/xl/charts/colors17.xml" ContentType="application/vnd.ms-office.chartcolorstyle+xml"/>
  <Override PartName="/xl/charts/chart19.xml" ContentType="application/vnd.openxmlformats-officedocument.drawingml.chart+xml"/>
  <Override PartName="/xl/charts/style18.xml" ContentType="application/vnd.ms-office.chartstyle+xml"/>
  <Override PartName="/xl/charts/colors18.xml" ContentType="application/vnd.ms-office.chartcolorstyle+xml"/>
  <Override PartName="/xl/charts/chart20.xml" ContentType="application/vnd.openxmlformats-officedocument.drawingml.chart+xml"/>
  <Override PartName="/xl/charts/style19.xml" ContentType="application/vnd.ms-office.chartstyle+xml"/>
  <Override PartName="/xl/charts/colors19.xml" ContentType="application/vnd.ms-office.chartcolorstyle+xml"/>
  <Override PartName="/xl/charts/chart21.xml" ContentType="application/vnd.openxmlformats-officedocument.drawingml.chart+xml"/>
  <Override PartName="/xl/charts/style20.xml" ContentType="application/vnd.ms-office.chartstyle+xml"/>
  <Override PartName="/xl/charts/colors20.xml" ContentType="application/vnd.ms-office.chartcolorstyle+xml"/>
  <Override PartName="/xl/charts/chart22.xml" ContentType="application/vnd.openxmlformats-officedocument.drawingml.chart+xml"/>
  <Override PartName="/xl/charts/style21.xml" ContentType="application/vnd.ms-office.chartstyle+xml"/>
  <Override PartName="/xl/charts/colors21.xml" ContentType="application/vnd.ms-office.chartcolorstyle+xml"/>
  <Override PartName="/xl/charts/chart23.xml" ContentType="application/vnd.openxmlformats-officedocument.drawingml.chart+xml"/>
  <Override PartName="/xl/charts/style22.xml" ContentType="application/vnd.ms-office.chartstyle+xml"/>
  <Override PartName="/xl/charts/colors22.xml" ContentType="application/vnd.ms-office.chartcolorstyle+xml"/>
  <Override PartName="/xl/charts/chart24.xml" ContentType="application/vnd.openxmlformats-officedocument.drawingml.chart+xml"/>
  <Override PartName="/xl/charts/style23.xml" ContentType="application/vnd.ms-office.chartstyle+xml"/>
  <Override PartName="/xl/charts/colors23.xml" ContentType="application/vnd.ms-office.chartcolorstyle+xml"/>
  <Override PartName="/xl/charts/chart25.xml" ContentType="application/vnd.openxmlformats-officedocument.drawingml.chart+xml"/>
  <Override PartName="/xl/charts/style24.xml" ContentType="application/vnd.ms-office.chartstyle+xml"/>
  <Override PartName="/xl/charts/colors24.xml" ContentType="application/vnd.ms-office.chartcolorstyle+xml"/>
  <Override PartName="/xl/charts/chart26.xml" ContentType="application/vnd.openxmlformats-officedocument.drawingml.chart+xml"/>
  <Override PartName="/xl/charts/style25.xml" ContentType="application/vnd.ms-office.chartstyle+xml"/>
  <Override PartName="/xl/charts/colors25.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omments3.xml" ContentType="application/vnd.openxmlformats-officedocument.spreadsheetml.comments+xml"/>
  <Override PartName="/xl/charts/chart27.xml" ContentType="application/vnd.openxmlformats-officedocument.drawingml.chart+xml"/>
  <Override PartName="/xl/charts/style26.xml" ContentType="application/vnd.ms-office.chartstyle+xml"/>
  <Override PartName="/xl/charts/colors26.xml" ContentType="application/vnd.ms-office.chartcolorstyle+xml"/>
  <Override PartName="/xl/drawings/drawing7.xml" ContentType="application/vnd.openxmlformats-officedocument.drawing+xml"/>
  <Override PartName="/xl/charts/chart28.xml" ContentType="application/vnd.openxmlformats-officedocument.drawingml.chart+xml"/>
  <Override PartName="/xl/charts/style27.xml" ContentType="application/vnd.ms-office.chartstyle+xml"/>
  <Override PartName="/xl/charts/colors27.xml" ContentType="application/vnd.ms-office.chartcolorstyle+xml"/>
  <Override PartName="/xl/drawings/drawing8.xml" ContentType="application/vnd.openxmlformats-officedocument.drawingml.chartshapes+xml"/>
  <Override PartName="/xl/charts/chart29.xml" ContentType="application/vnd.openxmlformats-officedocument.drawingml.chart+xml"/>
  <Override PartName="/xl/charts/style28.xml" ContentType="application/vnd.ms-office.chartstyle+xml"/>
  <Override PartName="/xl/charts/colors28.xml" ContentType="application/vnd.ms-office.chartcolorstyle+xml"/>
  <Override PartName="/xl/drawings/drawing9.xml" ContentType="application/vnd.openxmlformats-officedocument.drawingml.chartshapes+xml"/>
  <Override PartName="/xl/charts/chart30.xml" ContentType="application/vnd.openxmlformats-officedocument.drawingml.chart+xml"/>
  <Override PartName="/xl/charts/style29.xml" ContentType="application/vnd.ms-office.chartstyle+xml"/>
  <Override PartName="/xl/charts/colors29.xml" ContentType="application/vnd.ms-office.chartcolorstyle+xml"/>
  <Override PartName="/xl/charts/chart31.xml" ContentType="application/vnd.openxmlformats-officedocument.drawingml.chart+xml"/>
  <Override PartName="/xl/drawings/drawing10.xml" ContentType="application/vnd.openxmlformats-officedocument.drawing+xml"/>
  <Override PartName="/xl/charts/chart32.xml" ContentType="application/vnd.openxmlformats-officedocument.drawingml.chart+xml"/>
  <Override PartName="/xl/charts/style30.xml" ContentType="application/vnd.ms-office.chartstyle+xml"/>
  <Override PartName="/xl/charts/colors30.xml" ContentType="application/vnd.ms-office.chartcolorstyle+xml"/>
  <Override PartName="/xl/charts/chart33.xml" ContentType="application/vnd.openxmlformats-officedocument.drawingml.chart+xml"/>
  <Override PartName="/xl/charts/style31.xml" ContentType="application/vnd.ms-office.chartstyle+xml"/>
  <Override PartName="/xl/charts/colors31.xml" ContentType="application/vnd.ms-office.chartcolorstyle+xml"/>
  <Override PartName="/xl/drawings/drawing11.xml" ContentType="application/vnd.openxmlformats-officedocument.drawingml.chartshapes+xml"/>
  <Override PartName="/xl/charts/chart34.xml" ContentType="application/vnd.openxmlformats-officedocument.drawingml.chart+xml"/>
  <Override PartName="/xl/charts/style32.xml" ContentType="application/vnd.ms-office.chartstyle+xml"/>
  <Override PartName="/xl/charts/colors32.xml" ContentType="application/vnd.ms-office.chartcolorstyle+xml"/>
  <Override PartName="/xl/drawings/drawing12.xml" ContentType="application/vnd.openxmlformats-officedocument.drawingml.chartshapes+xml"/>
  <Override PartName="/xl/charts/chart35.xml" ContentType="application/vnd.openxmlformats-officedocument.drawingml.chart+xml"/>
  <Override PartName="/xl/charts/style33.xml" ContentType="application/vnd.ms-office.chartstyle+xml"/>
  <Override PartName="/xl/charts/colors33.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comments4.xml" ContentType="application/vnd.openxmlformats-officedocument.spreadsheetml.comments+xml"/>
  <Override PartName="/xl/charts/chart36.xml" ContentType="application/vnd.openxmlformats-officedocument.drawingml.chart+xml"/>
  <Override PartName="/xl/comments5.xml" ContentType="application/vnd.openxmlformats-officedocument.spreadsheetml.comments+xml"/>
  <Override PartName="/xl/drawings/drawing15.xml" ContentType="application/vnd.openxmlformats-officedocument.drawing+xml"/>
  <Override PartName="/xl/charts/chart37.xml" ContentType="application/vnd.openxmlformats-officedocument.drawingml.chart+xml"/>
  <Override PartName="/xl/charts/style34.xml" ContentType="application/vnd.ms-office.chartstyle+xml"/>
  <Override PartName="/xl/charts/colors34.xml" ContentType="application/vnd.ms-office.chartcolorstyle+xml"/>
  <Override PartName="/xl/drawings/drawing16.xml" ContentType="application/vnd.openxmlformats-officedocument.drawing+xml"/>
  <Override PartName="/xl/comments6.xml" ContentType="application/vnd.openxmlformats-officedocument.spreadsheetml.comments+xml"/>
  <Override PartName="/xl/charts/chart38.xml" ContentType="application/vnd.openxmlformats-officedocument.drawingml.chart+xml"/>
  <Override PartName="/xl/charts/style35.xml" ContentType="application/vnd.ms-office.chartstyle+xml"/>
  <Override PartName="/xl/charts/colors35.xml" ContentType="application/vnd.ms-office.chartcolorstyle+xml"/>
  <Override PartName="/xl/drawings/drawing17.xml" ContentType="application/vnd.openxmlformats-officedocument.drawing+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style36.xml" ContentType="application/vnd.ms-office.chartstyle+xml"/>
  <Override PartName="/xl/charts/colors36.xml" ContentType="application/vnd.ms-office.chartcolorstyle+xml"/>
  <Override PartName="/xl/charts/chart43.xml" ContentType="application/vnd.openxmlformats-officedocument.drawingml.chart+xml"/>
  <Override PartName="/xl/charts/style37.xml" ContentType="application/vnd.ms-office.chartstyle+xml"/>
  <Override PartName="/xl/charts/colors37.xml" ContentType="application/vnd.ms-office.chartcolorstyle+xml"/>
  <Override PartName="/xl/charts/chart44.xml" ContentType="application/vnd.openxmlformats-officedocument.drawingml.chart+xml"/>
  <Override PartName="/xl/charts/style38.xml" ContentType="application/vnd.ms-office.chartstyle+xml"/>
  <Override PartName="/xl/charts/colors3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L:\Priv\AnimasRiver\ARP_DATA\DATA FOR PUBLIC DISTRIBUTION\Supporting Data Files\Report Analytical and Grahics Files\"/>
    </mc:Choice>
  </mc:AlternateContent>
  <bookViews>
    <workbookView xWindow="0" yWindow="0" windowWidth="22650" windowHeight="4695" tabRatio="708"/>
  </bookViews>
  <sheets>
    <sheet name="README" sheetId="49" r:id="rId1"/>
    <sheet name="Table 3-1 Effluent Data" sheetId="45" r:id="rId2"/>
    <sheet name="Table 3-2 GKM Mass to Animas" sheetId="46" r:id="rId3"/>
    <sheet name="Worksheet For Effluent Conc" sheetId="47" r:id="rId4"/>
    <sheet name="Effluent Conc Fig 3-9" sheetId="30" r:id="rId5"/>
    <sheet name="Ratio Diss to Tot Fig 3-10 " sheetId="39" r:id="rId6"/>
    <sheet name="Effluent Conc Fig 3-11" sheetId="35" r:id="rId7"/>
    <sheet name="Worksheet for Effluent Load" sheetId="34" r:id="rId8"/>
    <sheet name="Graphics_Release Load Fig 3-12" sheetId="6" r:id="rId9"/>
    <sheet name="Compare GKM w Cement Fig 3-15 " sheetId="43" r:id="rId10"/>
    <sheet name="Cement Cr 1600 Hr Sample" sheetId="41" r:id="rId11"/>
    <sheet name="Cement Est 1245 Peak" sheetId="42" r:id="rId12"/>
    <sheet name="Fig 3_15 Compare Concentrations" sheetId="40" r:id="rId13"/>
    <sheet name="Fig 3-17 Est Added Dissolved CC" sheetId="48" r:id="rId14"/>
    <sheet name="Mass Delivered Figs 3-19, 3-20" sheetId="18" r:id="rId15"/>
    <sheet name="Cement CR Background Conc" sheetId="10" r:id="rId16"/>
  </sheets>
  <externalReferences>
    <externalReference r:id="rId17"/>
  </externalReferences>
  <definedNames>
    <definedName name="_Toc461477098" localSheetId="4">'Effluent Conc Fig 3-9'!$I$33</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4" i="18" l="1"/>
  <c r="J36" i="18"/>
  <c r="J34" i="18" s="1"/>
  <c r="M47" i="18" s="1"/>
  <c r="J33" i="18"/>
  <c r="M46" i="18" s="1"/>
  <c r="J32" i="18"/>
  <c r="M45" i="18" s="1"/>
  <c r="J31" i="18"/>
  <c r="O6" i="48" l="1"/>
  <c r="O7" i="48"/>
  <c r="O8" i="48"/>
  <c r="O9" i="48"/>
  <c r="O10" i="48"/>
  <c r="O11" i="48"/>
  <c r="O12" i="48"/>
  <c r="O13" i="48"/>
  <c r="O14" i="48"/>
  <c r="O15" i="48"/>
  <c r="O16" i="48"/>
  <c r="O17" i="48"/>
  <c r="O18" i="48"/>
  <c r="O19" i="48"/>
  <c r="O20" i="48"/>
  <c r="O21" i="48"/>
  <c r="O22" i="48"/>
  <c r="O23" i="48"/>
  <c r="O24" i="48"/>
  <c r="O25" i="48"/>
  <c r="O26" i="48"/>
  <c r="O27" i="48"/>
  <c r="O28" i="48"/>
  <c r="O5" i="48"/>
  <c r="J8" i="48"/>
  <c r="J16" i="48"/>
  <c r="J25" i="48"/>
  <c r="D30" i="48"/>
  <c r="E30" i="48"/>
  <c r="D31" i="48"/>
  <c r="E31" i="48"/>
  <c r="C31" i="48"/>
  <c r="C63" i="48" l="1"/>
  <c r="D62" i="48"/>
  <c r="C62" i="48"/>
  <c r="C61" i="48"/>
  <c r="C60" i="48"/>
  <c r="C59" i="48"/>
  <c r="C58" i="48"/>
  <c r="C57" i="48"/>
  <c r="C56" i="48"/>
  <c r="C55" i="48"/>
  <c r="C54" i="48"/>
  <c r="C53" i="48"/>
  <c r="D52" i="48"/>
  <c r="C52" i="48"/>
  <c r="C51" i="48"/>
  <c r="F50" i="48"/>
  <c r="C49" i="48"/>
  <c r="C48" i="48"/>
  <c r="C47" i="48"/>
  <c r="C46" i="48"/>
  <c r="C45" i="48"/>
  <c r="C44" i="48"/>
  <c r="C43" i="48"/>
  <c r="C42" i="48"/>
  <c r="F41" i="48"/>
  <c r="C41" i="48"/>
  <c r="C40" i="48"/>
  <c r="O31" i="48"/>
  <c r="O30" i="48"/>
  <c r="C30" i="48"/>
  <c r="F54" i="48"/>
  <c r="F28" i="48"/>
  <c r="G28" i="48"/>
  <c r="H28" i="48" s="1"/>
  <c r="F48" i="48"/>
  <c r="F27" i="48"/>
  <c r="G27" i="48"/>
  <c r="H27" i="48" s="1"/>
  <c r="F26" i="48"/>
  <c r="G26" i="48"/>
  <c r="H26" i="48" s="1"/>
  <c r="I25" i="48"/>
  <c r="G25" i="48"/>
  <c r="F46" i="48"/>
  <c r="F24" i="48"/>
  <c r="G24" i="48"/>
  <c r="H24" i="48" s="1"/>
  <c r="J24" i="48" s="1"/>
  <c r="F23" i="48"/>
  <c r="G23" i="48"/>
  <c r="H23" i="48" s="1"/>
  <c r="F61" i="48"/>
  <c r="F22" i="48"/>
  <c r="G22" i="48"/>
  <c r="H22" i="48" s="1"/>
  <c r="F55" i="48"/>
  <c r="F21" i="48"/>
  <c r="G21" i="48"/>
  <c r="H21" i="48" s="1"/>
  <c r="F47" i="48"/>
  <c r="F20" i="48"/>
  <c r="G20" i="48"/>
  <c r="H20" i="48" s="1"/>
  <c r="F19" i="48"/>
  <c r="G19" i="48"/>
  <c r="H19" i="48" s="1"/>
  <c r="J19" i="48" s="1"/>
  <c r="F59" i="48"/>
  <c r="F18" i="48"/>
  <c r="G18" i="48"/>
  <c r="H18" i="48" s="1"/>
  <c r="F63" i="48"/>
  <c r="F17" i="48"/>
  <c r="G17" i="48"/>
  <c r="H17" i="48" s="1"/>
  <c r="F52" i="48"/>
  <c r="F16" i="48"/>
  <c r="I16" i="48" s="1"/>
  <c r="G16" i="48"/>
  <c r="F57" i="48"/>
  <c r="F15" i="48"/>
  <c r="G15" i="48"/>
  <c r="H15" i="48" s="1"/>
  <c r="F53" i="48"/>
  <c r="F14" i="48"/>
  <c r="G14" i="48"/>
  <c r="H14" i="48" s="1"/>
  <c r="F43" i="48"/>
  <c r="F13" i="48"/>
  <c r="G13" i="48"/>
  <c r="H13" i="48" s="1"/>
  <c r="F45" i="48"/>
  <c r="F12" i="48"/>
  <c r="G12" i="48"/>
  <c r="H12" i="48" s="1"/>
  <c r="F60" i="48"/>
  <c r="F11" i="48"/>
  <c r="G11" i="48"/>
  <c r="H11" i="48" s="1"/>
  <c r="F56" i="48"/>
  <c r="F10" i="48"/>
  <c r="G10" i="48"/>
  <c r="H10" i="48" s="1"/>
  <c r="F42" i="48"/>
  <c r="F9" i="48"/>
  <c r="G9" i="48"/>
  <c r="H9" i="48" s="1"/>
  <c r="F49" i="48"/>
  <c r="I8" i="48"/>
  <c r="G8" i="48"/>
  <c r="F51" i="48"/>
  <c r="F7" i="48"/>
  <c r="G7" i="48"/>
  <c r="H7" i="48" s="1"/>
  <c r="F6" i="48"/>
  <c r="G6" i="48"/>
  <c r="F58" i="48"/>
  <c r="F5" i="48"/>
  <c r="G5" i="48"/>
  <c r="G31" i="48" l="1"/>
  <c r="G30" i="48"/>
  <c r="D42" i="48"/>
  <c r="J9" i="48"/>
  <c r="D43" i="48"/>
  <c r="J13" i="48"/>
  <c r="D63" i="48"/>
  <c r="J17" i="48"/>
  <c r="D47" i="48"/>
  <c r="J20" i="48"/>
  <c r="D48" i="48"/>
  <c r="J27" i="48"/>
  <c r="F31" i="48"/>
  <c r="F30" i="48"/>
  <c r="D45" i="48"/>
  <c r="J12" i="48"/>
  <c r="I20" i="48"/>
  <c r="D41" i="48"/>
  <c r="J23" i="48"/>
  <c r="D40" i="48"/>
  <c r="J26" i="48"/>
  <c r="D51" i="48"/>
  <c r="J7" i="48"/>
  <c r="K8" i="48"/>
  <c r="D60" i="48"/>
  <c r="J11" i="48"/>
  <c r="D57" i="48"/>
  <c r="J15" i="48"/>
  <c r="K16" i="48"/>
  <c r="D61" i="48"/>
  <c r="J22" i="48"/>
  <c r="D56" i="48"/>
  <c r="J10" i="48"/>
  <c r="D53" i="48"/>
  <c r="J14" i="48"/>
  <c r="D59" i="48"/>
  <c r="J18" i="48"/>
  <c r="D55" i="48"/>
  <c r="J21" i="48"/>
  <c r="K25" i="48"/>
  <c r="D54" i="48"/>
  <c r="J28" i="48"/>
  <c r="I14" i="48"/>
  <c r="I15" i="48"/>
  <c r="I18" i="48"/>
  <c r="K18" i="48" s="1"/>
  <c r="I28" i="48"/>
  <c r="I22" i="48"/>
  <c r="I23" i="48"/>
  <c r="I17" i="48"/>
  <c r="I9" i="48"/>
  <c r="E47" i="48"/>
  <c r="H5" i="48"/>
  <c r="F44" i="48"/>
  <c r="I12" i="48"/>
  <c r="K12" i="48" s="1"/>
  <c r="E59" i="48"/>
  <c r="F62" i="48"/>
  <c r="I26" i="48"/>
  <c r="K26" i="48" s="1"/>
  <c r="I7" i="48"/>
  <c r="K7" i="48" s="1"/>
  <c r="I19" i="48"/>
  <c r="K19" i="48" s="1"/>
  <c r="N31" i="48"/>
  <c r="E52" i="48"/>
  <c r="E57" i="48"/>
  <c r="H6" i="48"/>
  <c r="I10" i="48"/>
  <c r="K10" i="48" s="1"/>
  <c r="I13" i="48"/>
  <c r="K13" i="48" s="1"/>
  <c r="I21" i="48"/>
  <c r="K21" i="48" s="1"/>
  <c r="I24" i="48"/>
  <c r="I27" i="48"/>
  <c r="K27" i="48" s="1"/>
  <c r="N30" i="48"/>
  <c r="I11" i="48"/>
  <c r="K11" i="48" s="1"/>
  <c r="E62" i="48"/>
  <c r="D44" i="48" l="1"/>
  <c r="J6" i="48"/>
  <c r="E42" i="48"/>
  <c r="K9" i="48"/>
  <c r="E61" i="48"/>
  <c r="K22" i="48"/>
  <c r="K14" i="48"/>
  <c r="H30" i="48"/>
  <c r="J5" i="48"/>
  <c r="H31" i="48"/>
  <c r="E63" i="48"/>
  <c r="K17" i="48"/>
  <c r="K28" i="48"/>
  <c r="K24" i="48"/>
  <c r="E54" i="48"/>
  <c r="I6" i="48"/>
  <c r="K6" i="48" s="1"/>
  <c r="E41" i="48"/>
  <c r="K23" i="48"/>
  <c r="K15" i="48"/>
  <c r="K20" i="48"/>
  <c r="E53" i="48"/>
  <c r="E55" i="48"/>
  <c r="E40" i="48"/>
  <c r="D58" i="48"/>
  <c r="I5" i="48"/>
  <c r="E48" i="48"/>
  <c r="E43" i="48"/>
  <c r="E45" i="48"/>
  <c r="E60" i="48"/>
  <c r="E56" i="48"/>
  <c r="E51" i="48"/>
  <c r="E44" i="48" l="1"/>
  <c r="I30" i="48"/>
  <c r="K5" i="48"/>
  <c r="I31" i="48"/>
  <c r="E58" i="48"/>
  <c r="E6" i="43" l="1"/>
  <c r="E7" i="43"/>
  <c r="E5" i="43"/>
  <c r="R4" i="6" l="1"/>
  <c r="Q4" i="6"/>
  <c r="F4" i="6"/>
  <c r="E27" i="35" l="1"/>
  <c r="F27" i="35"/>
  <c r="G27" i="35"/>
  <c r="H27" i="35"/>
  <c r="I27" i="35"/>
  <c r="J27" i="35"/>
  <c r="E28" i="35"/>
  <c r="G28" i="35"/>
  <c r="H28" i="35"/>
  <c r="I28" i="35"/>
  <c r="J28" i="35"/>
  <c r="E29" i="35"/>
  <c r="F29" i="35"/>
  <c r="G29" i="35"/>
  <c r="H29" i="35"/>
  <c r="I29" i="35"/>
  <c r="J29" i="35"/>
  <c r="E30" i="35"/>
  <c r="F30" i="35"/>
  <c r="G30" i="35"/>
  <c r="H30" i="35"/>
  <c r="I30" i="35"/>
  <c r="J30" i="35"/>
  <c r="E31" i="35"/>
  <c r="F31" i="35"/>
  <c r="G31" i="35"/>
  <c r="H31" i="35"/>
  <c r="I31" i="35"/>
  <c r="J31" i="35"/>
  <c r="P5" i="47"/>
  <c r="P6" i="47"/>
  <c r="P7" i="47"/>
  <c r="P8" i="47"/>
  <c r="P9" i="47"/>
  <c r="P10" i="47"/>
  <c r="P11" i="47"/>
  <c r="P12" i="47"/>
  <c r="P13" i="47"/>
  <c r="P14" i="47"/>
  <c r="P15" i="47"/>
  <c r="P16" i="47"/>
  <c r="P17" i="47"/>
  <c r="P18" i="47"/>
  <c r="P19" i="47"/>
  <c r="P20" i="47"/>
  <c r="P21" i="47"/>
  <c r="P22" i="47"/>
  <c r="P23" i="47"/>
  <c r="P24" i="47"/>
  <c r="P25" i="47"/>
  <c r="P26" i="47"/>
  <c r="P27" i="47"/>
  <c r="P4" i="47"/>
  <c r="N27" i="47"/>
  <c r="G29" i="47"/>
  <c r="E29" i="47"/>
  <c r="D29" i="47"/>
  <c r="C29" i="47"/>
  <c r="B29" i="47"/>
  <c r="F27" i="47"/>
  <c r="N26" i="47"/>
  <c r="F26" i="47"/>
  <c r="N25" i="47"/>
  <c r="N24" i="47"/>
  <c r="F24" i="47"/>
  <c r="N23" i="47"/>
  <c r="F23" i="47"/>
  <c r="N22" i="47"/>
  <c r="F22" i="47"/>
  <c r="N21" i="47"/>
  <c r="F21" i="47"/>
  <c r="N20" i="47"/>
  <c r="F20" i="47"/>
  <c r="N19" i="47"/>
  <c r="F19" i="47"/>
  <c r="F18" i="47"/>
  <c r="N17" i="47"/>
  <c r="F17" i="47"/>
  <c r="N16" i="47"/>
  <c r="F16" i="47"/>
  <c r="N15" i="47"/>
  <c r="F15" i="47"/>
  <c r="N14" i="47"/>
  <c r="F14" i="47"/>
  <c r="F13" i="47"/>
  <c r="N12" i="47"/>
  <c r="F12" i="47"/>
  <c r="F11" i="47"/>
  <c r="N10" i="47"/>
  <c r="F10" i="47"/>
  <c r="N9" i="47"/>
  <c r="F9" i="47"/>
  <c r="N8" i="47"/>
  <c r="F8" i="47"/>
  <c r="N7" i="47"/>
  <c r="F7" i="47"/>
  <c r="F6" i="47"/>
  <c r="N5" i="47"/>
  <c r="F5" i="47"/>
  <c r="N4" i="47"/>
  <c r="F4" i="47"/>
  <c r="F29" i="47" s="1"/>
  <c r="S6" i="39" l="1"/>
  <c r="T6" i="39"/>
  <c r="U6" i="39"/>
  <c r="S8" i="39"/>
  <c r="T8" i="39"/>
  <c r="U8" i="39"/>
  <c r="S9" i="39"/>
  <c r="T9" i="39"/>
  <c r="U9" i="39"/>
  <c r="S12" i="39"/>
  <c r="T12" i="39"/>
  <c r="U12" i="39"/>
  <c r="S13" i="39"/>
  <c r="T13" i="39"/>
  <c r="U13" i="39"/>
  <c r="S15" i="39"/>
  <c r="T15" i="39"/>
  <c r="U15" i="39"/>
  <c r="S17" i="39"/>
  <c r="T17" i="39"/>
  <c r="U17" i="39"/>
  <c r="S20" i="39"/>
  <c r="T20" i="39"/>
  <c r="U20" i="39"/>
  <c r="S22" i="39"/>
  <c r="T22" i="39"/>
  <c r="U22" i="39"/>
  <c r="S27" i="39"/>
  <c r="T27" i="39"/>
  <c r="U27" i="39"/>
  <c r="T4" i="39"/>
  <c r="U4" i="39"/>
  <c r="S4" i="39"/>
  <c r="C35" i="39"/>
  <c r="F34" i="45" l="1"/>
  <c r="G9" i="10"/>
  <c r="G10" i="10"/>
  <c r="I10" i="10" s="1"/>
  <c r="G11" i="10"/>
  <c r="G12" i="10"/>
  <c r="G13" i="10"/>
  <c r="G14" i="10"/>
  <c r="I14" i="10" s="1"/>
  <c r="G15" i="10"/>
  <c r="G16" i="10"/>
  <c r="G17" i="10"/>
  <c r="G18" i="10"/>
  <c r="I18" i="10" s="1"/>
  <c r="G19" i="10"/>
  <c r="G20" i="10"/>
  <c r="G21" i="10"/>
  <c r="G22" i="10"/>
  <c r="I22" i="10" s="1"/>
  <c r="G23" i="10"/>
  <c r="G24" i="10"/>
  <c r="G25" i="10"/>
  <c r="G26" i="10"/>
  <c r="I26" i="10" s="1"/>
  <c r="G27" i="10"/>
  <c r="G28" i="10"/>
  <c r="G29" i="10"/>
  <c r="G30" i="10"/>
  <c r="I30" i="10" s="1"/>
  <c r="G31" i="10"/>
  <c r="G8" i="10"/>
  <c r="I8" i="10" s="1"/>
  <c r="I9" i="10"/>
  <c r="I11" i="10"/>
  <c r="I12" i="10"/>
  <c r="I13" i="10"/>
  <c r="I15" i="10"/>
  <c r="I16" i="10"/>
  <c r="I17" i="10"/>
  <c r="I19" i="10"/>
  <c r="I20" i="10"/>
  <c r="I21" i="10"/>
  <c r="I23" i="10"/>
  <c r="I24" i="10"/>
  <c r="I25" i="10"/>
  <c r="I27" i="10"/>
  <c r="I28" i="10"/>
  <c r="I29" i="10"/>
  <c r="I31" i="10"/>
  <c r="I34" i="10" l="1"/>
  <c r="F6" i="43" l="1"/>
  <c r="F5" i="43"/>
  <c r="C29" i="46" l="1"/>
  <c r="B29" i="46"/>
  <c r="C28" i="46"/>
  <c r="C30" i="46"/>
  <c r="B28" i="46"/>
  <c r="B30" i="46"/>
  <c r="D27" i="46"/>
  <c r="D26" i="46"/>
  <c r="D25" i="46"/>
  <c r="D24" i="46"/>
  <c r="D23" i="46"/>
  <c r="D22" i="46"/>
  <c r="D21" i="46"/>
  <c r="D20" i="46"/>
  <c r="D19" i="46"/>
  <c r="D18" i="46"/>
  <c r="D17" i="46"/>
  <c r="D16" i="46"/>
  <c r="D29" i="46"/>
  <c r="D15" i="46"/>
  <c r="D14" i="46"/>
  <c r="D13" i="46"/>
  <c r="D12" i="46"/>
  <c r="D11" i="46"/>
  <c r="D10" i="46"/>
  <c r="D9" i="46"/>
  <c r="D8" i="46"/>
  <c r="D7" i="46"/>
  <c r="D6" i="46"/>
  <c r="D5" i="46"/>
  <c r="D4" i="46"/>
  <c r="D28" i="46"/>
  <c r="D30" i="46" s="1"/>
  <c r="B35" i="46"/>
  <c r="B46" i="6"/>
  <c r="D39" i="45"/>
  <c r="E39" i="45"/>
  <c r="F39" i="45"/>
  <c r="D30" i="45"/>
  <c r="D35" i="45"/>
  <c r="D38" i="45"/>
  <c r="F6" i="45"/>
  <c r="F7" i="45"/>
  <c r="F8" i="45"/>
  <c r="F9" i="45"/>
  <c r="F10" i="45"/>
  <c r="F11" i="45"/>
  <c r="F12" i="45"/>
  <c r="F13" i="45"/>
  <c r="F14" i="45"/>
  <c r="F15" i="45"/>
  <c r="F16" i="45"/>
  <c r="F17" i="45"/>
  <c r="F18" i="45"/>
  <c r="F19" i="45"/>
  <c r="F20" i="45"/>
  <c r="F21" i="45"/>
  <c r="F22" i="45"/>
  <c r="F23" i="45"/>
  <c r="F24" i="45"/>
  <c r="F25" i="45"/>
  <c r="F26" i="45"/>
  <c r="F27" i="45"/>
  <c r="F28" i="45"/>
  <c r="F5" i="45"/>
  <c r="D29" i="45"/>
  <c r="E29" i="45"/>
  <c r="E30" i="45"/>
  <c r="G34" i="45"/>
  <c r="E34" i="45"/>
  <c r="D34" i="45"/>
  <c r="C34" i="45"/>
  <c r="B34" i="45"/>
  <c r="G29" i="45"/>
  <c r="G38" i="45"/>
  <c r="F29" i="45"/>
  <c r="F38" i="45"/>
  <c r="E38" i="45"/>
  <c r="G35" i="45"/>
  <c r="G30" i="45"/>
  <c r="G39" i="45" s="1"/>
  <c r="E35" i="45"/>
  <c r="F35" i="45"/>
  <c r="F30" i="45"/>
  <c r="I37" i="35"/>
  <c r="J37" i="35"/>
  <c r="E38" i="35"/>
  <c r="I38" i="35"/>
  <c r="J38" i="35"/>
  <c r="G39" i="35"/>
  <c r="I39" i="35"/>
  <c r="J39" i="35"/>
  <c r="I36" i="35"/>
  <c r="J36" i="35"/>
  <c r="G36" i="35"/>
  <c r="H36" i="35"/>
  <c r="F39" i="35"/>
  <c r="E39" i="35"/>
  <c r="F38" i="35"/>
  <c r="H38" i="35"/>
  <c r="G38" i="35"/>
  <c r="G37" i="35"/>
  <c r="E37" i="35"/>
  <c r="F36" i="35"/>
  <c r="H37" i="35"/>
  <c r="F37" i="35"/>
  <c r="H39" i="35"/>
  <c r="N49" i="18"/>
  <c r="N51" i="18" s="1"/>
  <c r="J23" i="39"/>
  <c r="J16" i="39"/>
  <c r="J17" i="39"/>
  <c r="J12" i="39"/>
  <c r="J13" i="39"/>
  <c r="J8" i="39"/>
  <c r="J27" i="39"/>
  <c r="H14" i="39"/>
  <c r="C29" i="18"/>
  <c r="C30" i="18"/>
  <c r="B29" i="18"/>
  <c r="B36" i="18" s="1"/>
  <c r="B30" i="18"/>
  <c r="D5" i="18"/>
  <c r="I5" i="18"/>
  <c r="K5" i="18"/>
  <c r="E5" i="40"/>
  <c r="E4" i="40"/>
  <c r="E3" i="40"/>
  <c r="D6" i="18"/>
  <c r="D7" i="18"/>
  <c r="D8" i="18"/>
  <c r="D9" i="18"/>
  <c r="D10" i="18"/>
  <c r="D11" i="18"/>
  <c r="D12" i="18"/>
  <c r="D13" i="18"/>
  <c r="D14" i="18"/>
  <c r="D15" i="18"/>
  <c r="D16" i="18"/>
  <c r="D17" i="18"/>
  <c r="D18" i="18"/>
  <c r="D19" i="18"/>
  <c r="D20" i="18"/>
  <c r="D21" i="18"/>
  <c r="D22" i="18"/>
  <c r="D23" i="18"/>
  <c r="D24" i="18"/>
  <c r="D25" i="18"/>
  <c r="D26" i="18"/>
  <c r="D27" i="18"/>
  <c r="D28" i="18"/>
  <c r="J6" i="41"/>
  <c r="J7" i="41"/>
  <c r="J8" i="41"/>
  <c r="J9" i="41"/>
  <c r="J10" i="41"/>
  <c r="J11" i="41"/>
  <c r="J12" i="41"/>
  <c r="J13" i="41"/>
  <c r="J14" i="41"/>
  <c r="J15" i="41"/>
  <c r="J16" i="41"/>
  <c r="J17" i="41"/>
  <c r="J18" i="41"/>
  <c r="J19" i="41"/>
  <c r="J20" i="41"/>
  <c r="J21" i="41"/>
  <c r="J22" i="41"/>
  <c r="J23" i="41"/>
  <c r="J24" i="41"/>
  <c r="J25" i="41"/>
  <c r="J26" i="41"/>
  <c r="J27" i="41"/>
  <c r="J5" i="41"/>
  <c r="R6" i="41"/>
  <c r="T6" i="41"/>
  <c r="R7" i="41"/>
  <c r="R8" i="41"/>
  <c r="R9" i="41"/>
  <c r="R10" i="41"/>
  <c r="T10" i="41"/>
  <c r="R11" i="41"/>
  <c r="R12" i="41"/>
  <c r="R13" i="41"/>
  <c r="R14" i="41"/>
  <c r="T14" i="41"/>
  <c r="R15" i="41"/>
  <c r="R16" i="41"/>
  <c r="R17" i="41"/>
  <c r="R18" i="41"/>
  <c r="T18" i="41"/>
  <c r="R19" i="41"/>
  <c r="R20" i="41"/>
  <c r="R21" i="41"/>
  <c r="R22" i="41"/>
  <c r="T22" i="41"/>
  <c r="R23" i="41"/>
  <c r="R24" i="41"/>
  <c r="R25" i="41"/>
  <c r="R26" i="41"/>
  <c r="T26" i="41"/>
  <c r="R27" i="41"/>
  <c r="R5" i="41"/>
  <c r="O6" i="41"/>
  <c r="O7" i="41"/>
  <c r="O8" i="41"/>
  <c r="O9" i="41"/>
  <c r="O10" i="41"/>
  <c r="O11" i="41"/>
  <c r="O12" i="41"/>
  <c r="O13" i="41"/>
  <c r="O14" i="41"/>
  <c r="O15" i="41"/>
  <c r="O16" i="41"/>
  <c r="O17" i="41"/>
  <c r="O18" i="41"/>
  <c r="O19" i="41"/>
  <c r="O20" i="41"/>
  <c r="O21" i="41"/>
  <c r="O22" i="41"/>
  <c r="O23" i="41"/>
  <c r="O24" i="41"/>
  <c r="O25" i="41"/>
  <c r="O26" i="41"/>
  <c r="O27" i="41"/>
  <c r="O5" i="41"/>
  <c r="H29" i="41"/>
  <c r="E29" i="41"/>
  <c r="H28" i="41"/>
  <c r="E28" i="41"/>
  <c r="H33" i="42"/>
  <c r="E33" i="42"/>
  <c r="H32" i="42"/>
  <c r="E32" i="42"/>
  <c r="H31" i="42"/>
  <c r="E31" i="42"/>
  <c r="J30" i="42"/>
  <c r="H30" i="42"/>
  <c r="E30" i="42"/>
  <c r="H29" i="42"/>
  <c r="E29" i="42"/>
  <c r="Q27" i="42"/>
  <c r="N27" i="42"/>
  <c r="X27" i="42"/>
  <c r="W27" i="42"/>
  <c r="J27" i="42"/>
  <c r="Q26" i="42"/>
  <c r="S26" i="42"/>
  <c r="N26" i="42"/>
  <c r="X26" i="42"/>
  <c r="W26" i="42"/>
  <c r="J26" i="42"/>
  <c r="Q25" i="42"/>
  <c r="N25" i="42"/>
  <c r="X25" i="42"/>
  <c r="W25" i="42"/>
  <c r="J25" i="42"/>
  <c r="Q24" i="42"/>
  <c r="S24" i="42"/>
  <c r="N24" i="42"/>
  <c r="X24" i="42"/>
  <c r="W24" i="42"/>
  <c r="J24" i="42"/>
  <c r="Q23" i="42"/>
  <c r="N23" i="42"/>
  <c r="X23" i="42"/>
  <c r="W23" i="42"/>
  <c r="J23" i="42"/>
  <c r="Q22" i="42"/>
  <c r="N22" i="42"/>
  <c r="S22" i="42"/>
  <c r="X22" i="42"/>
  <c r="W22" i="42"/>
  <c r="J22" i="42"/>
  <c r="Q21" i="42"/>
  <c r="N21" i="42"/>
  <c r="X21" i="42"/>
  <c r="W21" i="42"/>
  <c r="J21" i="42"/>
  <c r="Q20" i="42"/>
  <c r="N20" i="42"/>
  <c r="X20" i="42"/>
  <c r="W20" i="42"/>
  <c r="J20" i="42"/>
  <c r="Q19" i="42"/>
  <c r="N19" i="42"/>
  <c r="X19" i="42"/>
  <c r="W19" i="42"/>
  <c r="J19" i="42"/>
  <c r="Q18" i="42"/>
  <c r="N18" i="42"/>
  <c r="X18" i="42"/>
  <c r="W18" i="42"/>
  <c r="J18" i="42"/>
  <c r="Q17" i="42"/>
  <c r="S17" i="42"/>
  <c r="N17" i="42"/>
  <c r="X17" i="42"/>
  <c r="W17" i="42"/>
  <c r="J17" i="42"/>
  <c r="Q16" i="42"/>
  <c r="N16" i="42"/>
  <c r="X16" i="42"/>
  <c r="W16" i="42"/>
  <c r="J16" i="42"/>
  <c r="Q15" i="42"/>
  <c r="N15" i="42"/>
  <c r="X15" i="42"/>
  <c r="W15" i="42"/>
  <c r="J15" i="42"/>
  <c r="Q14" i="42"/>
  <c r="N14" i="42"/>
  <c r="X14" i="42"/>
  <c r="W14" i="42"/>
  <c r="J14" i="42"/>
  <c r="Q13" i="42"/>
  <c r="S13" i="42"/>
  <c r="N13" i="42"/>
  <c r="X13" i="42"/>
  <c r="W13" i="42"/>
  <c r="J13" i="42"/>
  <c r="Q12" i="42"/>
  <c r="N12" i="42"/>
  <c r="X12" i="42"/>
  <c r="W12" i="42"/>
  <c r="J12" i="42"/>
  <c r="Q11" i="42"/>
  <c r="N11" i="42"/>
  <c r="X11" i="42"/>
  <c r="W11" i="42"/>
  <c r="J11" i="42"/>
  <c r="Q10" i="42"/>
  <c r="N10" i="42"/>
  <c r="N30" i="42"/>
  <c r="X10" i="42"/>
  <c r="W10" i="42"/>
  <c r="J10" i="42"/>
  <c r="Q9" i="42"/>
  <c r="S9" i="42"/>
  <c r="N9" i="42"/>
  <c r="X9" i="42"/>
  <c r="W9" i="42"/>
  <c r="J9" i="42"/>
  <c r="Q8" i="42"/>
  <c r="N8" i="42"/>
  <c r="X8" i="42"/>
  <c r="W8" i="42"/>
  <c r="J8" i="42"/>
  <c r="Q7" i="42"/>
  <c r="N7" i="42"/>
  <c r="X7" i="42"/>
  <c r="W7" i="42"/>
  <c r="J7" i="42"/>
  <c r="Q6" i="42"/>
  <c r="N6" i="42"/>
  <c r="N32" i="42"/>
  <c r="X6" i="42"/>
  <c r="W6" i="42"/>
  <c r="J6" i="42"/>
  <c r="Q5" i="42"/>
  <c r="Q32" i="42"/>
  <c r="N5" i="42"/>
  <c r="X5" i="42"/>
  <c r="W5" i="42"/>
  <c r="J5" i="42"/>
  <c r="J29" i="42"/>
  <c r="Q4" i="42"/>
  <c r="N4" i="42"/>
  <c r="X4" i="42"/>
  <c r="W4" i="42"/>
  <c r="J4" i="42"/>
  <c r="J29" i="41"/>
  <c r="N33" i="42"/>
  <c r="S25" i="42"/>
  <c r="H35" i="42"/>
  <c r="H36" i="42"/>
  <c r="T25" i="41"/>
  <c r="T21" i="41"/>
  <c r="T17" i="41"/>
  <c r="T13" i="41"/>
  <c r="T9" i="41"/>
  <c r="S20" i="42"/>
  <c r="T5" i="41"/>
  <c r="T24" i="41"/>
  <c r="T20" i="41"/>
  <c r="T16" i="41"/>
  <c r="T12" i="41"/>
  <c r="T8" i="41"/>
  <c r="T27" i="41"/>
  <c r="T23" i="41"/>
  <c r="T19" i="41"/>
  <c r="T15" i="41"/>
  <c r="T11" i="41"/>
  <c r="T7" i="41"/>
  <c r="J28" i="41"/>
  <c r="J30" i="41"/>
  <c r="T29" i="41"/>
  <c r="O29" i="41"/>
  <c r="H30" i="41"/>
  <c r="R29" i="41"/>
  <c r="E30" i="41"/>
  <c r="O28" i="41"/>
  <c r="O30" i="41"/>
  <c r="R28" i="41"/>
  <c r="X29" i="42"/>
  <c r="S6" i="42"/>
  <c r="S10" i="42"/>
  <c r="S14" i="42"/>
  <c r="S18" i="42"/>
  <c r="S23" i="42"/>
  <c r="N31" i="42"/>
  <c r="S7" i="42"/>
  <c r="S11" i="42"/>
  <c r="J33" i="42"/>
  <c r="S15" i="42"/>
  <c r="S33" i="42"/>
  <c r="S19" i="42"/>
  <c r="S21" i="42"/>
  <c r="E35" i="42"/>
  <c r="E36" i="42"/>
  <c r="J31" i="42"/>
  <c r="S4" i="42"/>
  <c r="S31" i="42"/>
  <c r="S8" i="42"/>
  <c r="S12" i="42"/>
  <c r="S16" i="42"/>
  <c r="S27" i="42"/>
  <c r="Q31" i="42"/>
  <c r="Q29" i="42"/>
  <c r="J32" i="42"/>
  <c r="Q33" i="42"/>
  <c r="S5" i="42"/>
  <c r="Q30" i="42"/>
  <c r="N29" i="42"/>
  <c r="T28" i="41"/>
  <c r="T30" i="41"/>
  <c r="R30" i="41"/>
  <c r="S30" i="42"/>
  <c r="S32" i="42"/>
  <c r="S29" i="42"/>
  <c r="J5" i="39"/>
  <c r="H6" i="39"/>
  <c r="I6" i="39"/>
  <c r="J6" i="39"/>
  <c r="H7" i="39"/>
  <c r="J7" i="39"/>
  <c r="H9" i="39"/>
  <c r="I9" i="39"/>
  <c r="J9" i="39"/>
  <c r="H10" i="39"/>
  <c r="I10" i="39"/>
  <c r="J10" i="39"/>
  <c r="H11" i="39"/>
  <c r="J11" i="39"/>
  <c r="H12" i="39"/>
  <c r="H13" i="39"/>
  <c r="I13" i="39"/>
  <c r="J14" i="39"/>
  <c r="H15" i="39"/>
  <c r="I15" i="39"/>
  <c r="J15" i="39"/>
  <c r="H16" i="39"/>
  <c r="H17" i="39"/>
  <c r="I17" i="39"/>
  <c r="J19" i="39"/>
  <c r="H20" i="39"/>
  <c r="I20" i="39"/>
  <c r="J20" i="39"/>
  <c r="H21" i="39"/>
  <c r="J21" i="39"/>
  <c r="H22" i="39"/>
  <c r="I22" i="39"/>
  <c r="J22" i="39"/>
  <c r="J24" i="39"/>
  <c r="J26" i="39"/>
  <c r="H27" i="39"/>
  <c r="I27" i="39"/>
  <c r="I4" i="39"/>
  <c r="J4" i="39"/>
  <c r="H4" i="39"/>
  <c r="H3" i="34"/>
  <c r="J36" i="34" s="1"/>
  <c r="J38" i="34"/>
  <c r="I21" i="34"/>
  <c r="B18" i="6" s="1"/>
  <c r="J39" i="34"/>
  <c r="J37" i="34"/>
  <c r="J35" i="34"/>
  <c r="D31" i="34"/>
  <c r="D32" i="34" s="1"/>
  <c r="H29" i="34"/>
  <c r="H8" i="34"/>
  <c r="H22" i="34"/>
  <c r="H25" i="34"/>
  <c r="G29" i="34"/>
  <c r="G28" i="34"/>
  <c r="H17" i="34"/>
  <c r="G15" i="34"/>
  <c r="G8" i="34"/>
  <c r="G20" i="34"/>
  <c r="H16" i="34"/>
  <c r="H13" i="34"/>
  <c r="G24" i="34"/>
  <c r="G16" i="34"/>
  <c r="H9" i="34"/>
  <c r="I13" i="34"/>
  <c r="B10" i="6" s="1"/>
  <c r="I17" i="34"/>
  <c r="I22" i="34"/>
  <c r="I30" i="34"/>
  <c r="I10" i="34"/>
  <c r="I14" i="34"/>
  <c r="B11" i="6" s="1"/>
  <c r="I23" i="34"/>
  <c r="I27" i="34"/>
  <c r="I7" i="34"/>
  <c r="I15" i="34"/>
  <c r="I19" i="34"/>
  <c r="B16" i="6" s="1"/>
  <c r="I24" i="34"/>
  <c r="I8" i="34"/>
  <c r="B5" i="6" s="1"/>
  <c r="Q16" i="6" s="1"/>
  <c r="I12" i="34"/>
  <c r="B9" i="6" s="1"/>
  <c r="Q7" i="6" s="1"/>
  <c r="I16" i="34"/>
  <c r="B13" i="6" s="1"/>
  <c r="E9" i="6" s="1"/>
  <c r="I25" i="34"/>
  <c r="I29" i="34"/>
  <c r="B26" i="6" s="1"/>
  <c r="Q10" i="6" s="1"/>
  <c r="G10" i="34"/>
  <c r="G14" i="34"/>
  <c r="H15" i="34"/>
  <c r="G18" i="34"/>
  <c r="G23" i="34"/>
  <c r="H24" i="34"/>
  <c r="G27" i="34"/>
  <c r="H7" i="34"/>
  <c r="G9" i="34"/>
  <c r="H10" i="34"/>
  <c r="H14" i="34"/>
  <c r="G17" i="34"/>
  <c r="H18" i="34"/>
  <c r="H23" i="34"/>
  <c r="G26" i="34"/>
  <c r="H27" i="34"/>
  <c r="H30" i="34"/>
  <c r="H20" i="34"/>
  <c r="G19" i="34"/>
  <c r="G11" i="34"/>
  <c r="C31" i="34"/>
  <c r="C32" i="34"/>
  <c r="B31" i="34"/>
  <c r="B32" i="34"/>
  <c r="B19" i="6"/>
  <c r="B7" i="6"/>
  <c r="Q12" i="6" s="1"/>
  <c r="B22" i="6"/>
  <c r="Q15" i="6" s="1"/>
  <c r="B12" i="6"/>
  <c r="B20" i="6"/>
  <c r="Q8" i="6" s="1"/>
  <c r="B27" i="6"/>
  <c r="E8" i="6" s="1"/>
  <c r="B21" i="6"/>
  <c r="B24" i="6"/>
  <c r="B14" i="6"/>
  <c r="K27" i="18"/>
  <c r="K26" i="18"/>
  <c r="K25" i="18"/>
  <c r="K24" i="18"/>
  <c r="K23" i="18"/>
  <c r="K22" i="18"/>
  <c r="K21" i="18"/>
  <c r="K20" i="18"/>
  <c r="K19" i="18"/>
  <c r="K18" i="18"/>
  <c r="K17" i="18"/>
  <c r="K16" i="18"/>
  <c r="K15" i="18"/>
  <c r="K14" i="18"/>
  <c r="K13" i="18"/>
  <c r="K12" i="18"/>
  <c r="K11" i="18"/>
  <c r="K10" i="18"/>
  <c r="K9" i="18"/>
  <c r="K8" i="18"/>
  <c r="K7" i="18"/>
  <c r="K6" i="18"/>
  <c r="L28" i="18"/>
  <c r="B34" i="10"/>
  <c r="C34" i="10"/>
  <c r="D34" i="10"/>
  <c r="A34" i="10"/>
  <c r="I7" i="18"/>
  <c r="I8" i="18"/>
  <c r="I9" i="18"/>
  <c r="L9" i="18" s="1"/>
  <c r="I14" i="18"/>
  <c r="C32" i="30"/>
  <c r="D32" i="30"/>
  <c r="E32" i="30"/>
  <c r="B32" i="30"/>
  <c r="C31" i="30"/>
  <c r="D31" i="30"/>
  <c r="E31" i="30"/>
  <c r="B31" i="30"/>
  <c r="B47" i="6"/>
  <c r="B40" i="6"/>
  <c r="I27" i="18"/>
  <c r="I24" i="18"/>
  <c r="I26" i="18"/>
  <c r="I25" i="18"/>
  <c r="I23" i="18"/>
  <c r="I22" i="18"/>
  <c r="I21" i="18"/>
  <c r="I20" i="18"/>
  <c r="L20" i="18" s="1"/>
  <c r="I19" i="18"/>
  <c r="I18" i="18"/>
  <c r="I17" i="18"/>
  <c r="L17" i="18" s="1"/>
  <c r="I16" i="18"/>
  <c r="L16" i="18" s="1"/>
  <c r="I15" i="18"/>
  <c r="I13" i="18"/>
  <c r="L13" i="18"/>
  <c r="I12" i="18"/>
  <c r="I11" i="18"/>
  <c r="I10" i="18"/>
  <c r="I6" i="18"/>
  <c r="G34" i="10"/>
  <c r="M49" i="18" l="1"/>
  <c r="M51" i="18" s="1"/>
  <c r="L11" i="18"/>
  <c r="L24" i="18"/>
  <c r="L8" i="18"/>
  <c r="L6" i="18"/>
  <c r="H40" i="34"/>
  <c r="I40" i="34" s="1"/>
  <c r="J40" i="34" s="1"/>
  <c r="H41" i="34"/>
  <c r="I41" i="34" s="1"/>
  <c r="J41" i="34" s="1"/>
  <c r="B4" i="6"/>
  <c r="E6" i="6" s="1"/>
  <c r="H12" i="34"/>
  <c r="G7" i="34"/>
  <c r="G22" i="34"/>
  <c r="G13" i="34"/>
  <c r="H28" i="34"/>
  <c r="H19" i="34"/>
  <c r="H11" i="34"/>
  <c r="H31" i="34" s="1"/>
  <c r="H32" i="34" s="1"/>
  <c r="I20" i="34"/>
  <c r="B17" i="6" s="1"/>
  <c r="B41" i="6" s="1"/>
  <c r="B51" i="6" s="1"/>
  <c r="I28" i="34"/>
  <c r="B25" i="6" s="1"/>
  <c r="Q17" i="6" s="1"/>
  <c r="I11" i="34"/>
  <c r="B8" i="6" s="1"/>
  <c r="Q11" i="6" s="1"/>
  <c r="I18" i="34"/>
  <c r="B15" i="6" s="1"/>
  <c r="Q6" i="6" s="1"/>
  <c r="I26" i="34"/>
  <c r="B23" i="6" s="1"/>
  <c r="Q18" i="6" s="1"/>
  <c r="I9" i="34"/>
  <c r="B6" i="6" s="1"/>
  <c r="Q9" i="6" s="1"/>
  <c r="H26" i="34"/>
  <c r="G30" i="34"/>
  <c r="G25" i="34"/>
  <c r="G12" i="34"/>
  <c r="L10" i="18"/>
  <c r="L18" i="18"/>
  <c r="L14" i="18"/>
  <c r="L21" i="18"/>
  <c r="C31" i="18"/>
  <c r="L12" i="18"/>
  <c r="D29" i="18"/>
  <c r="B31" i="18"/>
  <c r="L25" i="18"/>
  <c r="L22" i="18"/>
  <c r="L26" i="18"/>
  <c r="L15" i="18"/>
  <c r="L19" i="18"/>
  <c r="L23" i="18"/>
  <c r="L27" i="18"/>
  <c r="D30" i="18"/>
  <c r="E5" i="6"/>
  <c r="B36" i="6"/>
  <c r="B45" i="6" s="1"/>
  <c r="B48" i="6" s="1"/>
  <c r="B53" i="6" s="1"/>
  <c r="Q19" i="6"/>
  <c r="E36" i="35"/>
  <c r="Q5" i="6"/>
  <c r="Q13" i="6"/>
  <c r="Q14" i="6"/>
  <c r="L5" i="18"/>
  <c r="D31" i="18" l="1"/>
  <c r="B38" i="6"/>
  <c r="B52" i="6" s="1"/>
  <c r="B33" i="6"/>
  <c r="B35" i="6" s="1"/>
  <c r="B37" i="6"/>
  <c r="E7" i="6"/>
  <c r="G31" i="34"/>
  <c r="G32" i="34" s="1"/>
  <c r="B39" i="6"/>
  <c r="I31" i="34"/>
  <c r="I32" i="34" s="1"/>
  <c r="E4" i="6"/>
  <c r="B43" i="6" l="1"/>
</calcChain>
</file>

<file path=xl/comments1.xml><?xml version="1.0" encoding="utf-8"?>
<comments xmlns="http://schemas.openxmlformats.org/spreadsheetml/2006/main">
  <authors>
    <author>K Sullivan</author>
  </authors>
  <commentList>
    <comment ref="E3" authorId="0" shapeId="0">
      <text>
        <r>
          <rPr>
            <sz val="9"/>
            <color indexed="81"/>
            <rFont val="Tahoma"/>
            <family val="2"/>
          </rPr>
          <t xml:space="preserve">
Independent lab test
All reported as Total.  This assumes all total is dissolved.</t>
        </r>
      </text>
    </comment>
    <comment ref="D6" authorId="0" shapeId="0">
      <text>
        <r>
          <rPr>
            <b/>
            <sz val="9"/>
            <color indexed="81"/>
            <rFont val="Tahoma"/>
            <family val="2"/>
          </rPr>
          <t>K Sullivan:</t>
        </r>
        <r>
          <rPr>
            <sz val="9"/>
            <color indexed="81"/>
            <rFont val="Tahoma"/>
            <family val="2"/>
          </rPr>
          <t xml:space="preserve">
Total is reported at 44, detect
Dissolved reported as 5.5 detect
So these </t>
        </r>
      </text>
    </comment>
    <comment ref="E6" authorId="0" shapeId="0">
      <text>
        <r>
          <rPr>
            <b/>
            <sz val="9"/>
            <color indexed="81"/>
            <rFont val="Tahoma"/>
            <family val="2"/>
          </rPr>
          <t>K Sullivan:</t>
        </r>
        <r>
          <rPr>
            <sz val="9"/>
            <color indexed="81"/>
            <rFont val="Tahoma"/>
            <family val="2"/>
          </rPr>
          <t xml:space="preserve">
This is a detect</t>
        </r>
      </text>
    </comment>
  </commentList>
</comments>
</file>

<file path=xl/comments2.xml><?xml version="1.0" encoding="utf-8"?>
<comments xmlns="http://schemas.openxmlformats.org/spreadsheetml/2006/main">
  <authors>
    <author>K Sullivan</author>
  </authors>
  <commentList>
    <comment ref="E4" authorId="0" shapeId="0">
      <text>
        <r>
          <rPr>
            <b/>
            <sz val="9"/>
            <color indexed="81"/>
            <rFont val="Tahoma"/>
            <family val="2"/>
          </rPr>
          <t>K Sullivan:</t>
        </r>
        <r>
          <rPr>
            <sz val="9"/>
            <color indexed="81"/>
            <rFont val="Tahoma"/>
            <family val="2"/>
          </rPr>
          <t xml:space="preserve">
Independent lab test
All reported as Total.  This assumes all total is dissolved.</t>
        </r>
      </text>
    </comment>
    <comment ref="D7" authorId="0" shapeId="0">
      <text>
        <r>
          <rPr>
            <b/>
            <sz val="9"/>
            <color indexed="81"/>
            <rFont val="Tahoma"/>
            <family val="2"/>
          </rPr>
          <t>Note:</t>
        </r>
        <r>
          <rPr>
            <sz val="9"/>
            <color indexed="81"/>
            <rFont val="Tahoma"/>
            <family val="2"/>
          </rPr>
          <t xml:space="preserve">
Total is reported at 44, detect
Dissolved reported as 5.5 detect
So these </t>
        </r>
      </text>
    </comment>
    <comment ref="E7" authorId="0" shapeId="0">
      <text>
        <r>
          <rPr>
            <b/>
            <sz val="9"/>
            <color indexed="81"/>
            <rFont val="Tahoma"/>
            <family val="2"/>
          </rPr>
          <t>Note:</t>
        </r>
        <r>
          <rPr>
            <sz val="9"/>
            <color indexed="81"/>
            <rFont val="Tahoma"/>
            <family val="2"/>
          </rPr>
          <t xml:space="preserve">
This is a detect</t>
        </r>
      </text>
    </comment>
  </commentList>
</comments>
</file>

<file path=xl/comments3.xml><?xml version="1.0" encoding="utf-8"?>
<comments xmlns="http://schemas.openxmlformats.org/spreadsheetml/2006/main">
  <authors>
    <author>K Sullivan</author>
  </authors>
  <commentList>
    <comment ref="O6" authorId="0" shapeId="0">
      <text>
        <r>
          <rPr>
            <sz val="9"/>
            <color indexed="81"/>
            <rFont val="Tahoma"/>
            <family val="2"/>
          </rPr>
          <t xml:space="preserve">Note:
The reported total concentration is 5.5 ug/L, which is significanly lower than reported dissolved concentration.  Maybe a missed decimal point? Value assumed to be 60 given previous measurements. It probably should be higher given diss/total ratio
</t>
        </r>
      </text>
    </comment>
    <comment ref="O15" authorId="0" shapeId="0">
      <text>
        <r>
          <rPr>
            <sz val="9"/>
            <color indexed="81"/>
            <rFont val="Tahoma"/>
            <family val="2"/>
          </rPr>
          <t xml:space="preserve">
Original total conc is 29;  dissolved conc is 42.  Dissolved value used for total.</t>
        </r>
      </text>
    </comment>
    <comment ref="O26" authorId="0" shapeId="0">
      <text>
        <r>
          <rPr>
            <sz val="9"/>
            <color indexed="81"/>
            <rFont val="Tahoma"/>
            <family val="2"/>
          </rPr>
          <t xml:space="preserve">
Original value in sample reported as 2.5 ug/L.  This interpreted as missed decimal and total taken to equal dissolved.</t>
        </r>
      </text>
    </comment>
  </commentList>
</comments>
</file>

<file path=xl/comments4.xml><?xml version="1.0" encoding="utf-8"?>
<comments xmlns="http://schemas.openxmlformats.org/spreadsheetml/2006/main">
  <authors>
    <author>K Sullivan</author>
  </authors>
  <commentList>
    <comment ref="D5" authorId="0" shapeId="0">
      <text>
        <r>
          <rPr>
            <b/>
            <sz val="9"/>
            <color indexed="81"/>
            <rFont val="Tahoma"/>
            <family val="2"/>
          </rPr>
          <t xml:space="preserve">NOTE:
Arsenic total load is somewhere between 1 to 2 kg.  We assume some is total but values vary a lot among the data providers. We assign a load of 1 kg colloidal. </t>
        </r>
      </text>
    </comment>
  </commentList>
</comments>
</file>

<file path=xl/comments5.xml><?xml version="1.0" encoding="utf-8"?>
<comments xmlns="http://schemas.openxmlformats.org/spreadsheetml/2006/main">
  <authors>
    <author>K Sullivan</author>
  </authors>
  <commentList>
    <comment ref="O7" authorId="0" shapeId="0">
      <text>
        <r>
          <rPr>
            <b/>
            <sz val="9"/>
            <color indexed="81"/>
            <rFont val="Tahoma"/>
            <family val="2"/>
          </rPr>
          <t>Note:</t>
        </r>
        <r>
          <rPr>
            <sz val="9"/>
            <color indexed="81"/>
            <rFont val="Tahoma"/>
            <family val="2"/>
          </rPr>
          <t xml:space="preserve">
Missing data. Substituted in from cc06 data</t>
        </r>
      </text>
    </comment>
  </commentList>
</comments>
</file>

<file path=xl/comments6.xml><?xml version="1.0" encoding="utf-8"?>
<comments xmlns="http://schemas.openxmlformats.org/spreadsheetml/2006/main">
  <authors>
    <author>K Sullivan</author>
  </authors>
  <commentList>
    <comment ref="E4" authorId="0" shapeId="0">
      <text>
        <r>
          <rPr>
            <b/>
            <sz val="9"/>
            <color indexed="81"/>
            <rFont val="Tahoma"/>
            <family val="2"/>
          </rPr>
          <t>Note:
Based on post event sampling of Cement Creek above influence of Gold King Mine</t>
        </r>
        <r>
          <rPr>
            <sz val="9"/>
            <color indexed="81"/>
            <rFont val="Tahoma"/>
            <family val="2"/>
          </rPr>
          <t xml:space="preserve">
</t>
        </r>
      </text>
    </comment>
    <comment ref="F4" authorId="0" shapeId="0">
      <text>
        <r>
          <rPr>
            <b/>
            <sz val="9"/>
            <color indexed="81"/>
            <rFont val="Tahoma"/>
            <family val="2"/>
          </rPr>
          <t xml:space="preserve">Note:
This is excess metals in Cement Creek at peak of plume above the background concentrations. Background was assumed to be all dissolved. </t>
        </r>
        <r>
          <rPr>
            <sz val="9"/>
            <color indexed="81"/>
            <rFont val="Tahoma"/>
            <family val="2"/>
          </rPr>
          <t xml:space="preserve">
</t>
        </r>
        <r>
          <rPr>
            <b/>
            <sz val="9"/>
            <color indexed="81"/>
            <rFont val="Tahoma"/>
            <family val="2"/>
          </rPr>
          <t>The GKM effluent is also nearly entirely dissolved.</t>
        </r>
      </text>
    </comment>
    <comment ref="G4" authorId="0" shapeId="0">
      <text>
        <r>
          <rPr>
            <b/>
            <sz val="9"/>
            <color indexed="81"/>
            <rFont val="Tahoma"/>
            <family val="2"/>
          </rPr>
          <t>Note:
This is calculated as proportion of flow at peak supplied by GKM and Cement Creek.</t>
        </r>
        <r>
          <rPr>
            <sz val="9"/>
            <color indexed="81"/>
            <rFont val="Tahoma"/>
            <family val="2"/>
          </rPr>
          <t xml:space="preserve">
</t>
        </r>
      </text>
    </comment>
    <comment ref="H4" authorId="0" shapeId="0">
      <text>
        <r>
          <rPr>
            <b/>
            <sz val="9"/>
            <color indexed="81"/>
            <rFont val="Tahoma"/>
            <family val="2"/>
          </rPr>
          <t>Note:
This is expected concentration in Cement Creek if GKM effluent from mine adit was the only additional source of metals.</t>
        </r>
        <r>
          <rPr>
            <sz val="9"/>
            <color indexed="81"/>
            <rFont val="Tahoma"/>
            <family val="2"/>
          </rPr>
          <t xml:space="preserve">
</t>
        </r>
      </text>
    </comment>
    <comment ref="I4" authorId="0" shapeId="0">
      <text>
        <r>
          <rPr>
            <b/>
            <sz val="9"/>
            <color indexed="81"/>
            <rFont val="Tahoma"/>
            <family val="2"/>
          </rPr>
          <t>Note:
Dissolved metals concentrations in Cement Creek at the peak of the GKM plume increased more than can be explained by the GKM effluent alone.  This implies that additional sources of dissolved metals were accessed after the effluent spilled from the mine, including possible desorption.</t>
        </r>
        <r>
          <rPr>
            <sz val="9"/>
            <color indexed="81"/>
            <rFont val="Tahoma"/>
            <family val="2"/>
          </rPr>
          <t xml:space="preserve">
Arsenic was the only metal that had a net decrease in dissolved concentration between the mine and the outlet of Cement Creek.  The sorption edge of arsenic is within the pH change between the mine effluent and Cement Creek</t>
        </r>
      </text>
    </comment>
    <comment ref="O4" authorId="0" shapeId="0">
      <text>
        <r>
          <rPr>
            <b/>
            <sz val="9"/>
            <color indexed="81"/>
            <rFont val="Tahoma"/>
            <family val="2"/>
          </rPr>
          <t>Note:
Assumes all background metals in Cement Creek were dissolved.</t>
        </r>
        <r>
          <rPr>
            <sz val="9"/>
            <color indexed="81"/>
            <rFont val="Tahoma"/>
            <family val="2"/>
          </rPr>
          <t xml:space="preserve">
</t>
        </r>
      </text>
    </comment>
    <comment ref="F8" authorId="0" shapeId="0">
      <text>
        <r>
          <rPr>
            <b/>
            <sz val="9"/>
            <color indexed="81"/>
            <rFont val="Tahoma"/>
            <family val="2"/>
          </rPr>
          <t>Note:</t>
        </r>
        <r>
          <rPr>
            <sz val="9"/>
            <color indexed="81"/>
            <rFont val="Tahoma"/>
            <family val="2"/>
          </rPr>
          <t xml:space="preserve">
negative change rounded to zero</t>
        </r>
      </text>
    </comment>
    <comment ref="F25" authorId="0" shapeId="0">
      <text>
        <r>
          <rPr>
            <b/>
            <sz val="9"/>
            <color indexed="81"/>
            <rFont val="Tahoma"/>
            <family val="2"/>
          </rPr>
          <t>Note:</t>
        </r>
        <r>
          <rPr>
            <sz val="9"/>
            <color indexed="81"/>
            <rFont val="Tahoma"/>
            <family val="2"/>
          </rPr>
          <t xml:space="preserve">
negative change of -534 rounded to 0</t>
        </r>
      </text>
    </comment>
  </commentList>
</comments>
</file>

<file path=xl/sharedStrings.xml><?xml version="1.0" encoding="utf-8"?>
<sst xmlns="http://schemas.openxmlformats.org/spreadsheetml/2006/main" count="1476" uniqueCount="309">
  <si>
    <t>Aluminum</t>
  </si>
  <si>
    <t>Antimony</t>
  </si>
  <si>
    <t>Arsenic</t>
  </si>
  <si>
    <t>Barium</t>
  </si>
  <si>
    <t>Beryllium</t>
  </si>
  <si>
    <t>Cadmium</t>
  </si>
  <si>
    <t>Calcium</t>
  </si>
  <si>
    <t>Chromium</t>
  </si>
  <si>
    <t>Cobalt</t>
  </si>
  <si>
    <t>Copper</t>
  </si>
  <si>
    <t>Iron</t>
  </si>
  <si>
    <t>Lead</t>
  </si>
  <si>
    <t>Magnesium</t>
  </si>
  <si>
    <t>Manganese</t>
  </si>
  <si>
    <t>Mercury</t>
  </si>
  <si>
    <t>Molybedenum</t>
  </si>
  <si>
    <t>Nickel</t>
  </si>
  <si>
    <t>Potassium</t>
  </si>
  <si>
    <t>Selenium</t>
  </si>
  <si>
    <t>Silver</t>
  </si>
  <si>
    <t>Sodium</t>
  </si>
  <si>
    <t>Thallium</t>
  </si>
  <si>
    <t>Vanadium</t>
  </si>
  <si>
    <t>Zinc</t>
  </si>
  <si>
    <t>Sulfate</t>
  </si>
  <si>
    <t>Chloride</t>
  </si>
  <si>
    <t>Fluoride</t>
  </si>
  <si>
    <t>Nitrate as N</t>
  </si>
  <si>
    <t>Dissolved</t>
  </si>
  <si>
    <t>Total</t>
  </si>
  <si>
    <t>Analyzed Alkalinity</t>
  </si>
  <si>
    <t>(mgCaCO3/l)</t>
  </si>
  <si>
    <t>High Calc. Acidity</t>
  </si>
  <si>
    <t>Low Calc. Acidity</t>
  </si>
  <si>
    <t>kg</t>
  </si>
  <si>
    <t>River KM</t>
  </si>
  <si>
    <t>SampleDate</t>
  </si>
  <si>
    <t>liters</t>
  </si>
  <si>
    <t>SampleTime</t>
  </si>
  <si>
    <t>Molybdenum</t>
  </si>
  <si>
    <t>CC48_081615</t>
  </si>
  <si>
    <t>CC48_081715</t>
  </si>
  <si>
    <t>CC48_081715D</t>
  </si>
  <si>
    <t>CC48_082315</t>
  </si>
  <si>
    <t>Samp_No</t>
  </si>
  <si>
    <t>Main</t>
  </si>
  <si>
    <t>Site Type</t>
  </si>
  <si>
    <t>Cement Creek</t>
  </si>
  <si>
    <t>Data in ug/L</t>
  </si>
  <si>
    <t>Cement Creek at Confluence with Animas River Background Calculations</t>
  </si>
  <si>
    <t>(mg/l)</t>
  </si>
  <si>
    <t>Major Cations</t>
  </si>
  <si>
    <t>Total Metals</t>
  </si>
  <si>
    <t>Total All Constituents</t>
  </si>
  <si>
    <t>Trace Metals</t>
  </si>
  <si>
    <t>Al &amp; Fe</t>
  </si>
  <si>
    <t>Zn &amp; Pb</t>
  </si>
  <si>
    <t>Total All w/o Sulfate</t>
  </si>
  <si>
    <t>Cl, Fl, N</t>
  </si>
  <si>
    <t>Total no sulfate no major cations no Cl, Fl, or Nox</t>
  </si>
  <si>
    <t>gallons</t>
  </si>
  <si>
    <t>Mine Source cc06</t>
  </si>
  <si>
    <t>Major Metals</t>
  </si>
  <si>
    <t xml:space="preserve">Trace Metals </t>
  </si>
  <si>
    <t>Colloidal</t>
  </si>
  <si>
    <t>Rounded for graphing</t>
  </si>
  <si>
    <t>Rounded</t>
  </si>
  <si>
    <t>ug/L</t>
  </si>
  <si>
    <t>&lt;2</t>
  </si>
  <si>
    <t>mg/L</t>
  </si>
  <si>
    <t>&lt;10</t>
  </si>
  <si>
    <t>Sum</t>
  </si>
  <si>
    <t>Metal</t>
  </si>
  <si>
    <t>Sum of Metals</t>
  </si>
  <si>
    <t>non detect</t>
  </si>
  <si>
    <t>mg/l</t>
  </si>
  <si>
    <t>CODPHE</t>
  </si>
  <si>
    <t>EPA CC06</t>
  </si>
  <si>
    <t>Gold King Mine Effluent Samples Collected from August 7 to September 21</t>
  </si>
  <si>
    <t>TRENDS</t>
  </si>
  <si>
    <t>MAJOR CATIONS</t>
  </si>
  <si>
    <t>MAJOR METALS</t>
  </si>
  <si>
    <t>TRACE METALS</t>
  </si>
  <si>
    <t>DISSOLVED</t>
  </si>
  <si>
    <t>Concentration in mg/L</t>
  </si>
  <si>
    <t>Colorado didn't provide data for some metals --this table has only measured values</t>
  </si>
  <si>
    <t>Sum of commonly measured</t>
  </si>
  <si>
    <t>without calcium</t>
  </si>
  <si>
    <t>Average</t>
  </si>
  <si>
    <t>Average of Samples</t>
  </si>
  <si>
    <t>Selected Concentrations</t>
  </si>
  <si>
    <t>Sum All, mg/l</t>
  </si>
  <si>
    <t>Sum Metals less Cations</t>
  </si>
  <si>
    <t>Mass in kg</t>
  </si>
  <si>
    <t>ug/l</t>
  </si>
  <si>
    <t>&lt;.12</t>
  </si>
  <si>
    <t>TOTAL  mg/L</t>
  </si>
  <si>
    <t>Colloidal Particulate (ug/L)</t>
  </si>
  <si>
    <t>Ave of 3, exclude Aug 15</t>
  </si>
  <si>
    <t>50% detection limit of test 0.00008 mg/l</t>
  </si>
  <si>
    <t>Other</t>
  </si>
  <si>
    <t>Load (kg)</t>
  </si>
  <si>
    <t>This is final concentration assigned to Efffluent</t>
  </si>
  <si>
    <t>Most of the mass is dissolved except for Arsenic and Lead</t>
  </si>
  <si>
    <t>no dissolved</t>
  </si>
  <si>
    <t>Concentration and Mass From GKM Mine Adit  by Metal</t>
  </si>
  <si>
    <t>Cement Creek  CC48  RK 12.6</t>
  </si>
  <si>
    <t>Plume Peak</t>
  </si>
  <si>
    <t>TOTAL</t>
  </si>
  <si>
    <t>Colloidal/Particulate</t>
  </si>
  <si>
    <t>Total at 33%</t>
  </si>
  <si>
    <t>Total at 50%</t>
  </si>
  <si>
    <t>Site</t>
  </si>
  <si>
    <t>Date</t>
  </si>
  <si>
    <t>Time</t>
  </si>
  <si>
    <t>Analyte</t>
  </si>
  <si>
    <t>Conc ug/L</t>
  </si>
  <si>
    <t>Conc (ug/L)</t>
  </si>
  <si>
    <t>CC 14th St</t>
  </si>
  <si>
    <t xml:space="preserve">these are calculated as estimated starting conc at Silverton </t>
  </si>
  <si>
    <t>Al and Fe</t>
  </si>
  <si>
    <t>for fitting the peak concentration decline to fit peaks for empirical</t>
  </si>
  <si>
    <t>Metals - cations</t>
  </si>
  <si>
    <t>mercury dissolved</t>
  </si>
  <si>
    <t>mercury total</t>
  </si>
  <si>
    <t>16:00</t>
  </si>
  <si>
    <t>Sample Collected at CC48 (Cement Creek in Silverton)  by EPAR8 at 16:00 August 5, 2015</t>
  </si>
  <si>
    <t>Total -Cations</t>
  </si>
  <si>
    <t>in mg/L</t>
  </si>
  <si>
    <t>set at .5 MDL</t>
  </si>
  <si>
    <t>Hg, ug/L</t>
  </si>
  <si>
    <t>Hg, mg/L</t>
  </si>
  <si>
    <t>GKM</t>
  </si>
  <si>
    <t>16:00 Measured</t>
  </si>
  <si>
    <t>12:45 Estimated</t>
  </si>
  <si>
    <t>Total Minus Cations</t>
  </si>
  <si>
    <t>Colloid/Particulate</t>
  </si>
  <si>
    <t>Iron, Al, Mn (477,600)</t>
  </si>
  <si>
    <t>Selected</t>
  </si>
  <si>
    <t>Comparison of Aug 5 16:00 at Cement Creek with Mine Adit   Selected Analytes</t>
  </si>
  <si>
    <t>14 th is Observed-background</t>
  </si>
  <si>
    <t>Average 3</t>
  </si>
  <si>
    <t>CDPHE</t>
  </si>
  <si>
    <t xml:space="preserve">EPA </t>
  </si>
  <si>
    <t>EPA</t>
  </si>
  <si>
    <t>No cations</t>
  </si>
  <si>
    <t>Incomplete</t>
  </si>
  <si>
    <t>Calculated Load</t>
  </si>
  <si>
    <t>All Metals</t>
  </si>
  <si>
    <t>Sum of Metals Less Cations</t>
  </si>
  <si>
    <t>Colloidal/Particulate (kg)</t>
  </si>
  <si>
    <t>Total Metals Concentrations (mg/L)</t>
  </si>
  <si>
    <t>NR</t>
  </si>
  <si>
    <t xml:space="preserve">Average </t>
  </si>
  <si>
    <t>Cement Creek Aug 5 16:00</t>
  </si>
  <si>
    <t>Other Metals</t>
  </si>
  <si>
    <r>
      <rPr>
        <sz val="10"/>
        <color theme="1"/>
        <rFont val="Calibri"/>
        <family val="2"/>
      </rPr>
      <t>~</t>
    </r>
    <r>
      <rPr>
        <sz val="10"/>
        <color theme="1"/>
        <rFont val="Calibri"/>
        <family val="2"/>
        <scheme val="minor"/>
      </rPr>
      <t>5</t>
    </r>
  </si>
  <si>
    <r>
      <rPr>
        <sz val="10"/>
        <color theme="1"/>
        <rFont val="Calibri"/>
        <family val="2"/>
      </rPr>
      <t>~</t>
    </r>
    <r>
      <rPr>
        <sz val="10"/>
        <color theme="1"/>
        <rFont val="Calibri"/>
        <family val="2"/>
        <scheme val="minor"/>
      </rPr>
      <t>23,000</t>
    </r>
  </si>
  <si>
    <r>
      <rPr>
        <sz val="10"/>
        <color theme="1"/>
        <rFont val="Calibri"/>
        <family val="2"/>
      </rPr>
      <t>~</t>
    </r>
    <r>
      <rPr>
        <sz val="10"/>
        <color theme="1"/>
        <rFont val="Calibri"/>
        <family val="2"/>
        <scheme val="minor"/>
      </rPr>
      <t>2,900</t>
    </r>
  </si>
  <si>
    <t>Trace Metals (900)</t>
  </si>
  <si>
    <t>Gold King Mine</t>
  </si>
  <si>
    <t>Dissolved                       (kg)</t>
  </si>
  <si>
    <t xml:space="preserve"> Total                           (kg)</t>
  </si>
  <si>
    <t>Data taken from Worksheet :</t>
  </si>
  <si>
    <t>GKM Effluent at Release</t>
  </si>
  <si>
    <t>GKM Plume Estimated at Peak</t>
  </si>
  <si>
    <t>GKM Plume Measured at 16:00</t>
  </si>
  <si>
    <t>Conc (mg/L)</t>
  </si>
  <si>
    <t>Conc mg/L</t>
  </si>
  <si>
    <t>Peak GKM from Cement Creek Mixed with Animas River at Silverton</t>
  </si>
  <si>
    <t>Total Annual Flow Cement Creek on average</t>
  </si>
  <si>
    <t>(Total Flow X ave conc)</t>
  </si>
  <si>
    <t>Rough Estimate Annual Cement Cr Load Background</t>
  </si>
  <si>
    <t>Note:  iron for sample collected Aug 7  was reported on paper copy of the data but not in excel file later</t>
  </si>
  <si>
    <t>Sum All</t>
  </si>
  <si>
    <t>Selected Value (mg/L)</t>
  </si>
  <si>
    <t>Graphic Labels</t>
  </si>
  <si>
    <t>Major Cations    (Ca, K, Mg, Na)</t>
  </si>
  <si>
    <t>Summed Metals Less Cations</t>
  </si>
  <si>
    <t>ESTIMATED PEAK Concentration at 12:45 Aug 5, 2015</t>
  </si>
  <si>
    <t>Worksheet</t>
  </si>
  <si>
    <t>GKM Effluent Concentration</t>
  </si>
  <si>
    <t>Cement Cr 1600 Hr Sample</t>
  </si>
  <si>
    <t>Major Metals               (Pb, Cu, Zn, Cd, As) (11,600)</t>
  </si>
  <si>
    <t>Major Cations       (Ca, K, Mg, Na) 47,100</t>
  </si>
  <si>
    <r>
      <t>Selected</t>
    </r>
    <r>
      <rPr>
        <vertAlign val="superscript"/>
        <sz val="10"/>
        <color theme="1"/>
        <rFont val="Calibri"/>
        <family val="2"/>
        <scheme val="minor"/>
      </rPr>
      <t>1</t>
    </r>
  </si>
  <si>
    <r>
      <rPr>
        <vertAlign val="superscript"/>
        <sz val="9"/>
        <color theme="1"/>
        <rFont val="Calibri"/>
        <family val="2"/>
        <scheme val="minor"/>
      </rPr>
      <t xml:space="preserve">1 </t>
    </r>
    <r>
      <rPr>
        <sz val="9"/>
        <color theme="1"/>
        <rFont val="Calibri"/>
        <family val="2"/>
        <scheme val="minor"/>
      </rPr>
      <t>Selected to represent the total metals concentration in the GKM effluent at the time of the release</t>
    </r>
  </si>
  <si>
    <t xml:space="preserve">Gold King Mine Effluent  Partioning Between Dissolved and Colloidal Fractions </t>
  </si>
  <si>
    <t>Dissolved (ug/L)</t>
  </si>
  <si>
    <t>Total (ug/L)</t>
  </si>
  <si>
    <t>Dissolved/Total Ratio from Above for Samples With All Three Measurements Only</t>
  </si>
  <si>
    <t>For Graphing</t>
  </si>
  <si>
    <t>ND is non detect</t>
  </si>
  <si>
    <t>.1 ND</t>
  </si>
  <si>
    <t>.08 ND</t>
  </si>
  <si>
    <t>Cement Creek  Aug 5 16:00</t>
  </si>
  <si>
    <t>Selected Effluent</t>
  </si>
  <si>
    <t>Gold King Mine Effluent Samples and Worksheet for Selecting Values to Represent Effluent Metal Concentration at Time of Release</t>
  </si>
  <si>
    <t>SelectedValue to Represent Effluent in Calculations</t>
  </si>
  <si>
    <t>Ave of 3</t>
  </si>
  <si>
    <t>Source of Concentration Value Used to Represent GKM Effluent at Time of Release</t>
  </si>
  <si>
    <t>Average Aug 7, Aug 11, Sep 21 (Aug 15 seems abnormally low)</t>
  </si>
  <si>
    <r>
      <t xml:space="preserve">Effluent Concentration by Fraction in </t>
    </r>
    <r>
      <rPr>
        <b/>
        <sz val="14"/>
        <color theme="1"/>
        <rFont val="Calibri"/>
        <family val="2"/>
      </rPr>
      <t>µ</t>
    </r>
    <r>
      <rPr>
        <b/>
        <sz val="14"/>
        <color theme="1"/>
        <rFont val="Calibri"/>
        <family val="2"/>
        <scheme val="minor"/>
      </rPr>
      <t>g/L</t>
    </r>
  </si>
  <si>
    <r>
      <t xml:space="preserve">Concentration in </t>
    </r>
    <r>
      <rPr>
        <b/>
        <sz val="12"/>
        <color theme="1"/>
        <rFont val="Calibri"/>
        <family val="2"/>
      </rPr>
      <t>µ</t>
    </r>
    <r>
      <rPr>
        <b/>
        <sz val="12"/>
        <color theme="1"/>
        <rFont val="Calibri"/>
        <family val="2"/>
        <scheme val="minor"/>
      </rPr>
      <t>g/L</t>
    </r>
  </si>
  <si>
    <t xml:space="preserve">Sulfate </t>
  </si>
  <si>
    <t>Metal Data from Worksheet for Effluent Conc.</t>
  </si>
  <si>
    <t>Only dissolved fraction compared in this analysis</t>
  </si>
  <si>
    <t>Concentrations in mg/l</t>
  </si>
  <si>
    <t>Concentrations in ug/l</t>
  </si>
  <si>
    <t>NOTE: Because mercury was consistently at non-detect levels it is not included in most analyses</t>
  </si>
  <si>
    <t>with calcium</t>
  </si>
  <si>
    <t>Sum of metals measured by all data providers (mg/L)</t>
  </si>
  <si>
    <t>GKM Release Load Based on Selected Concentrations (kg)</t>
  </si>
  <si>
    <t>Assumed all effluent dissolved  (may not be 100% for As, Pb)</t>
  </si>
  <si>
    <t>Dissolved Concentration</t>
  </si>
  <si>
    <t>Total Concentration</t>
  </si>
  <si>
    <t>Sum Metals  less Cations</t>
  </si>
  <si>
    <t>Calculation of  GKM Effluent  Metal Load (kg)</t>
  </si>
  <si>
    <t xml:space="preserve">Summary </t>
  </si>
  <si>
    <t>Metals Load Released from GKM Adit (kg)</t>
  </si>
  <si>
    <r>
      <t xml:space="preserve">GKM Effluent (CC06) (kg)                                                              </t>
    </r>
    <r>
      <rPr>
        <b/>
        <sz val="10"/>
        <color theme="1"/>
        <rFont val="Calibri"/>
        <family val="2"/>
        <scheme val="minor"/>
      </rPr>
      <t xml:space="preserve"> (See worksheet: Computing Effluent Load)</t>
    </r>
  </si>
  <si>
    <t>Comparison of Concentrations in GKM Effluent and Cement Creek</t>
  </si>
  <si>
    <t>Total Concentration in mg/L</t>
  </si>
  <si>
    <t>Total Metals Mass in kg</t>
  </si>
  <si>
    <t>Worksheet for Effluent Load</t>
  </si>
  <si>
    <t>Location</t>
  </si>
  <si>
    <t>Mine</t>
  </si>
  <si>
    <t>Sample</t>
  </si>
  <si>
    <t>Sum of All Metals Concentrations</t>
  </si>
  <si>
    <t>Total Fraction</t>
  </si>
  <si>
    <t>Data Location in This File</t>
  </si>
  <si>
    <t>16:00 Estimated</t>
  </si>
  <si>
    <t>Cement Est 1245 Peak</t>
  </si>
  <si>
    <t>Dissolved Metals Concentration (mg/L)</t>
  </si>
  <si>
    <t>Increase Due to Effluent</t>
  </si>
  <si>
    <t>Unexplained Gain Observed</t>
  </si>
  <si>
    <t>Dissolved Concentration  ug/L</t>
  </si>
  <si>
    <t>GKM Effluent (Site CC06)</t>
  </si>
  <si>
    <t>Cement Creek Based on 16:00 hours sample from Cement Creek</t>
  </si>
  <si>
    <t>Cement Creek Dissolved Concentration Sampled at 16:00          (Site CC48)</t>
  </si>
  <si>
    <t xml:space="preserve">Estimated Background Concentration of Cement Creek </t>
  </si>
  <si>
    <t>Cement Creek Background</t>
  </si>
  <si>
    <t>Net New Dissolved Concentration in Cement Creek at 16:00 during GKM Plume</t>
  </si>
  <si>
    <t>Expected Dissolved in Cement Creek at 16:00  Based on Relative Flow and GKM Dissolved as Only Source</t>
  </si>
  <si>
    <t>Increase in Dissolved Concentration in Cement Creek outlet  at 16:00 Due to GKM Effluent Only</t>
  </si>
  <si>
    <t>Unexplained Increase in  Dissolved Concentration in Cement Creek at 16:00</t>
  </si>
  <si>
    <t>Sum of All Metals</t>
  </si>
  <si>
    <t>Sum of metals minus iron</t>
  </si>
  <si>
    <t>Total Fraction Concentration ug/L</t>
  </si>
  <si>
    <t xml:space="preserve"> ug/Liters</t>
  </si>
  <si>
    <t>ug/Liters</t>
  </si>
  <si>
    <t>Sum all metals</t>
  </si>
  <si>
    <t xml:space="preserve">This sample was processed in R8 laboratories.  </t>
  </si>
  <si>
    <t>Checked and verified these numbers with original data. 7/25/2016</t>
  </si>
  <si>
    <t>Total Fraction Concentration at 16:00 in Cement Creek</t>
  </si>
  <si>
    <t>Relative Change in Total  Concentration  of Metals in Cement Creek Due to Unexplained Sources</t>
  </si>
  <si>
    <t>Relative Change in Dissolved  Concentration  of Metals in Cement Creek Due to GLM Effluent</t>
  </si>
  <si>
    <t>Increase in Dissolved Fraction Between Mine and Outlet of Cement Creek</t>
  </si>
  <si>
    <t>Figure 3-17 below</t>
  </si>
  <si>
    <t>What Kind of  Metal Concentrations Were Picked Up in Cement  Creek Between the Mine and the Animas River?</t>
  </si>
  <si>
    <t>Net New Colloidal/Particulate in Cement Creek at 16:00</t>
  </si>
  <si>
    <t>Metals Mass Delivered to Animas</t>
  </si>
  <si>
    <t>Metals Mass Delivered From Gold King Mine from Cement to Animas River  (kg)</t>
  </si>
  <si>
    <t>Metals Mass From Gold King Mine Release Delivered to Animas River at Silverton (CC 14th St) (kg)</t>
  </si>
  <si>
    <t>Summed Total</t>
  </si>
  <si>
    <t xml:space="preserve">Total </t>
  </si>
  <si>
    <t>Summed Total Metals</t>
  </si>
  <si>
    <t>Summed Total Minus Cations</t>
  </si>
  <si>
    <t>For graphing</t>
  </si>
  <si>
    <t>Fe, Al, Mn</t>
  </si>
  <si>
    <t xml:space="preserve"> Pb, Cu, Zn, Cd, As</t>
  </si>
  <si>
    <t>Summed Metals For Summarizing Graphs</t>
  </si>
  <si>
    <t>Ca, K, Mg, Na</t>
  </si>
  <si>
    <t>Trace</t>
  </si>
  <si>
    <t xml:space="preserve"> Summarizing Total Metals</t>
  </si>
  <si>
    <t>Plume mass computed in:  Empirical Model GKM Plume_Total Water.xls and Empirical Model GKM Plume_Dissolved Water.xls</t>
  </si>
  <si>
    <t>Total Rounded</t>
  </si>
  <si>
    <t>Mass from Cement Creek WAS calculated by the Empirical Model GKM Plume</t>
  </si>
  <si>
    <t>Mass Delivered from Cement Creek to Animas River (kg)</t>
  </si>
  <si>
    <t>Figure 3-19 B</t>
  </si>
  <si>
    <t>Figure 3-19 A</t>
  </si>
  <si>
    <t>Estimated Background Metals Concentrations in Cement Creek  (ug/L)</t>
  </si>
  <si>
    <t>This file focuses on estimating the concentrations and mass of metals in the GKM mine effluent and in Cement Creek that was released to the Animas River.</t>
  </si>
  <si>
    <t xml:space="preserve">Results are based on sampling at the mine adit after the release and in Cement Creek during the release.   </t>
  </si>
  <si>
    <t>Guide to This File</t>
  </si>
  <si>
    <t>Worksheets that contain Figure or Table from Final Report are identified by this tab color</t>
  </si>
  <si>
    <t>Guide to Location of Final Report Figures and Tables Found in this File</t>
  </si>
  <si>
    <t>Report Figure Or Table</t>
  </si>
  <si>
    <t>The file may also contain other worksheets with data or figures, or additional figures that did not make it into the report, for informational purposes.</t>
  </si>
  <si>
    <t>Figure 3-9</t>
  </si>
  <si>
    <t>Figure 3-10</t>
  </si>
  <si>
    <t>Figure 3-11</t>
  </si>
  <si>
    <t>Effluent Conc Fig 3-9</t>
  </si>
  <si>
    <t>Ratio Diss to Tot Fig 3-10</t>
  </si>
  <si>
    <t>Effluent Conc Fig 3-11</t>
  </si>
  <si>
    <t>Figure 3-12</t>
  </si>
  <si>
    <t>Graphics_Release Load Fig 3-12</t>
  </si>
  <si>
    <t>Figure 3-15</t>
  </si>
  <si>
    <t>Compare GKM w Cement Fig 3-15</t>
  </si>
  <si>
    <t>Figure 3-17</t>
  </si>
  <si>
    <t>Fig 3-17 Est Added Dissolved CC</t>
  </si>
  <si>
    <t>Figure 3-19</t>
  </si>
  <si>
    <t>Mass Delivered Figs 3-19, 3-20</t>
  </si>
  <si>
    <t>Figure 3-20</t>
  </si>
  <si>
    <t>Table 3-1</t>
  </si>
  <si>
    <t>Table 3-2</t>
  </si>
  <si>
    <t>Table 3-2 GKM Mass to Animas</t>
  </si>
  <si>
    <t>Table 3-1 Effluent Data</t>
  </si>
  <si>
    <t>Comparison of GKM Dissolved Effluent with Cement Creek--Figure 3-11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</si>
</sst>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3" formatCode="_(* #,##0.00_);_(* \(#,##0.00\);_(* &quot;-&quot;??_);_(@_)"/>
    <numFmt numFmtId="164" formatCode="#,##0.000"/>
    <numFmt numFmtId="165" formatCode="#,##0.0"/>
    <numFmt numFmtId="166" formatCode="_(* #,##0_);_(* \(#,##0\);_(* &quot;-&quot;??_);_(@_)"/>
    <numFmt numFmtId="167" formatCode="0.0000"/>
    <numFmt numFmtId="168" formatCode="0.00000"/>
    <numFmt numFmtId="169" formatCode="0.0"/>
    <numFmt numFmtId="170" formatCode="0.000"/>
    <numFmt numFmtId="171" formatCode="[$-F400]h:mm:ss\ AM/PM"/>
    <numFmt numFmtId="172" formatCode="#,##0.00000"/>
    <numFmt numFmtId="173" formatCode="0.0%"/>
    <numFmt numFmtId="174" formatCode="#,##0.0000"/>
    <numFmt numFmtId="175" formatCode="0.000000"/>
    <numFmt numFmtId="176" formatCode="0.0000000"/>
    <numFmt numFmtId="177" formatCode="0.00000000"/>
  </numFmts>
  <fonts count="79" x14ac:knownFonts="1">
    <font>
      <sz val="10"/>
      <color theme="1"/>
      <name val="Calibri"/>
      <family val="2"/>
      <scheme val="minor"/>
    </font>
    <font>
      <sz val="10"/>
      <color theme="1"/>
      <name val="Calibri"/>
      <family val="2"/>
    </font>
    <font>
      <sz val="11"/>
      <color theme="1"/>
      <name val="Calibri"/>
      <family val="2"/>
      <scheme val="minor"/>
    </font>
    <font>
      <sz val="11"/>
      <color theme="1"/>
      <name val="Calibri"/>
      <family val="2"/>
      <scheme val="minor"/>
    </font>
    <font>
      <sz val="10"/>
      <color theme="1"/>
      <name val="Calibri"/>
      <family val="2"/>
      <scheme val="minor"/>
    </font>
    <font>
      <sz val="8"/>
      <color theme="1"/>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b/>
      <sz val="11"/>
      <color theme="1"/>
      <name val="Calibri"/>
      <family val="2"/>
      <scheme val="minor"/>
    </font>
    <font>
      <b/>
      <sz val="9"/>
      <color theme="1"/>
      <name val="Calibri"/>
      <family val="2"/>
      <scheme val="minor"/>
    </font>
    <font>
      <sz val="10"/>
      <color rgb="FFFF0000"/>
      <name val="Calibri"/>
      <family val="2"/>
      <scheme val="minor"/>
    </font>
    <font>
      <sz val="11"/>
      <color theme="1"/>
      <name val="Calibri"/>
      <family val="2"/>
    </font>
    <font>
      <sz val="12"/>
      <color theme="1"/>
      <name val="Calibri"/>
      <family val="2"/>
      <scheme val="minor"/>
    </font>
    <font>
      <b/>
      <sz val="18"/>
      <color theme="1"/>
      <name val="Calibri"/>
      <family val="2"/>
      <scheme val="minor"/>
    </font>
    <font>
      <sz val="9"/>
      <color indexed="81"/>
      <name val="Tahoma"/>
      <family val="2"/>
    </font>
    <font>
      <b/>
      <sz val="9"/>
      <color indexed="81"/>
      <name val="Tahoma"/>
      <family val="2"/>
    </font>
    <font>
      <sz val="9"/>
      <color theme="1"/>
      <name val="Calibri"/>
      <family val="2"/>
      <scheme val="minor"/>
    </font>
    <font>
      <b/>
      <sz val="16"/>
      <color theme="1"/>
      <name val="Calibri"/>
      <family val="2"/>
      <scheme val="minor"/>
    </font>
    <font>
      <b/>
      <sz val="11"/>
      <color theme="1"/>
      <name val="Gill Sans MT"/>
      <family val="2"/>
    </font>
    <font>
      <b/>
      <sz val="12"/>
      <color rgb="FF0033CC"/>
      <name val="Calibri"/>
      <family val="2"/>
      <scheme val="minor"/>
    </font>
    <font>
      <sz val="10"/>
      <color rgb="FF000000"/>
      <name val="Calibri"/>
      <family val="2"/>
    </font>
    <font>
      <sz val="10"/>
      <color theme="1"/>
      <name val="Gill Sans MT"/>
      <family val="2"/>
    </font>
    <font>
      <b/>
      <sz val="10"/>
      <color theme="1"/>
      <name val="Gill Sans MT"/>
      <family val="2"/>
    </font>
    <font>
      <sz val="10"/>
      <color rgb="FF000000"/>
      <name val="Gill Sans MT"/>
      <family val="2"/>
    </font>
    <font>
      <i/>
      <sz val="10"/>
      <color rgb="FF000000"/>
      <name val="Gill Sans MT"/>
      <family val="2"/>
    </font>
    <font>
      <i/>
      <sz val="10"/>
      <color theme="1"/>
      <name val="Gill Sans MT"/>
      <family val="2"/>
    </font>
    <font>
      <b/>
      <sz val="12"/>
      <color theme="1"/>
      <name val="Gill Sans MT"/>
      <family val="2"/>
    </font>
    <font>
      <b/>
      <sz val="22"/>
      <color theme="1"/>
      <name val="Calibri"/>
      <family val="2"/>
      <scheme val="minor"/>
    </font>
    <font>
      <b/>
      <i/>
      <sz val="11"/>
      <color theme="1"/>
      <name val="Gill Sans MT"/>
      <family val="2"/>
    </font>
    <font>
      <b/>
      <sz val="10"/>
      <color rgb="FFFF0000"/>
      <name val="Calibri"/>
      <family val="2"/>
      <scheme val="minor"/>
    </font>
    <font>
      <b/>
      <sz val="12"/>
      <color rgb="FFFF0000"/>
      <name val="Calibri"/>
      <family val="2"/>
      <scheme val="minor"/>
    </font>
    <font>
      <b/>
      <sz val="10"/>
      <color rgb="FF000000"/>
      <name val="Gill Sans MT"/>
      <family val="2"/>
    </font>
    <font>
      <b/>
      <i/>
      <sz val="10"/>
      <color rgb="FF000000"/>
      <name val="Gill Sans MT"/>
      <family val="2"/>
    </font>
    <font>
      <b/>
      <i/>
      <sz val="10"/>
      <color theme="1"/>
      <name val="Gill Sans MT"/>
      <family val="2"/>
    </font>
    <font>
      <sz val="10"/>
      <color theme="1"/>
      <name val="Calibri"/>
      <family val="2"/>
    </font>
    <font>
      <sz val="10"/>
      <name val="Gill Sans MT"/>
      <family val="2"/>
    </font>
    <font>
      <b/>
      <i/>
      <sz val="12"/>
      <color theme="1"/>
      <name val="Calibri"/>
      <family val="2"/>
      <scheme val="minor"/>
    </font>
    <font>
      <sz val="10"/>
      <color rgb="FF000000"/>
      <name val="Arial"/>
      <family val="2"/>
    </font>
    <font>
      <sz val="9"/>
      <color rgb="FF595959"/>
      <name val="Trebuchet MS"/>
      <family val="2"/>
    </font>
    <font>
      <sz val="9"/>
      <color rgb="FF000000"/>
      <name val="Calibri"/>
      <family val="2"/>
    </font>
    <font>
      <i/>
      <sz val="9"/>
      <color rgb="FF595959"/>
      <name val="Trebuchet MS"/>
      <family val="2"/>
    </font>
    <font>
      <sz val="10"/>
      <color rgb="FF0033CC"/>
      <name val="Calibri"/>
      <family val="2"/>
      <scheme val="minor"/>
    </font>
    <font>
      <b/>
      <sz val="11"/>
      <color theme="0"/>
      <name val="Calibri"/>
      <family val="2"/>
      <scheme val="minor"/>
    </font>
    <font>
      <sz val="11"/>
      <color rgb="FF000000"/>
      <name val="Calibri"/>
      <family val="2"/>
      <scheme val="minor"/>
    </font>
    <font>
      <sz val="10"/>
      <color rgb="FF000000"/>
      <name val="Calibri"/>
      <family val="2"/>
      <scheme val="minor"/>
    </font>
    <font>
      <b/>
      <sz val="10"/>
      <color rgb="FF000000"/>
      <name val="Calibri"/>
      <family val="2"/>
      <scheme val="minor"/>
    </font>
    <font>
      <sz val="8"/>
      <color rgb="FF000000"/>
      <name val="Calibri"/>
      <family val="2"/>
      <scheme val="minor"/>
    </font>
    <font>
      <sz val="9"/>
      <color rgb="FF000000"/>
      <name val="Calibri"/>
      <family val="2"/>
      <scheme val="minor"/>
    </font>
    <font>
      <b/>
      <sz val="14"/>
      <color rgb="FF0033CC"/>
      <name val="Calibri"/>
      <family val="2"/>
      <scheme val="minor"/>
    </font>
    <font>
      <sz val="11"/>
      <color rgb="FF0033CC"/>
      <name val="Calibri"/>
      <family val="2"/>
      <scheme val="minor"/>
    </font>
    <font>
      <b/>
      <sz val="11"/>
      <color rgb="FFFF0000"/>
      <name val="Calibri"/>
      <family val="2"/>
      <scheme val="minor"/>
    </font>
    <font>
      <b/>
      <sz val="18"/>
      <name val="Calibri"/>
      <family val="2"/>
      <scheme val="minor"/>
    </font>
    <font>
      <sz val="9"/>
      <color theme="1"/>
      <name val="Calibri"/>
      <family val="2"/>
    </font>
    <font>
      <sz val="9"/>
      <color indexed="8"/>
      <name val="Calibri"/>
      <family val="2"/>
    </font>
    <font>
      <b/>
      <sz val="12"/>
      <color indexed="8"/>
      <name val="Calibri"/>
      <family val="2"/>
    </font>
    <font>
      <sz val="9"/>
      <color rgb="FFFF0000"/>
      <name val="Calibri"/>
      <family val="2"/>
    </font>
    <font>
      <i/>
      <sz val="10"/>
      <color theme="1"/>
      <name val="Calibri"/>
      <family val="2"/>
      <scheme val="minor"/>
    </font>
    <font>
      <vertAlign val="superscript"/>
      <sz val="10"/>
      <color theme="1"/>
      <name val="Calibri"/>
      <family val="2"/>
      <scheme val="minor"/>
    </font>
    <font>
      <sz val="22"/>
      <color theme="1"/>
      <name val="Calibri"/>
      <family val="2"/>
      <scheme val="minor"/>
    </font>
    <font>
      <b/>
      <sz val="10"/>
      <color rgb="FF0033CC"/>
      <name val="Calibri"/>
      <family val="2"/>
      <scheme val="minor"/>
    </font>
    <font>
      <b/>
      <sz val="11"/>
      <color theme="5" tint="-0.249977111117893"/>
      <name val="Calibri"/>
      <family val="2"/>
      <scheme val="minor"/>
    </font>
    <font>
      <b/>
      <sz val="10"/>
      <name val="Calibri"/>
      <family val="2"/>
      <scheme val="minor"/>
    </font>
    <font>
      <vertAlign val="superscript"/>
      <sz val="9"/>
      <color theme="1"/>
      <name val="Calibri"/>
      <family val="2"/>
      <scheme val="minor"/>
    </font>
    <font>
      <sz val="11"/>
      <color theme="1"/>
      <name val="Gill Sans MT"/>
      <family val="2"/>
    </font>
    <font>
      <sz val="9"/>
      <color theme="1"/>
      <name val="Gill Sans MT"/>
      <family val="2"/>
    </font>
    <font>
      <sz val="10"/>
      <color rgb="FFFF0000"/>
      <name val="Calibri"/>
      <family val="2"/>
    </font>
    <font>
      <b/>
      <sz val="14"/>
      <color theme="1"/>
      <name val="Calibri"/>
      <family val="2"/>
    </font>
    <font>
      <b/>
      <sz val="12"/>
      <color theme="1"/>
      <name val="Calibri"/>
      <family val="2"/>
    </font>
    <font>
      <b/>
      <sz val="12"/>
      <color rgb="FF000000"/>
      <name val="Calibri"/>
      <family val="2"/>
      <scheme val="minor"/>
    </font>
    <font>
      <b/>
      <sz val="16"/>
      <color rgb="FF444CEC"/>
      <name val="Calibri"/>
      <family val="2"/>
      <scheme val="minor"/>
    </font>
    <font>
      <sz val="16"/>
      <color theme="1"/>
      <name val="Calibri"/>
      <family val="2"/>
      <scheme val="minor"/>
    </font>
    <font>
      <b/>
      <sz val="12"/>
      <color rgb="FF444CEC"/>
      <name val="Calibri"/>
      <family val="2"/>
      <scheme val="minor"/>
    </font>
    <font>
      <sz val="9"/>
      <name val="Calibri"/>
      <family val="2"/>
    </font>
    <font>
      <b/>
      <sz val="12"/>
      <color rgb="FF352BF5"/>
      <name val="Calibri"/>
      <family val="2"/>
      <scheme val="minor"/>
    </font>
    <font>
      <b/>
      <sz val="11"/>
      <color rgb="FF352BF5"/>
      <name val="Calibri"/>
      <family val="2"/>
      <scheme val="minor"/>
    </font>
    <font>
      <sz val="11"/>
      <color theme="0"/>
      <name val="Calibri"/>
      <family val="2"/>
      <scheme val="minor"/>
    </font>
    <font>
      <b/>
      <sz val="12"/>
      <color rgb="FF0000FF"/>
      <name val="Calibri"/>
      <family val="2"/>
      <scheme val="minor"/>
    </font>
    <font>
      <b/>
      <sz val="14"/>
      <color rgb="FF352BF5"/>
      <name val="Calibri"/>
      <family val="2"/>
      <scheme val="minor"/>
    </font>
  </fonts>
  <fills count="23">
    <fill>
      <patternFill patternType="none"/>
    </fill>
    <fill>
      <patternFill patternType="gray125"/>
    </fill>
    <fill>
      <patternFill patternType="solid">
        <fgColor theme="7" tint="0.59999389629810485"/>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rgb="FFFFFFCC"/>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2"/>
        <bgColor indexed="64"/>
      </patternFill>
    </fill>
    <fill>
      <patternFill patternType="solid">
        <fgColor rgb="FF0033CC"/>
        <bgColor indexed="64"/>
      </patternFill>
    </fill>
    <fill>
      <patternFill patternType="solid">
        <fgColor theme="3" tint="0.79998168889431442"/>
        <bgColor indexed="64"/>
      </patternFill>
    </fill>
    <fill>
      <patternFill patternType="solid">
        <fgColor rgb="FFDCE6EC"/>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5" tint="-0.249977111117893"/>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style="thin">
        <color auto="1"/>
      </right>
      <top/>
      <bottom/>
      <diagonal/>
    </border>
    <border>
      <left/>
      <right style="thin">
        <color auto="1"/>
      </right>
      <top/>
      <bottom style="thin">
        <color auto="1"/>
      </bottom>
      <diagonal/>
    </border>
    <border>
      <left style="thin">
        <color auto="1"/>
      </left>
      <right/>
      <top/>
      <bottom style="thin">
        <color auto="1"/>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top style="thin">
        <color indexed="64"/>
      </top>
      <bottom/>
      <diagonal/>
    </border>
    <border>
      <left/>
      <right/>
      <top style="thin">
        <color indexed="64"/>
      </top>
      <bottom style="thin">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diagonal/>
    </border>
    <border>
      <left style="thin">
        <color theme="0" tint="-0.34998626667073579"/>
      </left>
      <right style="thin">
        <color theme="0" tint="-0.34998626667073579"/>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style="thin">
        <color theme="0" tint="-0.24994659260841701"/>
      </left>
      <right style="thin">
        <color theme="0" tint="-0.24994659260841701"/>
      </right>
      <top style="medium">
        <color theme="1" tint="0.499984740745262"/>
      </top>
      <bottom style="medium">
        <color theme="1" tint="0.499984740745262"/>
      </bottom>
      <diagonal/>
    </border>
    <border>
      <left style="medium">
        <color theme="0" tint="-4.9989318521683403E-2"/>
      </left>
      <right style="medium">
        <color theme="0" tint="-4.9989318521683403E-2"/>
      </right>
      <top style="medium">
        <color theme="0" tint="-4.9989318521683403E-2"/>
      </top>
      <bottom style="medium">
        <color theme="1" tint="0.499984740745262"/>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style="thin">
        <color theme="0"/>
      </left>
      <right style="thin">
        <color theme="0"/>
      </right>
      <top style="thin">
        <color theme="0" tint="-0.34998626667073579"/>
      </top>
      <bottom style="thin">
        <color theme="0"/>
      </bottom>
      <diagonal/>
    </border>
    <border>
      <left style="thin">
        <color theme="0"/>
      </left>
      <right style="thin">
        <color theme="0"/>
      </right>
      <top style="thin">
        <color theme="0"/>
      </top>
      <bottom style="thin">
        <color theme="0"/>
      </bottom>
      <diagonal/>
    </border>
    <border>
      <left style="thin">
        <color theme="0" tint="-0.34998626667073579"/>
      </left>
      <right/>
      <top/>
      <bottom style="thin">
        <color theme="0" tint="-0.34998626667073579"/>
      </bottom>
      <diagonal/>
    </border>
    <border>
      <left style="thin">
        <color theme="0" tint="-0.34998626667073579"/>
      </left>
      <right/>
      <top/>
      <bottom/>
      <diagonal/>
    </border>
    <border>
      <left style="thin">
        <color rgb="FFC0C0C0"/>
      </left>
      <right style="thin">
        <color rgb="FFC0C0C0"/>
      </right>
      <top style="thin">
        <color rgb="FFC0C0C0"/>
      </top>
      <bottom style="thin">
        <color rgb="FFC0C0C0"/>
      </bottom>
      <diagonal/>
    </border>
    <border>
      <left style="thin">
        <color auto="1"/>
      </left>
      <right style="thin">
        <color theme="1" tint="0.499984740745262"/>
      </right>
      <top style="thin">
        <color auto="1"/>
      </top>
      <bottom style="thin">
        <color theme="1" tint="0.499984740745262"/>
      </bottom>
      <diagonal/>
    </border>
    <border>
      <left style="thin">
        <color theme="1" tint="0.499984740745262"/>
      </left>
      <right style="thin">
        <color theme="1" tint="0.499984740745262"/>
      </right>
      <top style="thin">
        <color auto="1"/>
      </top>
      <bottom style="thin">
        <color theme="1" tint="0.499984740745262"/>
      </bottom>
      <diagonal/>
    </border>
    <border>
      <left style="thin">
        <color theme="1" tint="0.499984740745262"/>
      </left>
      <right style="thin">
        <color auto="1"/>
      </right>
      <top style="thin">
        <color auto="1"/>
      </top>
      <bottom style="thin">
        <color theme="1" tint="0.499984740745262"/>
      </bottom>
      <diagonal/>
    </border>
    <border>
      <left style="thin">
        <color auto="1"/>
      </left>
      <right style="thin">
        <color theme="1" tint="0.499984740745262"/>
      </right>
      <top style="thin">
        <color theme="1" tint="0.499984740745262"/>
      </top>
      <bottom style="thin">
        <color theme="1" tint="0.499984740745262"/>
      </bottom>
      <diagonal/>
    </border>
    <border>
      <left style="thin">
        <color theme="1" tint="0.499984740745262"/>
      </left>
      <right style="thin">
        <color auto="1"/>
      </right>
      <top style="thin">
        <color theme="1" tint="0.499984740745262"/>
      </top>
      <bottom style="thin">
        <color theme="1" tint="0.499984740745262"/>
      </bottom>
      <diagonal/>
    </border>
    <border>
      <left style="thin">
        <color auto="1"/>
      </left>
      <right style="thin">
        <color theme="1" tint="0.499984740745262"/>
      </right>
      <top style="thin">
        <color theme="1" tint="0.499984740745262"/>
      </top>
      <bottom style="thin">
        <color auto="1"/>
      </bottom>
      <diagonal/>
    </border>
    <border>
      <left style="thin">
        <color theme="1" tint="0.499984740745262"/>
      </left>
      <right style="thin">
        <color theme="1" tint="0.499984740745262"/>
      </right>
      <top style="thin">
        <color theme="1" tint="0.499984740745262"/>
      </top>
      <bottom style="thin">
        <color auto="1"/>
      </bottom>
      <diagonal/>
    </border>
    <border>
      <left style="medium">
        <color rgb="FFA3A3A3"/>
      </left>
      <right style="medium">
        <color rgb="FFA3A3A3"/>
      </right>
      <top style="medium">
        <color rgb="FFA3A3A3"/>
      </top>
      <bottom style="medium">
        <color rgb="FFA3A3A3"/>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22"/>
      </top>
      <bottom style="thin">
        <color indexed="22"/>
      </bottom>
      <diagonal/>
    </border>
    <border>
      <left/>
      <right/>
      <top style="thin">
        <color indexed="22"/>
      </top>
      <bottom style="thin">
        <color indexed="64"/>
      </bottom>
      <diagonal/>
    </border>
    <border>
      <left/>
      <right/>
      <top style="thin">
        <color indexed="22"/>
      </top>
      <bottom style="thin">
        <color theme="1" tint="0.24994659260841701"/>
      </bottom>
      <diagonal/>
    </border>
    <border>
      <left/>
      <right style="thin">
        <color indexed="64"/>
      </right>
      <top/>
      <bottom style="thin">
        <color indexed="64"/>
      </bottom>
      <diagonal/>
    </border>
    <border>
      <left style="thin">
        <color rgb="FFA3A3A3"/>
      </left>
      <right style="thin">
        <color rgb="FFA3A3A3"/>
      </right>
      <top style="thin">
        <color rgb="FFA3A3A3"/>
      </top>
      <bottom style="thin">
        <color rgb="FFA3A3A3"/>
      </bottom>
      <diagonal/>
    </border>
    <border>
      <left style="medium">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thin">
        <color theme="0" tint="-0.34998626667073579"/>
      </left>
      <right/>
      <top style="thin">
        <color theme="0" tint="-0.34998626667073579"/>
      </top>
      <bottom style="medium">
        <color theme="0" tint="-0.34998626667073579"/>
      </bottom>
      <diagonal/>
    </border>
    <border>
      <left/>
      <right style="thin">
        <color theme="0" tint="-0.34998626667073579"/>
      </right>
      <top style="thin">
        <color theme="0" tint="-0.34998626667073579"/>
      </top>
      <bottom style="medium">
        <color theme="0" tint="-0.34998626667073579"/>
      </bottom>
      <diagonal/>
    </border>
    <border>
      <left style="thin">
        <color theme="0" tint="-0.34998626667073579"/>
      </left>
      <right/>
      <top style="medium">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499984740745262"/>
      </left>
      <right style="thin">
        <color theme="0" tint="-0.499984740745262"/>
      </right>
      <top style="thin">
        <color theme="0" tint="-0.499984740745262"/>
      </top>
      <bottom style="medium">
        <color theme="0" tint="-0.34998626667073579"/>
      </bottom>
      <diagonal/>
    </border>
    <border>
      <left/>
      <right/>
      <top/>
      <bottom style="medium">
        <color theme="0" tint="-0.34998626667073579"/>
      </bottom>
      <diagonal/>
    </border>
    <border>
      <left style="medium">
        <color theme="0" tint="-0.24994659260841701"/>
      </left>
      <right style="thin">
        <color theme="0" tint="-0.499984740745262"/>
      </right>
      <top style="medium">
        <color theme="0" tint="-0.24994659260841701"/>
      </top>
      <bottom style="thin">
        <color theme="0" tint="-0.499984740745262"/>
      </bottom>
      <diagonal/>
    </border>
    <border>
      <left style="thin">
        <color theme="0" tint="-0.499984740745262"/>
      </left>
      <right style="thin">
        <color theme="0" tint="-0.499984740745262"/>
      </right>
      <top style="medium">
        <color theme="0" tint="-0.24994659260841701"/>
      </top>
      <bottom style="thin">
        <color theme="0" tint="-0.499984740745262"/>
      </bottom>
      <diagonal/>
    </border>
    <border>
      <left style="thin">
        <color theme="0" tint="-0.499984740745262"/>
      </left>
      <right style="medium">
        <color theme="0" tint="-0.24994659260841701"/>
      </right>
      <top style="medium">
        <color theme="0" tint="-0.24994659260841701"/>
      </top>
      <bottom style="thin">
        <color theme="0" tint="-0.499984740745262"/>
      </bottom>
      <diagonal/>
    </border>
    <border>
      <left style="medium">
        <color theme="0" tint="-0.24994659260841701"/>
      </left>
      <right style="thin">
        <color theme="0" tint="-0.499984740745262"/>
      </right>
      <top style="thin">
        <color theme="0" tint="-0.499984740745262"/>
      </top>
      <bottom style="medium">
        <color theme="0" tint="-0.34998626667073579"/>
      </bottom>
      <diagonal/>
    </border>
    <border>
      <left style="thin">
        <color theme="0" tint="-0.499984740745262"/>
      </left>
      <right style="medium">
        <color theme="0" tint="-0.24994659260841701"/>
      </right>
      <top style="thin">
        <color theme="0" tint="-0.499984740745262"/>
      </top>
      <bottom style="medium">
        <color theme="0" tint="-0.34998626667073579"/>
      </bottom>
      <diagonal/>
    </border>
    <border>
      <left style="medium">
        <color theme="0" tint="-0.34998626667073579"/>
      </left>
      <right/>
      <top style="medium">
        <color theme="0" tint="-0.34998626667073579"/>
      </top>
      <bottom style="thin">
        <color theme="0" tint="-0.34998626667073579"/>
      </bottom>
      <diagonal/>
    </border>
    <border>
      <left style="medium">
        <color theme="0" tint="-0.34998626667073579"/>
      </left>
      <right/>
      <top style="thin">
        <color theme="0" tint="-0.34998626667073579"/>
      </top>
      <bottom style="thin">
        <color theme="0" tint="-0.34998626667073579"/>
      </bottom>
      <diagonal/>
    </border>
    <border>
      <left style="medium">
        <color theme="0" tint="-0.34998626667073579"/>
      </left>
      <right/>
      <top style="thin">
        <color theme="0" tint="-0.34998626667073579"/>
      </top>
      <bottom style="medium">
        <color theme="0" tint="-0.34998626667073579"/>
      </bottom>
      <diagonal/>
    </border>
    <border>
      <left style="medium">
        <color theme="0" tint="-0.34998626667073579"/>
      </left>
      <right/>
      <top/>
      <bottom style="thin">
        <color theme="0" tint="-0.34998626667073579"/>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theme="0" tint="-0.499984740745262"/>
      </left>
      <right/>
      <top style="thin">
        <color theme="0" tint="-0.499984740745262"/>
      </top>
      <bottom style="thin">
        <color theme="0" tint="-0.499984740745262"/>
      </bottom>
      <diagonal/>
    </border>
    <border>
      <left/>
      <right/>
      <top style="thin">
        <color auto="1"/>
      </top>
      <bottom/>
      <diagonal/>
    </border>
    <border>
      <left/>
      <right/>
      <top style="thin">
        <color auto="1"/>
      </top>
      <bottom style="thin">
        <color auto="1"/>
      </bottom>
      <diagonal/>
    </border>
    <border>
      <left/>
      <right style="thin">
        <color auto="1"/>
      </right>
      <top style="thin">
        <color theme="0" tint="-0.499984740745262"/>
      </top>
      <bottom style="thin">
        <color theme="0" tint="-0.499984740745262"/>
      </bottom>
      <diagonal/>
    </border>
    <border>
      <left/>
      <right style="thin">
        <color auto="1"/>
      </right>
      <top style="thin">
        <color auto="1"/>
      </top>
      <bottom style="thin">
        <color auto="1"/>
      </bottom>
      <diagonal/>
    </border>
    <border>
      <left style="thin">
        <color theme="0"/>
      </left>
      <right style="thin">
        <color theme="0"/>
      </right>
      <top/>
      <bottom/>
      <diagonal/>
    </border>
    <border>
      <left style="medium">
        <color rgb="FFA3A3A3"/>
      </left>
      <right/>
      <top style="medium">
        <color rgb="FFA3A3A3"/>
      </top>
      <bottom style="medium">
        <color rgb="FFA3A3A3"/>
      </bottom>
      <diagonal/>
    </border>
    <border>
      <left/>
      <right/>
      <top style="medium">
        <color rgb="FFA3A3A3"/>
      </top>
      <bottom style="medium">
        <color rgb="FFA3A3A3"/>
      </bottom>
      <diagonal/>
    </border>
    <border>
      <left/>
      <right style="medium">
        <color rgb="FFA3A3A3"/>
      </right>
      <top style="medium">
        <color rgb="FFA3A3A3"/>
      </top>
      <bottom style="medium">
        <color rgb="FFA3A3A3"/>
      </bottom>
      <diagonal/>
    </border>
    <border>
      <left style="thin">
        <color rgb="FFA3A3A3"/>
      </left>
      <right/>
      <top style="thin">
        <color rgb="FFA3A3A3"/>
      </top>
      <bottom style="thin">
        <color rgb="FFA3A3A3"/>
      </bottom>
      <diagonal/>
    </border>
    <border>
      <left/>
      <right/>
      <top style="thin">
        <color rgb="FFA3A3A3"/>
      </top>
      <bottom style="thin">
        <color rgb="FFA3A3A3"/>
      </bottom>
      <diagonal/>
    </border>
    <border>
      <left/>
      <right style="thin">
        <color rgb="FFA3A3A3"/>
      </right>
      <top style="thin">
        <color rgb="FFA3A3A3"/>
      </top>
      <bottom style="thin">
        <color rgb="FFA3A3A3"/>
      </bottom>
      <diagonal/>
    </border>
    <border>
      <left/>
      <right/>
      <top/>
      <bottom style="thin">
        <color theme="0" tint="-0.34998626667073579"/>
      </bottom>
      <diagonal/>
    </border>
    <border>
      <left style="thin">
        <color theme="0" tint="-0.34998626667073579"/>
      </left>
      <right style="thin">
        <color theme="0" tint="-0.34998626667073579"/>
      </right>
      <top/>
      <bottom style="medium">
        <color theme="0" tint="-0.34998626667073579"/>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auto="1"/>
      </top>
      <bottom style="thin">
        <color auto="1"/>
      </bottom>
      <diagonal/>
    </border>
  </borders>
  <cellStyleXfs count="5">
    <xf numFmtId="0" fontId="0" fillId="0" borderId="0"/>
    <xf numFmtId="43" fontId="4" fillId="0" borderId="0" applyFont="0" applyFill="0" applyBorder="0" applyAlignment="0" applyProtection="0"/>
    <xf numFmtId="0" fontId="4" fillId="6" borderId="4" applyNumberFormat="0" applyFont="0" applyAlignment="0" applyProtection="0"/>
    <xf numFmtId="9" fontId="4" fillId="0" borderId="0" applyFont="0" applyFill="0" applyBorder="0" applyAlignment="0" applyProtection="0"/>
    <xf numFmtId="0" fontId="38" fillId="0" borderId="0"/>
  </cellStyleXfs>
  <cellXfs count="651">
    <xf numFmtId="0" fontId="0" fillId="0" borderId="0" xfId="0"/>
    <xf numFmtId="0" fontId="0" fillId="0" borderId="0" xfId="0" applyAlignment="1">
      <alignment horizontal="center"/>
    </xf>
    <xf numFmtId="0" fontId="0" fillId="0" borderId="1" xfId="0" applyBorder="1"/>
    <xf numFmtId="165" fontId="0" fillId="0" borderId="1" xfId="0" applyNumberFormat="1" applyBorder="1" applyAlignment="1">
      <alignment horizontal="center"/>
    </xf>
    <xf numFmtId="0" fontId="5" fillId="0" borderId="0" xfId="0" applyFont="1" applyFill="1" applyBorder="1" applyAlignment="1">
      <alignment horizontal="center" vertical="center"/>
    </xf>
    <xf numFmtId="0" fontId="5" fillId="0" borderId="0" xfId="0" applyFont="1" applyFill="1" applyAlignment="1">
      <alignment horizontal="center"/>
    </xf>
    <xf numFmtId="0" fontId="5" fillId="0" borderId="0" xfId="0" applyFont="1" applyAlignment="1">
      <alignment horizontal="center"/>
    </xf>
    <xf numFmtId="0" fontId="5" fillId="0" borderId="0" xfId="0" applyFont="1" applyAlignment="1">
      <alignment horizontal="center" wrapText="1"/>
    </xf>
    <xf numFmtId="0" fontId="0" fillId="0" borderId="0" xfId="0" applyAlignment="1">
      <alignment horizontal="right"/>
    </xf>
    <xf numFmtId="0" fontId="6" fillId="0" borderId="0" xfId="0" applyFont="1" applyAlignment="1">
      <alignment horizontal="center"/>
    </xf>
    <xf numFmtId="3" fontId="5" fillId="0" borderId="0" xfId="0" applyNumberFormat="1" applyFont="1" applyAlignment="1">
      <alignment horizontal="center"/>
    </xf>
    <xf numFmtId="0" fontId="7" fillId="0" borderId="0" xfId="0" applyFont="1" applyAlignment="1">
      <alignment horizontal="left"/>
    </xf>
    <xf numFmtId="0" fontId="0" fillId="0" borderId="0" xfId="0" applyBorder="1" applyAlignment="1">
      <alignment horizontal="center"/>
    </xf>
    <xf numFmtId="3" fontId="0" fillId="0" borderId="0" xfId="0" applyNumberFormat="1" applyAlignment="1">
      <alignment horizontal="center"/>
    </xf>
    <xf numFmtId="0" fontId="0" fillId="0" borderId="0" xfId="0" applyBorder="1"/>
    <xf numFmtId="3" fontId="0" fillId="0" borderId="0" xfId="0" applyNumberFormat="1"/>
    <xf numFmtId="1" fontId="0" fillId="0" borderId="0" xfId="0" applyNumberFormat="1" applyAlignment="1">
      <alignment horizontal="center"/>
    </xf>
    <xf numFmtId="164" fontId="0" fillId="0" borderId="1" xfId="0" applyNumberFormat="1" applyBorder="1" applyAlignment="1">
      <alignment horizontal="center"/>
    </xf>
    <xf numFmtId="3" fontId="6" fillId="0" borderId="0" xfId="0" applyNumberFormat="1" applyFont="1" applyAlignment="1">
      <alignment horizontal="center"/>
    </xf>
    <xf numFmtId="0" fontId="7" fillId="0" borderId="0" xfId="0" applyFont="1"/>
    <xf numFmtId="0" fontId="9" fillId="0" borderId="10" xfId="0" applyFont="1" applyBorder="1" applyAlignment="1">
      <alignment horizontal="center"/>
    </xf>
    <xf numFmtId="0" fontId="0" fillId="0" borderId="10" xfId="0" applyBorder="1" applyAlignment="1">
      <alignment horizontal="center"/>
    </xf>
    <xf numFmtId="1" fontId="0" fillId="0" borderId="10" xfId="0" applyNumberFormat="1" applyBorder="1" applyAlignment="1">
      <alignment horizontal="center"/>
    </xf>
    <xf numFmtId="0" fontId="9" fillId="0" borderId="0" xfId="0" applyFont="1"/>
    <xf numFmtId="0" fontId="13" fillId="0" borderId="0" xfId="0" applyFont="1"/>
    <xf numFmtId="165" fontId="0" fillId="0" borderId="0" xfId="0" applyNumberFormat="1" applyBorder="1" applyAlignment="1">
      <alignment horizontal="center"/>
    </xf>
    <xf numFmtId="4" fontId="0" fillId="0" borderId="0" xfId="0" applyNumberFormat="1" applyBorder="1" applyAlignment="1">
      <alignment horizontal="center"/>
    </xf>
    <xf numFmtId="164" fontId="0" fillId="0" borderId="0" xfId="0" applyNumberFormat="1" applyBorder="1" applyAlignment="1">
      <alignment horizontal="center"/>
    </xf>
    <xf numFmtId="0" fontId="14" fillId="0" borderId="0" xfId="0" applyFont="1"/>
    <xf numFmtId="3" fontId="0" fillId="0" borderId="2" xfId="0" applyNumberFormat="1" applyBorder="1" applyAlignment="1">
      <alignment horizontal="center"/>
    </xf>
    <xf numFmtId="172" fontId="5" fillId="0" borderId="1" xfId="0" applyNumberFormat="1" applyFont="1" applyFill="1" applyBorder="1" applyAlignment="1">
      <alignment horizontal="center" vertical="center"/>
    </xf>
    <xf numFmtId="0" fontId="18" fillId="0" borderId="0" xfId="0" applyFont="1"/>
    <xf numFmtId="166" fontId="0" fillId="0" borderId="0" xfId="1" applyNumberFormat="1" applyFont="1"/>
    <xf numFmtId="43" fontId="0" fillId="0" borderId="0" xfId="0" applyNumberFormat="1"/>
    <xf numFmtId="4" fontId="0" fillId="0" borderId="0" xfId="0" applyNumberFormat="1" applyAlignment="1">
      <alignment horizontal="center"/>
    </xf>
    <xf numFmtId="0" fontId="0" fillId="5" borderId="0" xfId="0" applyFill="1"/>
    <xf numFmtId="0" fontId="0" fillId="11" borderId="0" xfId="0" applyFill="1"/>
    <xf numFmtId="0" fontId="0" fillId="0" borderId="0" xfId="0" applyAlignment="1">
      <alignment horizontal="center" wrapText="1"/>
    </xf>
    <xf numFmtId="0" fontId="0" fillId="0" borderId="0" xfId="0" applyFill="1"/>
    <xf numFmtId="0" fontId="6" fillId="0" borderId="0" xfId="0" applyFont="1"/>
    <xf numFmtId="0" fontId="20" fillId="0" borderId="0" xfId="0" applyFont="1"/>
    <xf numFmtId="3" fontId="0" fillId="0" borderId="0" xfId="0" applyNumberFormat="1" applyFill="1" applyBorder="1" applyAlignment="1">
      <alignment horizontal="center"/>
    </xf>
    <xf numFmtId="165" fontId="0" fillId="0" borderId="0" xfId="0" applyNumberFormat="1" applyFill="1" applyBorder="1" applyAlignment="1">
      <alignment horizontal="center"/>
    </xf>
    <xf numFmtId="4" fontId="0" fillId="0" borderId="0" xfId="0" applyNumberFormat="1" applyFill="1" applyBorder="1" applyAlignment="1">
      <alignment horizontal="center"/>
    </xf>
    <xf numFmtId="0" fontId="0" fillId="13" borderId="0" xfId="0" applyFill="1"/>
    <xf numFmtId="0" fontId="0" fillId="0" borderId="0" xfId="0" applyAlignment="1">
      <alignment horizontal="center"/>
    </xf>
    <xf numFmtId="16" fontId="0" fillId="0" borderId="0" xfId="0" applyNumberFormat="1" applyAlignment="1">
      <alignment horizontal="center"/>
    </xf>
    <xf numFmtId="0" fontId="19" fillId="0" borderId="13" xfId="0" applyFont="1" applyBorder="1"/>
    <xf numFmtId="0" fontId="24" fillId="0" borderId="13" xfId="0" applyFont="1" applyFill="1" applyBorder="1" applyAlignment="1">
      <alignment horizontal="center"/>
    </xf>
    <xf numFmtId="0" fontId="25" fillId="0" borderId="13" xfId="0" applyFont="1" applyFill="1" applyBorder="1" applyAlignment="1">
      <alignment horizontal="center"/>
    </xf>
    <xf numFmtId="0" fontId="24" fillId="0" borderId="13" xfId="2" applyFont="1" applyFill="1" applyBorder="1" applyAlignment="1">
      <alignment horizontal="center"/>
    </xf>
    <xf numFmtId="0" fontId="22" fillId="0" borderId="13" xfId="2" applyFont="1" applyFill="1" applyBorder="1" applyAlignment="1">
      <alignment horizontal="center"/>
    </xf>
    <xf numFmtId="0" fontId="22" fillId="0" borderId="13" xfId="0" applyFont="1" applyFill="1" applyBorder="1" applyAlignment="1">
      <alignment horizontal="center"/>
    </xf>
    <xf numFmtId="170" fontId="22" fillId="0" borderId="13" xfId="0" applyNumberFormat="1" applyFont="1" applyBorder="1" applyAlignment="1">
      <alignment horizontal="center"/>
    </xf>
    <xf numFmtId="2" fontId="22" fillId="0" borderId="13" xfId="0" applyNumberFormat="1" applyFont="1" applyBorder="1" applyAlignment="1">
      <alignment horizontal="center"/>
    </xf>
    <xf numFmtId="1" fontId="22" fillId="0" borderId="13" xfId="0" applyNumberFormat="1" applyFont="1" applyFill="1" applyBorder="1" applyAlignment="1">
      <alignment horizontal="center" vertical="center"/>
    </xf>
    <xf numFmtId="170" fontId="22" fillId="0" borderId="13" xfId="0" applyNumberFormat="1" applyFont="1" applyFill="1" applyBorder="1" applyAlignment="1">
      <alignment horizontal="center" vertical="center"/>
    </xf>
    <xf numFmtId="1" fontId="26" fillId="0" borderId="13" xfId="0" applyNumberFormat="1" applyFont="1" applyFill="1" applyBorder="1" applyAlignment="1">
      <alignment horizontal="center" vertical="center"/>
    </xf>
    <xf numFmtId="170" fontId="26" fillId="0" borderId="13" xfId="0" applyNumberFormat="1" applyFont="1" applyFill="1" applyBorder="1" applyAlignment="1">
      <alignment horizontal="center" vertical="center"/>
    </xf>
    <xf numFmtId="2" fontId="22" fillId="0" borderId="13" xfId="0" applyNumberFormat="1" applyFont="1" applyFill="1" applyBorder="1" applyAlignment="1">
      <alignment horizontal="center" vertical="center"/>
    </xf>
    <xf numFmtId="169" fontId="22" fillId="0" borderId="13" xfId="0" applyNumberFormat="1" applyFont="1" applyFill="1" applyBorder="1" applyAlignment="1">
      <alignment horizontal="center" vertical="center"/>
    </xf>
    <xf numFmtId="0" fontId="19" fillId="0" borderId="16" xfId="0" applyFont="1" applyBorder="1"/>
    <xf numFmtId="1" fontId="22" fillId="0" borderId="16" xfId="0" applyNumberFormat="1" applyFont="1" applyFill="1" applyBorder="1" applyAlignment="1">
      <alignment horizontal="center" vertical="center"/>
    </xf>
    <xf numFmtId="0" fontId="24" fillId="0" borderId="16" xfId="0" applyFont="1" applyFill="1" applyBorder="1" applyAlignment="1">
      <alignment horizontal="center"/>
    </xf>
    <xf numFmtId="0" fontId="22" fillId="0" borderId="16" xfId="0" applyFont="1" applyBorder="1" applyAlignment="1">
      <alignment horizontal="center"/>
    </xf>
    <xf numFmtId="0" fontId="27" fillId="0" borderId="15" xfId="0" applyFont="1" applyBorder="1"/>
    <xf numFmtId="16" fontId="23" fillId="0" borderId="15" xfId="0" applyNumberFormat="1" applyFont="1" applyBorder="1" applyAlignment="1">
      <alignment horizontal="center"/>
    </xf>
    <xf numFmtId="2" fontId="22" fillId="0" borderId="13" xfId="2" applyNumberFormat="1" applyFont="1" applyFill="1" applyBorder="1" applyAlignment="1">
      <alignment horizontal="center"/>
    </xf>
    <xf numFmtId="170" fontId="22" fillId="0" borderId="13" xfId="0" applyNumberFormat="1" applyFont="1" applyFill="1" applyBorder="1" applyAlignment="1">
      <alignment horizontal="center"/>
    </xf>
    <xf numFmtId="170" fontId="24" fillId="0" borderId="13" xfId="0" applyNumberFormat="1" applyFont="1" applyFill="1" applyBorder="1" applyAlignment="1">
      <alignment horizontal="center"/>
    </xf>
    <xf numFmtId="170" fontId="26" fillId="0" borderId="13" xfId="0" applyNumberFormat="1" applyFont="1" applyFill="1" applyBorder="1" applyAlignment="1">
      <alignment horizontal="center"/>
    </xf>
    <xf numFmtId="170" fontId="25" fillId="0" borderId="13" xfId="0" applyNumberFormat="1" applyFont="1" applyFill="1" applyBorder="1" applyAlignment="1">
      <alignment horizontal="center"/>
    </xf>
    <xf numFmtId="167" fontId="26" fillId="0" borderId="13" xfId="0" applyNumberFormat="1" applyFont="1" applyFill="1" applyBorder="1" applyAlignment="1">
      <alignment horizontal="center" vertical="center"/>
    </xf>
    <xf numFmtId="167" fontId="24" fillId="0" borderId="13" xfId="0" applyNumberFormat="1" applyFont="1" applyFill="1" applyBorder="1" applyAlignment="1">
      <alignment horizontal="center"/>
    </xf>
    <xf numFmtId="167" fontId="22" fillId="0" borderId="13" xfId="0" applyNumberFormat="1" applyFont="1" applyBorder="1" applyAlignment="1">
      <alignment horizontal="center"/>
    </xf>
    <xf numFmtId="1" fontId="24" fillId="0" borderId="13" xfId="0" applyNumberFormat="1" applyFont="1" applyFill="1" applyBorder="1" applyAlignment="1">
      <alignment horizontal="center"/>
    </xf>
    <xf numFmtId="2" fontId="22" fillId="0" borderId="13" xfId="0" applyNumberFormat="1" applyFont="1" applyFill="1" applyBorder="1" applyAlignment="1">
      <alignment horizontal="center"/>
    </xf>
    <xf numFmtId="167" fontId="0" fillId="0" borderId="13" xfId="0" applyNumberFormat="1" applyBorder="1" applyAlignment="1">
      <alignment horizontal="center"/>
    </xf>
    <xf numFmtId="0" fontId="22" fillId="0" borderId="13" xfId="0" applyFont="1" applyBorder="1" applyAlignment="1">
      <alignment horizontal="center"/>
    </xf>
    <xf numFmtId="0" fontId="8" fillId="0" borderId="0" xfId="0" applyFont="1"/>
    <xf numFmtId="0" fontId="8" fillId="0" borderId="0" xfId="0" applyFont="1" applyAlignment="1">
      <alignment horizontal="center"/>
    </xf>
    <xf numFmtId="0" fontId="7" fillId="5" borderId="0" xfId="0" applyFont="1" applyFill="1"/>
    <xf numFmtId="0" fontId="7" fillId="11" borderId="0" xfId="0" applyFont="1" applyFill="1"/>
    <xf numFmtId="0" fontId="0" fillId="14" borderId="0" xfId="0" applyFill="1"/>
    <xf numFmtId="0" fontId="7" fillId="14" borderId="0" xfId="0" applyFont="1" applyFill="1"/>
    <xf numFmtId="0" fontId="19" fillId="0" borderId="16" xfId="0" applyFont="1" applyFill="1" applyBorder="1"/>
    <xf numFmtId="0" fontId="19" fillId="0" borderId="13" xfId="0" applyFont="1" applyFill="1" applyBorder="1"/>
    <xf numFmtId="167" fontId="0" fillId="0" borderId="13" xfId="0" applyNumberFormat="1" applyFill="1" applyBorder="1" applyAlignment="1">
      <alignment horizontal="center"/>
    </xf>
    <xf numFmtId="0" fontId="28" fillId="0" borderId="0" xfId="0" applyFont="1"/>
    <xf numFmtId="0" fontId="0" fillId="0" borderId="13" xfId="0" applyBorder="1" applyAlignment="1">
      <alignment horizontal="center"/>
    </xf>
    <xf numFmtId="170" fontId="24" fillId="0" borderId="13" xfId="2" applyNumberFormat="1" applyFont="1" applyFill="1" applyBorder="1" applyAlignment="1">
      <alignment horizontal="center"/>
    </xf>
    <xf numFmtId="169" fontId="0" fillId="0" borderId="0" xfId="0" applyNumberFormat="1" applyAlignment="1">
      <alignment horizontal="center"/>
    </xf>
    <xf numFmtId="0" fontId="23" fillId="0" borderId="13" xfId="0" applyFont="1" applyFill="1" applyBorder="1" applyAlignment="1">
      <alignment horizontal="center"/>
    </xf>
    <xf numFmtId="0" fontId="19" fillId="0" borderId="0" xfId="0" applyFont="1" applyFill="1" applyBorder="1"/>
    <xf numFmtId="0" fontId="30" fillId="0" borderId="0" xfId="0" applyFont="1"/>
    <xf numFmtId="0" fontId="0" fillId="0" borderId="0" xfId="0" applyFill="1" applyBorder="1"/>
    <xf numFmtId="0" fontId="31" fillId="0" borderId="0" xfId="0" applyFont="1"/>
    <xf numFmtId="2" fontId="0" fillId="0" borderId="0" xfId="0" applyNumberFormat="1"/>
    <xf numFmtId="167" fontId="0" fillId="0" borderId="0" xfId="0" applyNumberFormat="1"/>
    <xf numFmtId="173" fontId="0" fillId="0" borderId="0" xfId="3" applyNumberFormat="1" applyFont="1" applyAlignment="1">
      <alignment horizontal="center"/>
    </xf>
    <xf numFmtId="165" fontId="5" fillId="0" borderId="1" xfId="0" applyNumberFormat="1" applyFont="1" applyFill="1" applyBorder="1" applyAlignment="1">
      <alignment horizontal="center"/>
    </xf>
    <xf numFmtId="165" fontId="5" fillId="0" borderId="20" xfId="0" applyNumberFormat="1" applyFont="1" applyFill="1" applyBorder="1" applyAlignment="1">
      <alignment horizontal="center"/>
    </xf>
    <xf numFmtId="0" fontId="23" fillId="0" borderId="13" xfId="0" applyFont="1" applyBorder="1" applyAlignment="1">
      <alignment horizontal="center"/>
    </xf>
    <xf numFmtId="0" fontId="27" fillId="0" borderId="21" xfId="0" applyFont="1" applyBorder="1"/>
    <xf numFmtId="16" fontId="23" fillId="0" borderId="21" xfId="0" applyNumberFormat="1" applyFont="1" applyBorder="1" applyAlignment="1">
      <alignment horizontal="center"/>
    </xf>
    <xf numFmtId="16" fontId="23" fillId="0" borderId="22" xfId="0" applyNumberFormat="1" applyFont="1" applyBorder="1" applyAlignment="1">
      <alignment horizontal="center" vertical="center" wrapText="1"/>
    </xf>
    <xf numFmtId="1" fontId="23" fillId="0" borderId="16" xfId="0" applyNumberFormat="1" applyFont="1" applyFill="1" applyBorder="1" applyAlignment="1">
      <alignment horizontal="center" vertical="center"/>
    </xf>
    <xf numFmtId="0" fontId="32" fillId="0" borderId="16" xfId="0" applyFont="1" applyFill="1" applyBorder="1" applyAlignment="1">
      <alignment horizontal="center"/>
    </xf>
    <xf numFmtId="0" fontId="23" fillId="0" borderId="16" xfId="0" applyFont="1" applyBorder="1" applyAlignment="1">
      <alignment horizontal="center"/>
    </xf>
    <xf numFmtId="170" fontId="33" fillId="0" borderId="13" xfId="0" applyNumberFormat="1" applyFont="1" applyFill="1" applyBorder="1" applyAlignment="1">
      <alignment horizontal="center"/>
    </xf>
    <xf numFmtId="170" fontId="32" fillId="0" borderId="13" xfId="0" applyNumberFormat="1" applyFont="1" applyFill="1" applyBorder="1" applyAlignment="1">
      <alignment horizontal="center"/>
    </xf>
    <xf numFmtId="170" fontId="23" fillId="0" borderId="13" xfId="0" applyNumberFormat="1" applyFont="1" applyBorder="1" applyAlignment="1">
      <alignment horizontal="center"/>
    </xf>
    <xf numFmtId="170" fontId="23" fillId="0" borderId="13" xfId="0" applyNumberFormat="1" applyFont="1" applyFill="1" applyBorder="1" applyAlignment="1">
      <alignment horizontal="center" vertical="center"/>
    </xf>
    <xf numFmtId="0" fontId="32" fillId="0" borderId="13" xfId="2" applyFont="1" applyFill="1" applyBorder="1" applyAlignment="1">
      <alignment horizontal="center"/>
    </xf>
    <xf numFmtId="0" fontId="23" fillId="0" borderId="13" xfId="2" applyFont="1" applyFill="1" applyBorder="1" applyAlignment="1">
      <alignment horizontal="center"/>
    </xf>
    <xf numFmtId="170" fontId="23" fillId="0" borderId="13" xfId="0" applyNumberFormat="1" applyFont="1" applyFill="1" applyBorder="1" applyAlignment="1">
      <alignment horizontal="center"/>
    </xf>
    <xf numFmtId="0" fontId="32" fillId="0" borderId="13" xfId="0" applyFont="1" applyFill="1" applyBorder="1" applyAlignment="1">
      <alignment horizontal="center"/>
    </xf>
    <xf numFmtId="167" fontId="23" fillId="0" borderId="13" xfId="0" applyNumberFormat="1" applyFont="1" applyFill="1" applyBorder="1" applyAlignment="1">
      <alignment horizontal="center"/>
    </xf>
    <xf numFmtId="170" fontId="32" fillId="0" borderId="13" xfId="2" applyNumberFormat="1" applyFont="1" applyFill="1" applyBorder="1" applyAlignment="1">
      <alignment horizontal="center"/>
    </xf>
    <xf numFmtId="2" fontId="23" fillId="0" borderId="13" xfId="2" applyNumberFormat="1" applyFont="1" applyFill="1" applyBorder="1" applyAlignment="1">
      <alignment horizontal="center"/>
    </xf>
    <xf numFmtId="1" fontId="23" fillId="0" borderId="13" xfId="0" applyNumberFormat="1" applyFont="1" applyFill="1" applyBorder="1" applyAlignment="1">
      <alignment horizontal="center" vertical="center"/>
    </xf>
    <xf numFmtId="1" fontId="34" fillId="0" borderId="13" xfId="0" applyNumberFormat="1" applyFont="1" applyFill="1" applyBorder="1" applyAlignment="1">
      <alignment horizontal="center" vertical="center"/>
    </xf>
    <xf numFmtId="170" fontId="34" fillId="0" borderId="13" xfId="0" applyNumberFormat="1" applyFont="1" applyFill="1" applyBorder="1" applyAlignment="1">
      <alignment horizontal="center" vertical="center"/>
    </xf>
    <xf numFmtId="2" fontId="23" fillId="0" borderId="13" xfId="0" applyNumberFormat="1" applyFont="1" applyFill="1" applyBorder="1" applyAlignment="1">
      <alignment horizontal="center" vertical="center"/>
    </xf>
    <xf numFmtId="2" fontId="23" fillId="0" borderId="13" xfId="0" applyNumberFormat="1" applyFont="1" applyFill="1" applyBorder="1" applyAlignment="1">
      <alignment horizontal="center"/>
    </xf>
    <xf numFmtId="169" fontId="23" fillId="0" borderId="13" xfId="0" applyNumberFormat="1" applyFont="1" applyFill="1" applyBorder="1" applyAlignment="1">
      <alignment horizontal="center" vertical="center"/>
    </xf>
    <xf numFmtId="167" fontId="23" fillId="0" borderId="13" xfId="2" applyNumberFormat="1" applyFont="1" applyFill="1" applyBorder="1" applyAlignment="1">
      <alignment horizontal="center"/>
    </xf>
    <xf numFmtId="170" fontId="34" fillId="0" borderId="13" xfId="0" applyNumberFormat="1" applyFont="1" applyFill="1" applyBorder="1" applyAlignment="1">
      <alignment horizontal="center"/>
    </xf>
    <xf numFmtId="169" fontId="23" fillId="0" borderId="13" xfId="0" applyNumberFormat="1" applyFont="1" applyBorder="1" applyAlignment="1">
      <alignment horizontal="center"/>
    </xf>
    <xf numFmtId="167" fontId="34" fillId="0" borderId="13" xfId="0" applyNumberFormat="1" applyFont="1" applyFill="1" applyBorder="1" applyAlignment="1">
      <alignment horizontal="center" vertical="center"/>
    </xf>
    <xf numFmtId="167" fontId="32" fillId="0" borderId="13" xfId="0" applyNumberFormat="1" applyFont="1" applyFill="1" applyBorder="1" applyAlignment="1">
      <alignment horizontal="center"/>
    </xf>
    <xf numFmtId="167" fontId="23" fillId="0" borderId="13" xfId="0" applyNumberFormat="1" applyFont="1" applyBorder="1" applyAlignment="1">
      <alignment horizontal="center"/>
    </xf>
    <xf numFmtId="1" fontId="23" fillId="0" borderId="13" xfId="0" applyNumberFormat="1" applyFont="1" applyBorder="1" applyAlignment="1">
      <alignment horizontal="center"/>
    </xf>
    <xf numFmtId="16" fontId="6" fillId="0" borderId="13" xfId="0" applyNumberFormat="1" applyFont="1" applyBorder="1" applyAlignment="1">
      <alignment horizontal="center"/>
    </xf>
    <xf numFmtId="16" fontId="6" fillId="0" borderId="16" xfId="0" applyNumberFormat="1" applyFont="1" applyBorder="1" applyAlignment="1">
      <alignment horizontal="center"/>
    </xf>
    <xf numFmtId="0" fontId="8" fillId="0" borderId="24" xfId="0" applyFont="1" applyBorder="1"/>
    <xf numFmtId="0" fontId="0" fillId="0" borderId="24" xfId="0" applyBorder="1"/>
    <xf numFmtId="0" fontId="14" fillId="0" borderId="24" xfId="0" applyFont="1" applyBorder="1"/>
    <xf numFmtId="0" fontId="7" fillId="0" borderId="24" xfId="0" applyFont="1" applyBorder="1" applyAlignment="1">
      <alignment horizontal="center"/>
    </xf>
    <xf numFmtId="0" fontId="0" fillId="0" borderId="26" xfId="0" applyBorder="1"/>
    <xf numFmtId="167" fontId="0" fillId="0" borderId="26" xfId="0" applyNumberFormat="1" applyBorder="1"/>
    <xf numFmtId="0" fontId="19" fillId="0" borderId="27" xfId="0" applyFont="1" applyFill="1" applyBorder="1"/>
    <xf numFmtId="1" fontId="23" fillId="0" borderId="27" xfId="0" applyNumberFormat="1" applyFont="1" applyBorder="1" applyAlignment="1">
      <alignment horizontal="center"/>
    </xf>
    <xf numFmtId="0" fontId="0" fillId="0" borderId="27" xfId="0" applyBorder="1"/>
    <xf numFmtId="15" fontId="0" fillId="0" borderId="0" xfId="0" applyNumberFormat="1"/>
    <xf numFmtId="0" fontId="11" fillId="0" borderId="0" xfId="0" applyFont="1"/>
    <xf numFmtId="3" fontId="8" fillId="0" borderId="0" xfId="0" applyNumberFormat="1" applyFont="1" applyAlignment="1">
      <alignment horizontal="center"/>
    </xf>
    <xf numFmtId="0" fontId="8" fillId="0" borderId="0" xfId="0" applyFont="1" applyFill="1" applyBorder="1"/>
    <xf numFmtId="170" fontId="36" fillId="0" borderId="13" xfId="0" applyNumberFormat="1" applyFont="1" applyFill="1" applyBorder="1" applyAlignment="1">
      <alignment horizontal="center"/>
    </xf>
    <xf numFmtId="170" fontId="22" fillId="0" borderId="13" xfId="2" applyNumberFormat="1" applyFont="1" applyFill="1" applyBorder="1" applyAlignment="1">
      <alignment horizontal="center"/>
    </xf>
    <xf numFmtId="169" fontId="24" fillId="0" borderId="13" xfId="0" applyNumberFormat="1" applyFont="1" applyFill="1" applyBorder="1" applyAlignment="1">
      <alignment horizontal="center"/>
    </xf>
    <xf numFmtId="3" fontId="5" fillId="0" borderId="1" xfId="0" applyNumberFormat="1" applyFont="1" applyFill="1" applyBorder="1" applyAlignment="1">
      <alignment horizontal="center"/>
    </xf>
    <xf numFmtId="0" fontId="0" fillId="0" borderId="5" xfId="0" applyBorder="1" applyAlignment="1">
      <alignment horizontal="center"/>
    </xf>
    <xf numFmtId="2" fontId="0" fillId="0" borderId="0" xfId="0" applyNumberFormat="1" applyAlignment="1">
      <alignment horizontal="center"/>
    </xf>
    <xf numFmtId="16" fontId="6" fillId="0" borderId="0" xfId="0" applyNumberFormat="1" applyFont="1" applyAlignment="1">
      <alignment horizontal="center"/>
    </xf>
    <xf numFmtId="0" fontId="7" fillId="0" borderId="0" xfId="0" applyFont="1" applyAlignment="1">
      <alignment horizontal="center"/>
    </xf>
    <xf numFmtId="3" fontId="39" fillId="0" borderId="0" xfId="0" applyNumberFormat="1" applyFont="1" applyFill="1" applyBorder="1" applyAlignment="1">
      <alignment horizontal="center" wrapText="1"/>
    </xf>
    <xf numFmtId="3" fontId="40" fillId="0" borderId="30" xfId="4" applyNumberFormat="1" applyFont="1" applyFill="1" applyBorder="1" applyAlignment="1">
      <alignment horizontal="center"/>
    </xf>
    <xf numFmtId="3" fontId="5" fillId="0" borderId="0" xfId="0" applyNumberFormat="1" applyFont="1" applyFill="1" applyAlignment="1">
      <alignment horizontal="center"/>
    </xf>
    <xf numFmtId="3" fontId="21" fillId="0" borderId="0" xfId="0" applyNumberFormat="1" applyFont="1" applyFill="1" applyBorder="1" applyAlignment="1">
      <alignment horizontal="center"/>
    </xf>
    <xf numFmtId="3" fontId="12" fillId="0" borderId="0" xfId="0" applyNumberFormat="1" applyFont="1" applyFill="1" applyBorder="1" applyAlignment="1">
      <alignment horizontal="center"/>
    </xf>
    <xf numFmtId="3" fontId="41" fillId="0" borderId="0" xfId="0" applyNumberFormat="1" applyFont="1" applyFill="1" applyBorder="1" applyAlignment="1">
      <alignment horizontal="center" wrapText="1"/>
    </xf>
    <xf numFmtId="169" fontId="32" fillId="0" borderId="13" xfId="0" applyNumberFormat="1" applyFont="1" applyFill="1" applyBorder="1" applyAlignment="1">
      <alignment horizontal="center"/>
    </xf>
    <xf numFmtId="165" fontId="21" fillId="0" borderId="0" xfId="0" applyNumberFormat="1" applyFont="1" applyFill="1" applyBorder="1" applyAlignment="1">
      <alignment horizontal="center"/>
    </xf>
    <xf numFmtId="168" fontId="0" fillId="0" borderId="13" xfId="0" applyNumberFormat="1" applyFill="1" applyBorder="1" applyAlignment="1">
      <alignment horizontal="center"/>
    </xf>
    <xf numFmtId="166" fontId="7" fillId="0" borderId="0" xfId="1" applyNumberFormat="1" applyFont="1"/>
    <xf numFmtId="3" fontId="7" fillId="0" borderId="0" xfId="0" applyNumberFormat="1" applyFont="1"/>
    <xf numFmtId="0" fontId="9" fillId="0" borderId="0" xfId="0" applyFont="1" applyAlignment="1">
      <alignment horizontal="center"/>
    </xf>
    <xf numFmtId="0" fontId="9" fillId="0" borderId="31" xfId="0" applyFont="1" applyBorder="1"/>
    <xf numFmtId="0" fontId="9" fillId="0" borderId="32" xfId="0" applyFont="1"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9" fillId="0" borderId="34" xfId="0" applyFont="1" applyBorder="1"/>
    <xf numFmtId="0" fontId="0" fillId="0" borderId="35" xfId="0" applyBorder="1" applyAlignment="1">
      <alignment horizontal="center"/>
    </xf>
    <xf numFmtId="1" fontId="0" fillId="0" borderId="35" xfId="0" applyNumberFormat="1" applyBorder="1" applyAlignment="1">
      <alignment horizontal="center"/>
    </xf>
    <xf numFmtId="0" fontId="9" fillId="0" borderId="36" xfId="0" applyFont="1" applyBorder="1"/>
    <xf numFmtId="0" fontId="9" fillId="0" borderId="37" xfId="0" applyFont="1" applyBorder="1" applyAlignment="1">
      <alignment horizontal="center"/>
    </xf>
    <xf numFmtId="1" fontId="0" fillId="0" borderId="37" xfId="0" applyNumberFormat="1" applyBorder="1" applyAlignment="1">
      <alignment horizontal="center"/>
    </xf>
    <xf numFmtId="0" fontId="42" fillId="16" borderId="0" xfId="0" applyFont="1" applyFill="1"/>
    <xf numFmtId="0" fontId="43" fillId="16" borderId="0" xfId="0" applyFont="1" applyFill="1"/>
    <xf numFmtId="0" fontId="44" fillId="0" borderId="38" xfId="0" applyFont="1" applyBorder="1" applyAlignment="1">
      <alignment vertical="center" wrapText="1"/>
    </xf>
    <xf numFmtId="16" fontId="46" fillId="0" borderId="38" xfId="0" applyNumberFormat="1" applyFont="1" applyBorder="1" applyAlignment="1">
      <alignment horizontal="center" vertical="center" wrapText="1"/>
    </xf>
    <xf numFmtId="0" fontId="47" fillId="0" borderId="38" xfId="0" applyFont="1" applyBorder="1" applyAlignment="1">
      <alignment horizontal="center" vertical="center" wrapText="1"/>
    </xf>
    <xf numFmtId="0" fontId="39" fillId="0" borderId="38" xfId="0" applyFont="1" applyBorder="1" applyAlignment="1">
      <alignment horizontal="center" vertical="center" wrapText="1"/>
    </xf>
    <xf numFmtId="0" fontId="45" fillId="0" borderId="38" xfId="0" applyFont="1" applyBorder="1" applyAlignment="1">
      <alignment horizontal="center" vertical="center" wrapText="1"/>
    </xf>
    <xf numFmtId="0" fontId="48" fillId="0" borderId="38" xfId="0" applyFont="1" applyBorder="1" applyAlignment="1">
      <alignment horizontal="center" vertical="center" wrapText="1"/>
    </xf>
    <xf numFmtId="0" fontId="44" fillId="0" borderId="38" xfId="0" applyFont="1" applyBorder="1" applyAlignment="1">
      <alignment horizontal="center" vertical="center" wrapText="1"/>
    </xf>
    <xf numFmtId="0" fontId="49" fillId="0" borderId="0" xfId="0" applyFont="1"/>
    <xf numFmtId="0" fontId="50" fillId="0" borderId="0" xfId="0" applyFont="1"/>
    <xf numFmtId="0" fontId="51" fillId="0" borderId="0" xfId="0" applyFont="1"/>
    <xf numFmtId="0" fontId="0" fillId="0" borderId="0" xfId="0" applyFill="1" applyAlignment="1">
      <alignment horizontal="center"/>
    </xf>
    <xf numFmtId="22" fontId="0" fillId="0" borderId="0" xfId="0" applyNumberFormat="1" applyFill="1" applyAlignment="1">
      <alignment horizontal="center"/>
    </xf>
    <xf numFmtId="0" fontId="31" fillId="0" borderId="0" xfId="0" applyFont="1" applyAlignment="1">
      <alignment horizontal="left"/>
    </xf>
    <xf numFmtId="0" fontId="7" fillId="0" borderId="40" xfId="0" applyFont="1" applyBorder="1"/>
    <xf numFmtId="0" fontId="52" fillId="0" borderId="12" xfId="0" applyFont="1" applyBorder="1"/>
    <xf numFmtId="0" fontId="0" fillId="12" borderId="11" xfId="0" applyFill="1" applyBorder="1"/>
    <xf numFmtId="0" fontId="0" fillId="12" borderId="39" xfId="0" applyFill="1" applyBorder="1" applyAlignment="1">
      <alignment horizontal="center"/>
    </xf>
    <xf numFmtId="0" fontId="0" fillId="10" borderId="11" xfId="0" applyFill="1" applyBorder="1"/>
    <xf numFmtId="0" fontId="0" fillId="10" borderId="39" xfId="0" applyFill="1" applyBorder="1"/>
    <xf numFmtId="0" fontId="9" fillId="8" borderId="3" xfId="0" applyFont="1" applyFill="1" applyBorder="1" applyAlignment="1">
      <alignment horizontal="center"/>
    </xf>
    <xf numFmtId="0" fontId="9" fillId="8" borderId="5" xfId="0" applyFont="1" applyFill="1" applyBorder="1" applyAlignment="1">
      <alignment horizontal="center"/>
    </xf>
    <xf numFmtId="0" fontId="9" fillId="17" borderId="3" xfId="0" applyFont="1" applyFill="1" applyBorder="1"/>
    <xf numFmtId="0" fontId="9" fillId="17" borderId="5" xfId="0" applyFont="1" applyFill="1" applyBorder="1" applyAlignment="1">
      <alignment horizontal="center"/>
    </xf>
    <xf numFmtId="0" fontId="9" fillId="0" borderId="0" xfId="0" applyFont="1" applyFill="1"/>
    <xf numFmtId="0" fontId="9" fillId="10" borderId="3" xfId="0" applyFont="1" applyFill="1" applyBorder="1"/>
    <xf numFmtId="0" fontId="9" fillId="10" borderId="5" xfId="0" applyFont="1" applyFill="1" applyBorder="1"/>
    <xf numFmtId="14" fontId="17" fillId="0" borderId="0" xfId="0" applyNumberFormat="1" applyFont="1" applyAlignment="1" applyProtection="1">
      <alignment horizontal="center" vertical="center"/>
    </xf>
    <xf numFmtId="20" fontId="17" fillId="0" borderId="0" xfId="0" applyNumberFormat="1" applyFont="1" applyAlignment="1">
      <alignment horizontal="center"/>
    </xf>
    <xf numFmtId="0" fontId="17" fillId="0" borderId="3" xfId="0" applyFont="1" applyBorder="1"/>
    <xf numFmtId="3" fontId="53" fillId="0" borderId="5" xfId="0" applyNumberFormat="1" applyFont="1" applyFill="1" applyBorder="1" applyAlignment="1">
      <alignment horizontal="center"/>
    </xf>
    <xf numFmtId="0" fontId="54" fillId="0" borderId="42" xfId="4" applyFont="1" applyFill="1" applyBorder="1" applyAlignment="1"/>
    <xf numFmtId="37" fontId="53" fillId="0" borderId="5" xfId="1" applyNumberFormat="1" applyFont="1" applyFill="1" applyBorder="1" applyAlignment="1">
      <alignment horizontal="center"/>
    </xf>
    <xf numFmtId="37" fontId="4" fillId="0" borderId="5" xfId="0" applyNumberFormat="1" applyFont="1" applyBorder="1" applyAlignment="1">
      <alignment horizontal="center"/>
    </xf>
    <xf numFmtId="37" fontId="53" fillId="0" borderId="0" xfId="1" applyNumberFormat="1" applyFont="1" applyFill="1" applyBorder="1" applyAlignment="1">
      <alignment horizontal="center"/>
    </xf>
    <xf numFmtId="0" fontId="17" fillId="0" borderId="0" xfId="0" applyFont="1"/>
    <xf numFmtId="4" fontId="53" fillId="0" borderId="5" xfId="0" applyNumberFormat="1" applyFont="1" applyFill="1" applyBorder="1" applyAlignment="1">
      <alignment horizontal="center"/>
    </xf>
    <xf numFmtId="39" fontId="4" fillId="0" borderId="5" xfId="0" applyNumberFormat="1" applyFont="1" applyBorder="1" applyAlignment="1">
      <alignment horizontal="center"/>
    </xf>
    <xf numFmtId="0" fontId="17" fillId="0" borderId="3" xfId="0" applyFont="1" applyFill="1" applyBorder="1"/>
    <xf numFmtId="0" fontId="17" fillId="0" borderId="0" xfId="0" applyFont="1" applyFill="1"/>
    <xf numFmtId="14" fontId="17" fillId="0" borderId="2" xfId="0" applyNumberFormat="1" applyFont="1" applyBorder="1" applyAlignment="1" applyProtection="1">
      <alignment horizontal="center" vertical="center"/>
    </xf>
    <xf numFmtId="20" fontId="17" fillId="0" borderId="2" xfId="0" applyNumberFormat="1" applyFont="1" applyBorder="1" applyAlignment="1">
      <alignment horizontal="center"/>
    </xf>
    <xf numFmtId="0" fontId="17" fillId="0" borderId="7" xfId="0" applyFont="1" applyBorder="1"/>
    <xf numFmtId="3" fontId="53" fillId="0" borderId="6" xfId="0" applyNumberFormat="1" applyFont="1" applyFill="1" applyBorder="1" applyAlignment="1">
      <alignment horizontal="center"/>
    </xf>
    <xf numFmtId="0" fontId="54" fillId="0" borderId="43" xfId="4" applyFont="1" applyFill="1" applyBorder="1" applyAlignment="1"/>
    <xf numFmtId="37" fontId="53" fillId="0" borderId="6" xfId="1" applyNumberFormat="1" applyFont="1" applyFill="1" applyBorder="1" applyAlignment="1">
      <alignment horizontal="center"/>
    </xf>
    <xf numFmtId="39" fontId="4" fillId="0" borderId="6" xfId="0" applyNumberFormat="1" applyFont="1" applyBorder="1" applyAlignment="1">
      <alignment horizontal="center"/>
    </xf>
    <xf numFmtId="0" fontId="17" fillId="0" borderId="2" xfId="0" applyFont="1" applyBorder="1"/>
    <xf numFmtId="4" fontId="53" fillId="0" borderId="6" xfId="0" applyNumberFormat="1" applyFont="1" applyFill="1" applyBorder="1" applyAlignment="1">
      <alignment horizontal="center"/>
    </xf>
    <xf numFmtId="0" fontId="54" fillId="0" borderId="44" xfId="4" applyFont="1" applyFill="1" applyBorder="1" applyAlignment="1"/>
    <xf numFmtId="0" fontId="55" fillId="0" borderId="0" xfId="4" applyFont="1" applyFill="1" applyBorder="1" applyAlignment="1"/>
    <xf numFmtId="37" fontId="8" fillId="0" borderId="0" xfId="1" applyNumberFormat="1" applyFont="1"/>
    <xf numFmtId="0" fontId="17" fillId="0" borderId="0" xfId="0" applyFont="1" applyAlignment="1">
      <alignment horizontal="center"/>
    </xf>
    <xf numFmtId="0" fontId="17" fillId="13" borderId="0" xfId="0" applyFont="1" applyFill="1"/>
    <xf numFmtId="3" fontId="17" fillId="13" borderId="0" xfId="0" applyNumberFormat="1" applyFont="1" applyFill="1"/>
    <xf numFmtId="37" fontId="51" fillId="0" borderId="0" xfId="0" applyNumberFormat="1" applyFont="1" applyFill="1"/>
    <xf numFmtId="0" fontId="51" fillId="0" borderId="0" xfId="0" applyFont="1" applyFill="1"/>
    <xf numFmtId="3" fontId="51" fillId="0" borderId="0" xfId="0" applyNumberFormat="1" applyFont="1" applyFill="1"/>
    <xf numFmtId="0" fontId="10" fillId="0" borderId="0" xfId="0" applyFont="1" applyAlignment="1">
      <alignment horizontal="right"/>
    </xf>
    <xf numFmtId="3" fontId="10" fillId="0" borderId="0" xfId="0" applyNumberFormat="1" applyFont="1"/>
    <xf numFmtId="0" fontId="17" fillId="0" borderId="0" xfId="0" applyFont="1" applyFill="1" applyBorder="1"/>
    <xf numFmtId="3" fontId="17" fillId="0" borderId="0" xfId="0" applyNumberFormat="1" applyFont="1"/>
    <xf numFmtId="37" fontId="17" fillId="0" borderId="0" xfId="0" applyNumberFormat="1" applyFont="1"/>
    <xf numFmtId="37" fontId="0" fillId="0" borderId="0" xfId="0" applyNumberFormat="1"/>
    <xf numFmtId="3" fontId="17" fillId="0" borderId="0" xfId="0" applyNumberFormat="1" applyFont="1" applyAlignment="1">
      <alignment horizontal="center"/>
    </xf>
    <xf numFmtId="0" fontId="17" fillId="0" borderId="2" xfId="0" applyFont="1" applyBorder="1" applyAlignment="1">
      <alignment horizontal="center"/>
    </xf>
    <xf numFmtId="14" fontId="13" fillId="0" borderId="0" xfId="0" applyNumberFormat="1" applyFont="1" applyAlignment="1" applyProtection="1">
      <alignment horizontal="center" vertical="center"/>
    </xf>
    <xf numFmtId="0" fontId="13" fillId="0" borderId="0" xfId="0" applyFont="1" applyAlignment="1">
      <alignment horizontal="center"/>
    </xf>
    <xf numFmtId="0" fontId="8" fillId="13" borderId="0" xfId="0" applyFont="1" applyFill="1"/>
    <xf numFmtId="3" fontId="17" fillId="0" borderId="0" xfId="0" applyNumberFormat="1" applyFont="1" applyFill="1" applyAlignment="1">
      <alignment horizontal="center"/>
    </xf>
    <xf numFmtId="3" fontId="8" fillId="13" borderId="0" xfId="0" applyNumberFormat="1" applyFont="1" applyFill="1" applyAlignment="1">
      <alignment horizontal="center"/>
    </xf>
    <xf numFmtId="22" fontId="13" fillId="0" borderId="0" xfId="0" applyNumberFormat="1" applyFont="1" applyFill="1" applyAlignment="1">
      <alignment horizontal="center"/>
    </xf>
    <xf numFmtId="0" fontId="0" fillId="0" borderId="0" xfId="0" applyFont="1"/>
    <xf numFmtId="3" fontId="17" fillId="0" borderId="0" xfId="0" applyNumberFormat="1" applyFont="1" applyFill="1" applyBorder="1" applyAlignment="1">
      <alignment horizontal="center"/>
    </xf>
    <xf numFmtId="3" fontId="8" fillId="0" borderId="0" xfId="0" applyNumberFormat="1" applyFont="1" applyFill="1" applyAlignment="1">
      <alignment horizontal="center"/>
    </xf>
    <xf numFmtId="0" fontId="0" fillId="0" borderId="3" xfId="0" applyFill="1" applyBorder="1" applyAlignment="1">
      <alignment horizontal="center"/>
    </xf>
    <xf numFmtId="0" fontId="0" fillId="0" borderId="5" xfId="0" applyFill="1" applyBorder="1" applyAlignment="1">
      <alignment horizontal="center"/>
    </xf>
    <xf numFmtId="3" fontId="17" fillId="0" borderId="5" xfId="0" applyNumberFormat="1" applyFont="1" applyBorder="1" applyAlignment="1">
      <alignment horizontal="center"/>
    </xf>
    <xf numFmtId="3" fontId="17" fillId="0" borderId="45" xfId="0" applyNumberFormat="1" applyFont="1" applyBorder="1" applyAlignment="1">
      <alignment horizontal="center"/>
    </xf>
    <xf numFmtId="0" fontId="0" fillId="0" borderId="3" xfId="0" applyBorder="1" applyAlignment="1">
      <alignment horizontal="center"/>
    </xf>
    <xf numFmtId="3" fontId="9" fillId="13" borderId="0" xfId="0" applyNumberFormat="1" applyFont="1" applyFill="1" applyAlignment="1">
      <alignment horizontal="center"/>
    </xf>
    <xf numFmtId="0" fontId="9" fillId="0" borderId="0" xfId="0" applyFont="1" applyFill="1" applyBorder="1" applyAlignment="1">
      <alignment horizontal="right"/>
    </xf>
    <xf numFmtId="3" fontId="9" fillId="0" borderId="0" xfId="0" applyNumberFormat="1" applyFont="1" applyAlignment="1">
      <alignment horizontal="center"/>
    </xf>
    <xf numFmtId="0" fontId="6" fillId="0" borderId="0" xfId="0" applyFont="1" applyFill="1" applyBorder="1" applyAlignment="1">
      <alignment horizontal="right"/>
    </xf>
    <xf numFmtId="3" fontId="0" fillId="0" borderId="5" xfId="0" applyNumberFormat="1" applyBorder="1" applyAlignment="1">
      <alignment horizontal="center"/>
    </xf>
    <xf numFmtId="3" fontId="0" fillId="0" borderId="45" xfId="0" applyNumberFormat="1" applyBorder="1" applyAlignment="1">
      <alignment horizontal="center"/>
    </xf>
    <xf numFmtId="4" fontId="17" fillId="0" borderId="5" xfId="0" applyNumberFormat="1" applyFont="1" applyBorder="1" applyAlignment="1">
      <alignment horizontal="center"/>
    </xf>
    <xf numFmtId="4" fontId="17" fillId="0" borderId="5" xfId="0" applyNumberFormat="1" applyFont="1" applyFill="1" applyBorder="1" applyAlignment="1">
      <alignment horizontal="center"/>
    </xf>
    <xf numFmtId="4" fontId="17" fillId="0" borderId="45" xfId="0" applyNumberFormat="1" applyFont="1" applyBorder="1" applyAlignment="1">
      <alignment horizontal="center"/>
    </xf>
    <xf numFmtId="165" fontId="0" fillId="0" borderId="0" xfId="0" applyNumberFormat="1"/>
    <xf numFmtId="37" fontId="8" fillId="13" borderId="0" xfId="1" applyNumberFormat="1" applyFont="1" applyFill="1"/>
    <xf numFmtId="165" fontId="12" fillId="0" borderId="0" xfId="0" applyNumberFormat="1" applyFont="1" applyFill="1" applyBorder="1" applyAlignment="1">
      <alignment horizontal="center"/>
    </xf>
    <xf numFmtId="165" fontId="39" fillId="0" borderId="0" xfId="0" applyNumberFormat="1" applyFont="1" applyFill="1" applyBorder="1" applyAlignment="1">
      <alignment horizontal="center" wrapText="1"/>
    </xf>
    <xf numFmtId="3" fontId="53" fillId="0" borderId="0" xfId="0" applyNumberFormat="1" applyFont="1" applyFill="1" applyBorder="1" applyAlignment="1">
      <alignment horizontal="center"/>
    </xf>
    <xf numFmtId="165" fontId="40" fillId="0" borderId="30" xfId="4" applyNumberFormat="1" applyFont="1" applyFill="1" applyBorder="1" applyAlignment="1">
      <alignment horizontal="center"/>
    </xf>
    <xf numFmtId="3" fontId="56" fillId="0" borderId="30" xfId="4" applyNumberFormat="1" applyFont="1" applyFill="1" applyBorder="1" applyAlignment="1">
      <alignment horizontal="center"/>
    </xf>
    <xf numFmtId="3" fontId="53" fillId="0" borderId="30" xfId="4" applyNumberFormat="1" applyFont="1" applyFill="1" applyBorder="1" applyAlignment="1">
      <alignment horizontal="center"/>
    </xf>
    <xf numFmtId="165" fontId="0" fillId="0" borderId="0" xfId="0" applyNumberFormat="1" applyAlignment="1">
      <alignment horizontal="center"/>
    </xf>
    <xf numFmtId="1" fontId="35" fillId="0" borderId="0" xfId="0" applyNumberFormat="1" applyFont="1" applyFill="1" applyBorder="1" applyAlignment="1">
      <alignment horizontal="center"/>
    </xf>
    <xf numFmtId="2" fontId="35" fillId="0" borderId="0" xfId="0" applyNumberFormat="1" applyFont="1" applyFill="1" applyBorder="1" applyAlignment="1">
      <alignment horizontal="center"/>
    </xf>
    <xf numFmtId="20" fontId="0" fillId="0" borderId="0" xfId="0" applyNumberFormat="1" applyFill="1" applyAlignment="1">
      <alignment horizontal="center"/>
    </xf>
    <xf numFmtId="168" fontId="0" fillId="0" borderId="0" xfId="0" applyNumberFormat="1" applyFill="1" applyAlignment="1">
      <alignment horizontal="center"/>
    </xf>
    <xf numFmtId="0" fontId="44" fillId="0" borderId="46" xfId="0" applyFont="1" applyBorder="1" applyAlignment="1">
      <alignment vertical="center" wrapText="1"/>
    </xf>
    <xf numFmtId="16" fontId="46" fillId="0" borderId="46" xfId="0" applyNumberFormat="1" applyFont="1" applyBorder="1" applyAlignment="1">
      <alignment horizontal="center" vertical="center" wrapText="1"/>
    </xf>
    <xf numFmtId="0" fontId="47" fillId="0" borderId="46" xfId="0" applyFont="1" applyBorder="1" applyAlignment="1">
      <alignment horizontal="center" vertical="center" wrapText="1"/>
    </xf>
    <xf numFmtId="0" fontId="39" fillId="0" borderId="46" xfId="0" applyFont="1" applyBorder="1" applyAlignment="1">
      <alignment horizontal="center" vertical="center" wrapText="1"/>
    </xf>
    <xf numFmtId="0" fontId="48" fillId="0" borderId="46" xfId="0" applyFont="1" applyBorder="1" applyAlignment="1">
      <alignment horizontal="center" vertical="center" wrapText="1"/>
    </xf>
    <xf numFmtId="0" fontId="45" fillId="0" borderId="46" xfId="0" applyFont="1" applyBorder="1" applyAlignment="1">
      <alignment horizontal="center" vertical="center" wrapText="1"/>
    </xf>
    <xf numFmtId="0" fontId="44" fillId="0" borderId="46" xfId="0" applyFont="1" applyBorder="1" applyAlignment="1">
      <alignment horizontal="center" vertical="center" wrapText="1"/>
    </xf>
    <xf numFmtId="0" fontId="41" fillId="0" borderId="46" xfId="0" applyFont="1" applyBorder="1" applyAlignment="1">
      <alignment horizontal="center" vertical="center" wrapText="1"/>
    </xf>
    <xf numFmtId="167" fontId="0" fillId="0" borderId="0" xfId="0" applyNumberFormat="1" applyAlignment="1">
      <alignment horizontal="center"/>
    </xf>
    <xf numFmtId="0" fontId="0" fillId="7" borderId="0" xfId="0" applyFill="1"/>
    <xf numFmtId="1" fontId="0" fillId="0" borderId="13" xfId="0" applyNumberFormat="1" applyFont="1" applyFill="1" applyBorder="1" applyAlignment="1">
      <alignment horizontal="center" vertical="center"/>
    </xf>
    <xf numFmtId="0" fontId="45" fillId="0" borderId="13" xfId="0" applyFont="1" applyFill="1" applyBorder="1" applyAlignment="1">
      <alignment horizontal="center"/>
    </xf>
    <xf numFmtId="167" fontId="45" fillId="0" borderId="13" xfId="0" applyNumberFormat="1" applyFont="1" applyFill="1" applyBorder="1" applyAlignment="1">
      <alignment horizontal="center"/>
    </xf>
    <xf numFmtId="170" fontId="0" fillId="0" borderId="13" xfId="0" applyNumberFormat="1" applyFont="1" applyFill="1" applyBorder="1" applyAlignment="1">
      <alignment horizontal="center" vertical="center"/>
    </xf>
    <xf numFmtId="0" fontId="45" fillId="0" borderId="13" xfId="2" applyFont="1" applyFill="1" applyBorder="1" applyAlignment="1">
      <alignment horizontal="center"/>
    </xf>
    <xf numFmtId="170" fontId="45" fillId="0" borderId="13" xfId="0" applyNumberFormat="1" applyFont="1" applyFill="1" applyBorder="1" applyAlignment="1">
      <alignment horizontal="center"/>
    </xf>
    <xf numFmtId="170" fontId="0" fillId="0" borderId="17" xfId="0" applyNumberFormat="1" applyFont="1" applyFill="1" applyBorder="1" applyAlignment="1">
      <alignment horizontal="center"/>
    </xf>
    <xf numFmtId="0" fontId="0" fillId="0" borderId="17" xfId="0" applyFont="1" applyFill="1" applyBorder="1" applyAlignment="1">
      <alignment horizontal="center"/>
    </xf>
    <xf numFmtId="170" fontId="45" fillId="0" borderId="13" xfId="2" applyNumberFormat="1" applyFont="1" applyFill="1" applyBorder="1" applyAlignment="1">
      <alignment horizontal="center"/>
    </xf>
    <xf numFmtId="2" fontId="0" fillId="0" borderId="13" xfId="0" applyNumberFormat="1" applyFont="1" applyFill="1" applyBorder="1" applyAlignment="1">
      <alignment horizontal="center" vertical="center"/>
    </xf>
    <xf numFmtId="2" fontId="0" fillId="0" borderId="17" xfId="0" applyNumberFormat="1" applyFont="1" applyFill="1" applyBorder="1" applyAlignment="1">
      <alignment horizontal="center"/>
    </xf>
    <xf numFmtId="169" fontId="0" fillId="0" borderId="13" xfId="0" applyNumberFormat="1" applyFont="1" applyFill="1" applyBorder="1" applyAlignment="1">
      <alignment horizontal="center" vertical="center"/>
    </xf>
    <xf numFmtId="168" fontId="45" fillId="0" borderId="13" xfId="0" applyNumberFormat="1" applyFont="1" applyFill="1" applyBorder="1" applyAlignment="1">
      <alignment horizontal="center"/>
    </xf>
    <xf numFmtId="168" fontId="45" fillId="0" borderId="17" xfId="0" applyNumberFormat="1" applyFont="1" applyFill="1" applyBorder="1" applyAlignment="1">
      <alignment horizontal="center"/>
    </xf>
    <xf numFmtId="169" fontId="45" fillId="0" borderId="13" xfId="0" applyNumberFormat="1" applyFont="1" applyFill="1" applyBorder="1" applyAlignment="1">
      <alignment horizontal="center"/>
    </xf>
    <xf numFmtId="1" fontId="0" fillId="0" borderId="15" xfId="0" applyNumberFormat="1" applyFont="1" applyFill="1" applyBorder="1" applyAlignment="1">
      <alignment horizontal="center" vertical="center"/>
    </xf>
    <xf numFmtId="0" fontId="45" fillId="0" borderId="15" xfId="0" applyFont="1" applyFill="1" applyBorder="1" applyAlignment="1">
      <alignment horizontal="center"/>
    </xf>
    <xf numFmtId="1" fontId="45" fillId="0" borderId="16" xfId="0" applyNumberFormat="1" applyFont="1" applyFill="1" applyBorder="1" applyAlignment="1">
      <alignment horizontal="center"/>
    </xf>
    <xf numFmtId="165" fontId="0" fillId="7" borderId="0" xfId="0" applyNumberFormat="1" applyFill="1" applyBorder="1" applyAlignment="1">
      <alignment horizontal="center"/>
    </xf>
    <xf numFmtId="3" fontId="0" fillId="7" borderId="0" xfId="0" applyNumberFormat="1" applyFill="1" applyBorder="1" applyAlignment="1">
      <alignment horizontal="center"/>
    </xf>
    <xf numFmtId="4" fontId="0" fillId="7" borderId="0" xfId="0" applyNumberFormat="1" applyFill="1" applyBorder="1" applyAlignment="1">
      <alignment horizontal="center"/>
    </xf>
    <xf numFmtId="3" fontId="17" fillId="0" borderId="13" xfId="0" applyNumberFormat="1" applyFont="1" applyFill="1" applyBorder="1" applyAlignment="1">
      <alignment horizontal="center" vertical="center"/>
    </xf>
    <xf numFmtId="3" fontId="17" fillId="0" borderId="13" xfId="0" applyNumberFormat="1" applyFont="1" applyBorder="1" applyAlignment="1">
      <alignment horizontal="center"/>
    </xf>
    <xf numFmtId="165" fontId="17" fillId="0" borderId="13" xfId="0" applyNumberFormat="1" applyFont="1" applyFill="1" applyBorder="1" applyAlignment="1">
      <alignment horizontal="center" vertical="center"/>
    </xf>
    <xf numFmtId="164" fontId="17" fillId="0" borderId="13" xfId="0" applyNumberFormat="1" applyFont="1" applyBorder="1" applyAlignment="1">
      <alignment horizontal="center"/>
    </xf>
    <xf numFmtId="165" fontId="17" fillId="0" borderId="13" xfId="0" applyNumberFormat="1" applyFont="1" applyBorder="1" applyAlignment="1">
      <alignment horizontal="center"/>
    </xf>
    <xf numFmtId="4" fontId="17" fillId="0" borderId="13" xfId="0" applyNumberFormat="1" applyFont="1" applyBorder="1" applyAlignment="1">
      <alignment horizontal="center"/>
    </xf>
    <xf numFmtId="174" fontId="17" fillId="0" borderId="13" xfId="0" applyNumberFormat="1" applyFont="1" applyBorder="1" applyAlignment="1">
      <alignment horizontal="center"/>
    </xf>
    <xf numFmtId="3" fontId="0" fillId="7" borderId="57" xfId="0" applyNumberFormat="1" applyFill="1" applyBorder="1" applyAlignment="1">
      <alignment horizontal="center"/>
    </xf>
    <xf numFmtId="3" fontId="0" fillId="7" borderId="58" xfId="0" applyNumberFormat="1" applyFill="1" applyBorder="1" applyAlignment="1">
      <alignment horizontal="center"/>
    </xf>
    <xf numFmtId="165" fontId="0" fillId="7" borderId="29" xfId="0" applyNumberFormat="1" applyFill="1" applyBorder="1" applyAlignment="1">
      <alignment horizontal="center"/>
    </xf>
    <xf numFmtId="3" fontId="0" fillId="7" borderId="29" xfId="0" applyNumberFormat="1" applyFill="1" applyBorder="1" applyAlignment="1">
      <alignment horizontal="center"/>
    </xf>
    <xf numFmtId="4" fontId="0" fillId="7" borderId="29" xfId="0" applyNumberFormat="1" applyFill="1" applyBorder="1" applyAlignment="1">
      <alignment horizontal="center"/>
    </xf>
    <xf numFmtId="3" fontId="13" fillId="7" borderId="0" xfId="0" applyNumberFormat="1" applyFont="1" applyFill="1" applyBorder="1" applyAlignment="1">
      <alignment horizontal="center"/>
    </xf>
    <xf numFmtId="170" fontId="57" fillId="0" borderId="0" xfId="0" applyNumberFormat="1" applyFont="1" applyFill="1" applyBorder="1" applyAlignment="1">
      <alignment horizontal="center" vertical="center"/>
    </xf>
    <xf numFmtId="170" fontId="0" fillId="0" borderId="13" xfId="0" applyNumberFormat="1" applyFont="1" applyFill="1" applyBorder="1" applyAlignment="1">
      <alignment horizontal="center"/>
    </xf>
    <xf numFmtId="167" fontId="0" fillId="0" borderId="13" xfId="0" applyNumberFormat="1" applyFont="1" applyFill="1" applyBorder="1" applyAlignment="1">
      <alignment horizontal="center" vertical="center"/>
    </xf>
    <xf numFmtId="0" fontId="6" fillId="2" borderId="0" xfId="0" applyFont="1" applyFill="1"/>
    <xf numFmtId="1" fontId="0" fillId="0" borderId="50" xfId="0" applyNumberFormat="1" applyFont="1" applyFill="1" applyBorder="1" applyAlignment="1">
      <alignment horizontal="center" vertical="center"/>
    </xf>
    <xf numFmtId="170" fontId="45" fillId="0" borderId="50" xfId="0" applyNumberFormat="1" applyFont="1" applyFill="1" applyBorder="1" applyAlignment="1">
      <alignment horizontal="center"/>
    </xf>
    <xf numFmtId="170" fontId="0" fillId="0" borderId="50" xfId="0" applyNumberFormat="1" applyFont="1" applyFill="1" applyBorder="1" applyAlignment="1">
      <alignment horizontal="center" vertical="center"/>
    </xf>
    <xf numFmtId="2" fontId="0" fillId="0" borderId="50" xfId="0" applyNumberFormat="1" applyFont="1" applyFill="1" applyBorder="1" applyAlignment="1">
      <alignment horizontal="center" vertical="center"/>
    </xf>
    <xf numFmtId="169" fontId="0" fillId="0" borderId="50" xfId="0" applyNumberFormat="1" applyFont="1" applyFill="1" applyBorder="1" applyAlignment="1">
      <alignment horizontal="center" vertical="center"/>
    </xf>
    <xf numFmtId="168" fontId="45" fillId="0" borderId="50" xfId="0" applyNumberFormat="1" applyFont="1" applyFill="1" applyBorder="1" applyAlignment="1">
      <alignment horizontal="center"/>
    </xf>
    <xf numFmtId="170" fontId="0" fillId="0" borderId="50" xfId="0" applyNumberFormat="1" applyFont="1" applyFill="1" applyBorder="1" applyAlignment="1">
      <alignment horizontal="center"/>
    </xf>
    <xf numFmtId="167" fontId="0" fillId="0" borderId="50" xfId="0" applyNumberFormat="1" applyFont="1" applyFill="1" applyBorder="1" applyAlignment="1">
      <alignment horizontal="center" vertical="center"/>
    </xf>
    <xf numFmtId="1" fontId="0" fillId="0" borderId="52" xfId="0" applyNumberFormat="1" applyFont="1" applyFill="1" applyBorder="1" applyAlignment="1">
      <alignment horizontal="center" vertical="center"/>
    </xf>
    <xf numFmtId="0" fontId="0" fillId="15" borderId="13" xfId="0" applyFill="1" applyBorder="1" applyAlignment="1">
      <alignment horizontal="center"/>
    </xf>
    <xf numFmtId="3" fontId="0" fillId="15" borderId="13" xfId="0" applyNumberFormat="1" applyFill="1" applyBorder="1" applyAlignment="1">
      <alignment horizontal="center"/>
    </xf>
    <xf numFmtId="4" fontId="0" fillId="15" borderId="13" xfId="0" applyNumberFormat="1" applyFill="1" applyBorder="1" applyAlignment="1">
      <alignment horizontal="center"/>
    </xf>
    <xf numFmtId="165" fontId="0" fillId="15" borderId="13" xfId="0" applyNumberFormat="1" applyFill="1" applyBorder="1" applyAlignment="1">
      <alignment horizontal="center"/>
    </xf>
    <xf numFmtId="0" fontId="9" fillId="18" borderId="13" xfId="0" applyFont="1" applyFill="1" applyBorder="1" applyAlignment="1">
      <alignment horizontal="center"/>
    </xf>
    <xf numFmtId="0" fontId="9" fillId="18" borderId="13" xfId="0" applyFont="1" applyFill="1" applyBorder="1" applyAlignment="1">
      <alignment horizontal="center" wrapText="1"/>
    </xf>
    <xf numFmtId="0" fontId="6" fillId="0" borderId="13" xfId="0" applyFont="1" applyFill="1" applyBorder="1"/>
    <xf numFmtId="3" fontId="6" fillId="0" borderId="13" xfId="0" applyNumberFormat="1" applyFont="1" applyBorder="1" applyAlignment="1">
      <alignment horizontal="center"/>
    </xf>
    <xf numFmtId="0" fontId="0" fillId="7" borderId="0" xfId="0" applyFill="1" applyAlignment="1">
      <alignment horizontal="center" wrapText="1"/>
    </xf>
    <xf numFmtId="0" fontId="6" fillId="7" borderId="0" xfId="0" applyFont="1" applyFill="1" applyBorder="1"/>
    <xf numFmtId="3" fontId="6" fillId="7" borderId="0" xfId="0" applyNumberFormat="1" applyFont="1" applyFill="1" applyBorder="1" applyAlignment="1">
      <alignment horizontal="center"/>
    </xf>
    <xf numFmtId="170" fontId="0" fillId="0" borderId="0" xfId="0" applyNumberFormat="1" applyAlignment="1">
      <alignment horizontal="center"/>
    </xf>
    <xf numFmtId="0" fontId="10" fillId="0" borderId="13" xfId="0" applyFont="1" applyFill="1" applyBorder="1"/>
    <xf numFmtId="3" fontId="10" fillId="0" borderId="13" xfId="0" applyNumberFormat="1" applyFont="1" applyBorder="1" applyAlignment="1">
      <alignment horizontal="center"/>
    </xf>
    <xf numFmtId="0" fontId="10" fillId="7" borderId="0" xfId="0" applyFont="1" applyFill="1" applyBorder="1"/>
    <xf numFmtId="3" fontId="10" fillId="7" borderId="0" xfId="0" applyNumberFormat="1" applyFont="1" applyFill="1" applyBorder="1" applyAlignment="1">
      <alignment horizontal="center"/>
    </xf>
    <xf numFmtId="0" fontId="6" fillId="18" borderId="13" xfId="0" applyFont="1" applyFill="1" applyBorder="1" applyAlignment="1">
      <alignment horizontal="center"/>
    </xf>
    <xf numFmtId="0" fontId="6" fillId="18" borderId="13" xfId="0" applyFont="1" applyFill="1" applyBorder="1" applyAlignment="1">
      <alignment horizontal="center" wrapText="1"/>
    </xf>
    <xf numFmtId="4" fontId="5" fillId="0" borderId="1" xfId="0" applyNumberFormat="1" applyFont="1" applyFill="1" applyBorder="1" applyAlignment="1">
      <alignment horizontal="center"/>
    </xf>
    <xf numFmtId="169" fontId="23" fillId="0" borderId="27" xfId="0" applyNumberFormat="1" applyFont="1" applyBorder="1" applyAlignment="1">
      <alignment horizontal="center"/>
    </xf>
    <xf numFmtId="0" fontId="6" fillId="2" borderId="0" xfId="0" applyFont="1" applyFill="1" applyAlignment="1">
      <alignment horizontal="center"/>
    </xf>
    <xf numFmtId="0" fontId="17" fillId="0" borderId="0" xfId="0" applyFont="1" applyAlignment="1">
      <alignment horizontal="right"/>
    </xf>
    <xf numFmtId="165" fontId="17" fillId="0" borderId="5" xfId="0" applyNumberFormat="1" applyFont="1" applyFill="1" applyBorder="1" applyAlignment="1">
      <alignment horizontal="center"/>
    </xf>
    <xf numFmtId="3" fontId="17" fillId="0" borderId="5" xfId="0" applyNumberFormat="1" applyFont="1" applyFill="1" applyBorder="1" applyAlignment="1">
      <alignment horizontal="center"/>
    </xf>
    <xf numFmtId="3" fontId="17" fillId="0" borderId="45" xfId="0" applyNumberFormat="1" applyFont="1" applyFill="1" applyBorder="1" applyAlignment="1">
      <alignment horizontal="center"/>
    </xf>
    <xf numFmtId="0" fontId="0" fillId="19" borderId="0" xfId="0" applyFill="1"/>
    <xf numFmtId="0" fontId="8" fillId="13" borderId="0" xfId="0" applyFont="1" applyFill="1" applyAlignment="1">
      <alignment horizontal="center"/>
    </xf>
    <xf numFmtId="37" fontId="8" fillId="13" borderId="0" xfId="1" applyNumberFormat="1" applyFont="1" applyFill="1" applyAlignment="1">
      <alignment horizontal="center"/>
    </xf>
    <xf numFmtId="4" fontId="53" fillId="0" borderId="30" xfId="4" applyNumberFormat="1" applyFont="1" applyFill="1" applyBorder="1" applyAlignment="1">
      <alignment horizontal="center"/>
    </xf>
    <xf numFmtId="4" fontId="40" fillId="0" borderId="30" xfId="4" applyNumberFormat="1" applyFont="1" applyFill="1" applyBorder="1" applyAlignment="1">
      <alignment horizontal="center"/>
    </xf>
    <xf numFmtId="165" fontId="5" fillId="0" borderId="0" xfId="0" applyNumberFormat="1" applyFont="1" applyAlignment="1">
      <alignment horizontal="center"/>
    </xf>
    <xf numFmtId="4" fontId="5" fillId="0" borderId="0" xfId="0" applyNumberFormat="1" applyFont="1" applyAlignment="1">
      <alignment horizontal="center"/>
    </xf>
    <xf numFmtId="14" fontId="5" fillId="0" borderId="0" xfId="0" applyNumberFormat="1" applyFont="1" applyFill="1" applyBorder="1" applyAlignment="1">
      <alignment horizontal="center"/>
    </xf>
    <xf numFmtId="0" fontId="5" fillId="0" borderId="0" xfId="0" applyFont="1" applyFill="1" applyBorder="1" applyAlignment="1">
      <alignment horizontal="center"/>
    </xf>
    <xf numFmtId="171" fontId="5" fillId="0" borderId="2" xfId="0" applyNumberFormat="1" applyFont="1" applyFill="1" applyBorder="1" applyAlignment="1">
      <alignment horizontal="center"/>
    </xf>
    <xf numFmtId="0" fontId="5" fillId="0" borderId="2" xfId="0" applyFont="1" applyFill="1" applyBorder="1" applyAlignment="1">
      <alignment horizontal="center"/>
    </xf>
    <xf numFmtId="0" fontId="8" fillId="0" borderId="0" xfId="0" applyFont="1" applyFill="1" applyAlignment="1">
      <alignment horizontal="left"/>
    </xf>
    <xf numFmtId="0" fontId="0" fillId="0" borderId="2" xfId="0" applyFill="1" applyBorder="1" applyAlignment="1">
      <alignment horizontal="center"/>
    </xf>
    <xf numFmtId="165" fontId="5" fillId="0" borderId="0" xfId="0" applyNumberFormat="1" applyFont="1" applyFill="1" applyAlignment="1">
      <alignment horizontal="center"/>
    </xf>
    <xf numFmtId="0" fontId="0" fillId="0" borderId="2" xfId="0" applyBorder="1" applyAlignment="1">
      <alignment horizontal="center"/>
    </xf>
    <xf numFmtId="0" fontId="6" fillId="0" borderId="0" xfId="0" applyFont="1" applyFill="1" applyAlignment="1">
      <alignment horizontal="center"/>
    </xf>
    <xf numFmtId="0" fontId="6" fillId="0" borderId="0" xfId="0" applyFont="1" applyAlignment="1">
      <alignment horizontal="left"/>
    </xf>
    <xf numFmtId="3" fontId="6" fillId="0" borderId="70" xfId="0" applyNumberFormat="1" applyFont="1" applyBorder="1" applyAlignment="1">
      <alignment horizontal="center"/>
    </xf>
    <xf numFmtId="0" fontId="6" fillId="0" borderId="0" xfId="0" applyFont="1" applyFill="1"/>
    <xf numFmtId="2" fontId="5" fillId="0" borderId="0" xfId="0" applyNumberFormat="1" applyFont="1" applyFill="1" applyAlignment="1">
      <alignment horizontal="center"/>
    </xf>
    <xf numFmtId="0" fontId="8" fillId="0" borderId="0" xfId="0" applyFont="1" applyFill="1"/>
    <xf numFmtId="164" fontId="0" fillId="0" borderId="1" xfId="0" applyNumberFormat="1" applyFill="1" applyBorder="1" applyAlignment="1">
      <alignment horizontal="center"/>
    </xf>
    <xf numFmtId="174" fontId="5" fillId="0" borderId="1" xfId="0" applyNumberFormat="1" applyFont="1" applyFill="1" applyBorder="1" applyAlignment="1">
      <alignment horizontal="center" vertical="center"/>
    </xf>
    <xf numFmtId="4" fontId="0" fillId="0" borderId="71" xfId="0" applyNumberFormat="1" applyBorder="1" applyAlignment="1">
      <alignment horizontal="center"/>
    </xf>
    <xf numFmtId="165" fontId="0" fillId="0" borderId="71" xfId="0" applyNumberFormat="1" applyBorder="1" applyAlignment="1">
      <alignment horizontal="center"/>
    </xf>
    <xf numFmtId="0" fontId="0" fillId="0" borderId="70" xfId="0" applyFill="1" applyBorder="1" applyAlignment="1">
      <alignment horizontal="center"/>
    </xf>
    <xf numFmtId="0" fontId="59" fillId="0" borderId="25" xfId="0" applyFont="1" applyBorder="1"/>
    <xf numFmtId="0" fontId="59" fillId="0" borderId="0" xfId="0" applyFont="1"/>
    <xf numFmtId="4" fontId="17" fillId="0" borderId="0" xfId="0" applyNumberFormat="1" applyFont="1" applyAlignment="1">
      <alignment horizontal="center"/>
    </xf>
    <xf numFmtId="164" fontId="17" fillId="0" borderId="0" xfId="0" applyNumberFormat="1" applyFont="1" applyAlignment="1">
      <alignment horizontal="center"/>
    </xf>
    <xf numFmtId="0" fontId="60" fillId="0" borderId="0" xfId="0" applyFont="1"/>
    <xf numFmtId="0" fontId="6" fillId="0" borderId="0" xfId="0" applyFont="1" applyFill="1" applyAlignment="1">
      <alignment horizontal="center" wrapText="1"/>
    </xf>
    <xf numFmtId="3" fontId="0" fillId="0" borderId="0" xfId="0" applyNumberFormat="1" applyFill="1" applyAlignment="1">
      <alignment horizontal="center"/>
    </xf>
    <xf numFmtId="3" fontId="6" fillId="0" borderId="71" xfId="0" applyNumberFormat="1" applyFont="1" applyBorder="1" applyAlignment="1">
      <alignment horizontal="center"/>
    </xf>
    <xf numFmtId="3" fontId="0" fillId="0" borderId="70" xfId="0" applyNumberFormat="1" applyFill="1" applyBorder="1" applyAlignment="1">
      <alignment horizontal="center"/>
    </xf>
    <xf numFmtId="0" fontId="0" fillId="0" borderId="9" xfId="0" applyFill="1" applyBorder="1"/>
    <xf numFmtId="3" fontId="6" fillId="0" borderId="72" xfId="0" applyNumberFormat="1" applyFont="1" applyFill="1" applyBorder="1" applyAlignment="1">
      <alignment horizontal="center"/>
    </xf>
    <xf numFmtId="165" fontId="6" fillId="0" borderId="72" xfId="0" applyNumberFormat="1" applyFont="1" applyFill="1" applyBorder="1" applyAlignment="1">
      <alignment horizontal="center"/>
    </xf>
    <xf numFmtId="0" fontId="0" fillId="0" borderId="1" xfId="0" applyFill="1" applyBorder="1"/>
    <xf numFmtId="3" fontId="0" fillId="0" borderId="9" xfId="0" applyNumberFormat="1" applyFill="1" applyBorder="1" applyAlignment="1">
      <alignment horizontal="center"/>
    </xf>
    <xf numFmtId="4" fontId="0" fillId="0" borderId="9" xfId="0" applyNumberFormat="1" applyFill="1" applyBorder="1" applyAlignment="1">
      <alignment horizontal="center"/>
    </xf>
    <xf numFmtId="3" fontId="8" fillId="0" borderId="5" xfId="0" applyNumberFormat="1" applyFont="1" applyFill="1" applyBorder="1" applyAlignment="1">
      <alignment horizontal="center"/>
    </xf>
    <xf numFmtId="0" fontId="6" fillId="0" borderId="1" xfId="0" applyFont="1" applyFill="1" applyBorder="1" applyAlignment="1">
      <alignment horizontal="center" wrapText="1"/>
    </xf>
    <xf numFmtId="0" fontId="0" fillId="0" borderId="74" xfId="0" applyBorder="1"/>
    <xf numFmtId="4" fontId="5" fillId="0" borderId="73" xfId="0" applyNumberFormat="1" applyFont="1" applyFill="1" applyBorder="1" applyAlignment="1">
      <alignment horizontal="center"/>
    </xf>
    <xf numFmtId="0" fontId="61" fillId="0" borderId="0" xfId="0" applyFont="1"/>
    <xf numFmtId="0" fontId="0" fillId="0" borderId="72" xfId="0" applyFill="1" applyBorder="1"/>
    <xf numFmtId="165" fontId="6" fillId="0" borderId="75" xfId="0" applyNumberFormat="1" applyFont="1" applyFill="1" applyBorder="1" applyAlignment="1">
      <alignment horizontal="center"/>
    </xf>
    <xf numFmtId="3" fontId="6" fillId="0" borderId="76" xfId="0" applyNumberFormat="1" applyFont="1" applyFill="1" applyBorder="1" applyAlignment="1">
      <alignment horizontal="center"/>
    </xf>
    <xf numFmtId="0" fontId="0" fillId="0" borderId="74" xfId="0" applyFill="1" applyBorder="1" applyAlignment="1">
      <alignment wrapText="1"/>
    </xf>
    <xf numFmtId="0" fontId="14" fillId="0" borderId="0" xfId="0" applyFont="1" applyAlignment="1">
      <alignment horizontal="center"/>
    </xf>
    <xf numFmtId="3" fontId="0" fillId="0" borderId="70" xfId="0" applyNumberFormat="1" applyBorder="1" applyAlignment="1">
      <alignment horizontal="center"/>
    </xf>
    <xf numFmtId="0" fontId="0" fillId="0" borderId="70" xfId="0" applyBorder="1" applyAlignment="1">
      <alignment horizontal="center"/>
    </xf>
    <xf numFmtId="4" fontId="5" fillId="20" borderId="1" xfId="0" applyNumberFormat="1" applyFont="1" applyFill="1" applyBorder="1" applyAlignment="1">
      <alignment horizontal="center" vertical="center"/>
    </xf>
    <xf numFmtId="0" fontId="62" fillId="0" borderId="0" xfId="0" applyFont="1"/>
    <xf numFmtId="0" fontId="0" fillId="0" borderId="67" xfId="0" applyFont="1" applyFill="1" applyBorder="1" applyAlignment="1">
      <alignment horizontal="center"/>
    </xf>
    <xf numFmtId="0" fontId="4" fillId="0" borderId="17" xfId="2" applyFont="1" applyFill="1" applyBorder="1" applyAlignment="1">
      <alignment horizontal="center"/>
    </xf>
    <xf numFmtId="170" fontId="4" fillId="0" borderId="17" xfId="2" applyNumberFormat="1" applyFont="1" applyFill="1" applyBorder="1" applyAlignment="1">
      <alignment horizontal="center"/>
    </xf>
    <xf numFmtId="0" fontId="0" fillId="0" borderId="68" xfId="0" applyFont="1" applyFill="1" applyBorder="1" applyAlignment="1">
      <alignment horizontal="center"/>
    </xf>
    <xf numFmtId="0" fontId="0" fillId="0" borderId="28" xfId="0" applyFont="1" applyFill="1" applyBorder="1" applyAlignment="1">
      <alignment horizontal="center"/>
    </xf>
    <xf numFmtId="0" fontId="64" fillId="0" borderId="0" xfId="0" applyFont="1" applyFill="1" applyBorder="1"/>
    <xf numFmtId="0" fontId="65" fillId="0" borderId="0" xfId="0" applyFont="1" applyFill="1" applyBorder="1" applyAlignment="1">
      <alignment horizontal="right"/>
    </xf>
    <xf numFmtId="0" fontId="0" fillId="0" borderId="0" xfId="0" applyFont="1" applyFill="1"/>
    <xf numFmtId="0" fontId="0" fillId="0" borderId="0" xfId="0" applyFont="1" applyFill="1" applyBorder="1"/>
    <xf numFmtId="0" fontId="0" fillId="0" borderId="60" xfId="0" applyFont="1" applyFill="1" applyBorder="1"/>
    <xf numFmtId="0" fontId="0" fillId="0" borderId="64" xfId="0" applyFont="1" applyFill="1" applyBorder="1" applyAlignment="1">
      <alignment horizontal="center"/>
    </xf>
    <xf numFmtId="0" fontId="0" fillId="0" borderId="59" xfId="0" applyFont="1" applyFill="1" applyBorder="1" applyAlignment="1">
      <alignment horizontal="center"/>
    </xf>
    <xf numFmtId="0" fontId="13" fillId="0" borderId="66" xfId="0" applyFont="1" applyFill="1" applyBorder="1" applyAlignment="1">
      <alignment horizontal="center"/>
    </xf>
    <xf numFmtId="16" fontId="0" fillId="0" borderId="47" xfId="0" applyNumberFormat="1" applyFont="1" applyFill="1" applyBorder="1" applyAlignment="1">
      <alignment horizontal="center"/>
    </xf>
    <xf numFmtId="16" fontId="0" fillId="0" borderId="48" xfId="0" applyNumberFormat="1" applyFont="1" applyFill="1" applyBorder="1" applyAlignment="1">
      <alignment horizontal="center"/>
    </xf>
    <xf numFmtId="16" fontId="0" fillId="0" borderId="56" xfId="0" applyNumberFormat="1" applyFont="1" applyFill="1" applyBorder="1" applyAlignment="1">
      <alignment horizontal="center"/>
    </xf>
    <xf numFmtId="0" fontId="0" fillId="0" borderId="47" xfId="0" applyFont="1" applyFill="1" applyBorder="1" applyAlignment="1">
      <alignment horizontal="center"/>
    </xf>
    <xf numFmtId="16" fontId="0" fillId="0" borderId="49" xfId="0" applyNumberFormat="1" applyFont="1" applyFill="1" applyBorder="1" applyAlignment="1">
      <alignment horizontal="center"/>
    </xf>
    <xf numFmtId="1" fontId="0" fillId="0" borderId="50" xfId="0" applyNumberFormat="1" applyFont="1" applyFill="1" applyBorder="1" applyAlignment="1">
      <alignment horizontal="center"/>
    </xf>
    <xf numFmtId="1" fontId="0" fillId="0" borderId="51" xfId="0" applyNumberFormat="1" applyFont="1" applyFill="1" applyBorder="1" applyAlignment="1">
      <alignment horizontal="center"/>
    </xf>
    <xf numFmtId="167" fontId="0" fillId="0" borderId="17" xfId="0" applyNumberFormat="1" applyFont="1" applyFill="1" applyBorder="1" applyAlignment="1">
      <alignment horizontal="center"/>
    </xf>
    <xf numFmtId="167" fontId="0" fillId="0" borderId="50" xfId="0" applyNumberFormat="1" applyFont="1" applyFill="1" applyBorder="1" applyAlignment="1">
      <alignment horizontal="center"/>
    </xf>
    <xf numFmtId="167" fontId="0" fillId="0" borderId="51" xfId="0" applyNumberFormat="1" applyFont="1" applyFill="1" applyBorder="1" applyAlignment="1">
      <alignment horizontal="center"/>
    </xf>
    <xf numFmtId="170" fontId="0" fillId="0" borderId="51" xfId="0" applyNumberFormat="1" applyFont="1" applyFill="1" applyBorder="1" applyAlignment="1">
      <alignment horizontal="center"/>
    </xf>
    <xf numFmtId="2" fontId="0" fillId="0" borderId="50" xfId="0" applyNumberFormat="1" applyFont="1" applyFill="1" applyBorder="1" applyAlignment="1">
      <alignment horizontal="center"/>
    </xf>
    <xf numFmtId="2" fontId="0" fillId="0" borderId="51" xfId="0" applyNumberFormat="1" applyFont="1" applyFill="1" applyBorder="1" applyAlignment="1">
      <alignment horizontal="center"/>
    </xf>
    <xf numFmtId="169" fontId="0" fillId="0" borderId="50" xfId="0" applyNumberFormat="1" applyFont="1" applyFill="1" applyBorder="1" applyAlignment="1">
      <alignment horizontal="center"/>
    </xf>
    <xf numFmtId="169" fontId="0" fillId="0" borderId="51" xfId="0" applyNumberFormat="1" applyFont="1" applyFill="1" applyBorder="1" applyAlignment="1">
      <alignment horizontal="center"/>
    </xf>
    <xf numFmtId="168" fontId="0" fillId="0" borderId="50" xfId="0" applyNumberFormat="1" applyFont="1" applyFill="1" applyBorder="1" applyAlignment="1">
      <alignment horizontal="center"/>
    </xf>
    <xf numFmtId="168" fontId="0" fillId="0" borderId="51" xfId="0" applyNumberFormat="1" applyFont="1" applyFill="1" applyBorder="1" applyAlignment="1">
      <alignment horizontal="center"/>
    </xf>
    <xf numFmtId="169" fontId="0" fillId="0" borderId="17" xfId="0" applyNumberFormat="1" applyFont="1" applyFill="1" applyBorder="1" applyAlignment="1">
      <alignment horizontal="center"/>
    </xf>
    <xf numFmtId="0" fontId="0" fillId="0" borderId="54" xfId="0" applyFont="1" applyFill="1" applyBorder="1" applyAlignment="1">
      <alignment horizontal="center"/>
    </xf>
    <xf numFmtId="1" fontId="0" fillId="0" borderId="52" xfId="0" applyNumberFormat="1" applyFont="1" applyFill="1" applyBorder="1" applyAlignment="1">
      <alignment horizontal="center"/>
    </xf>
    <xf numFmtId="1" fontId="0" fillId="0" borderId="53" xfId="0" applyNumberFormat="1" applyFont="1" applyFill="1" applyBorder="1" applyAlignment="1">
      <alignment horizontal="center"/>
    </xf>
    <xf numFmtId="1" fontId="0" fillId="0" borderId="28" xfId="0" applyNumberFormat="1" applyFont="1" applyFill="1" applyBorder="1" applyAlignment="1">
      <alignment horizontal="center"/>
    </xf>
    <xf numFmtId="1" fontId="0" fillId="0" borderId="47" xfId="0" applyNumberFormat="1" applyFont="1" applyFill="1" applyBorder="1" applyAlignment="1">
      <alignment horizontal="center"/>
    </xf>
    <xf numFmtId="1" fontId="0" fillId="0" borderId="49" xfId="0" applyNumberFormat="1" applyFont="1" applyFill="1" applyBorder="1" applyAlignment="1">
      <alignment horizontal="center"/>
    </xf>
    <xf numFmtId="1" fontId="0" fillId="0" borderId="15" xfId="0" applyNumberFormat="1" applyFont="1" applyFill="1" applyBorder="1" applyAlignment="1">
      <alignment horizontal="center"/>
    </xf>
    <xf numFmtId="1" fontId="0" fillId="0" borderId="54" xfId="0" applyNumberFormat="1" applyFont="1" applyFill="1" applyBorder="1" applyAlignment="1">
      <alignment horizontal="center"/>
    </xf>
    <xf numFmtId="0" fontId="17" fillId="0" borderId="0" xfId="0" applyFont="1" applyFill="1" applyBorder="1" applyAlignment="1">
      <alignment horizontal="left"/>
    </xf>
    <xf numFmtId="1" fontId="0" fillId="0" borderId="0" xfId="0" applyNumberFormat="1" applyFont="1" applyFill="1" applyBorder="1" applyAlignment="1">
      <alignment horizontal="center"/>
    </xf>
    <xf numFmtId="0" fontId="17" fillId="0" borderId="0" xfId="0" applyFont="1" applyFill="1" applyBorder="1" applyAlignment="1">
      <alignment horizontal="center"/>
    </xf>
    <xf numFmtId="0" fontId="0" fillId="0" borderId="0" xfId="0" applyFont="1" applyFill="1" applyAlignment="1">
      <alignment horizontal="center"/>
    </xf>
    <xf numFmtId="0" fontId="17" fillId="0" borderId="0" xfId="0" applyFont="1" applyFill="1" applyAlignment="1">
      <alignment horizontal="right"/>
    </xf>
    <xf numFmtId="169" fontId="0" fillId="0" borderId="70" xfId="0" applyNumberFormat="1" applyFont="1" applyFill="1" applyBorder="1" applyAlignment="1">
      <alignment horizontal="center"/>
    </xf>
    <xf numFmtId="168" fontId="0" fillId="0" borderId="70" xfId="0" applyNumberFormat="1" applyFont="1" applyFill="1" applyBorder="1" applyAlignment="1">
      <alignment horizontal="center"/>
    </xf>
    <xf numFmtId="0" fontId="13" fillId="0" borderId="0" xfId="0" applyFont="1" applyFill="1"/>
    <xf numFmtId="3" fontId="0" fillId="0" borderId="0" xfId="0" applyNumberFormat="1" applyFont="1" applyFill="1"/>
    <xf numFmtId="3" fontId="0" fillId="0" borderId="70" xfId="0" applyNumberFormat="1" applyFont="1" applyFill="1" applyBorder="1" applyAlignment="1">
      <alignment horizontal="center"/>
    </xf>
    <xf numFmtId="0" fontId="0" fillId="0" borderId="0" xfId="0" applyAlignment="1">
      <alignment vertical="center"/>
    </xf>
    <xf numFmtId="165" fontId="53" fillId="0" borderId="30" xfId="4" applyNumberFormat="1" applyFont="1" applyFill="1" applyBorder="1" applyAlignment="1">
      <alignment horizontal="center"/>
    </xf>
    <xf numFmtId="3" fontId="66" fillId="0" borderId="30" xfId="4" applyNumberFormat="1" applyFont="1" applyFill="1" applyBorder="1" applyAlignment="1">
      <alignment horizontal="center"/>
    </xf>
    <xf numFmtId="175" fontId="33" fillId="0" borderId="13" xfId="0" applyNumberFormat="1" applyFont="1" applyFill="1" applyBorder="1" applyAlignment="1">
      <alignment horizontal="center"/>
    </xf>
    <xf numFmtId="175" fontId="32" fillId="0" borderId="13" xfId="0" applyNumberFormat="1" applyFont="1" applyFill="1" applyBorder="1" applyAlignment="1">
      <alignment horizontal="center"/>
    </xf>
    <xf numFmtId="0" fontId="7" fillId="0" borderId="25" xfId="0" applyFont="1" applyBorder="1"/>
    <xf numFmtId="0" fontId="6" fillId="0" borderId="23" xfId="0" applyFont="1" applyBorder="1" applyAlignment="1">
      <alignment wrapText="1"/>
    </xf>
    <xf numFmtId="2" fontId="0" fillId="0" borderId="13" xfId="0" applyNumberFormat="1" applyFill="1" applyBorder="1" applyAlignment="1">
      <alignment horizontal="center"/>
    </xf>
    <xf numFmtId="1" fontId="23" fillId="0" borderId="77" xfId="0" applyNumberFormat="1" applyFont="1" applyFill="1" applyBorder="1" applyAlignment="1">
      <alignment horizontal="center"/>
    </xf>
    <xf numFmtId="1" fontId="23" fillId="0" borderId="13" xfId="0" applyNumberFormat="1" applyFont="1" applyFill="1" applyBorder="1" applyAlignment="1">
      <alignment horizontal="center"/>
    </xf>
    <xf numFmtId="0" fontId="0" fillId="9" borderId="0" xfId="0" applyFill="1"/>
    <xf numFmtId="0" fontId="7" fillId="17" borderId="0" xfId="0" applyFont="1" applyFill="1"/>
    <xf numFmtId="0" fontId="0" fillId="17" borderId="0" xfId="0" applyFill="1"/>
    <xf numFmtId="0" fontId="8" fillId="0" borderId="0" xfId="0" applyFont="1" applyAlignment="1">
      <alignment horizontal="center" wrapText="1"/>
    </xf>
    <xf numFmtId="3" fontId="0" fillId="0" borderId="9" xfId="0" applyNumberFormat="1" applyFont="1" applyBorder="1" applyAlignment="1">
      <alignment horizontal="center"/>
    </xf>
    <xf numFmtId="165" fontId="0" fillId="0" borderId="9" xfId="0" applyNumberFormat="1" applyFont="1" applyBorder="1" applyAlignment="1">
      <alignment horizontal="center"/>
    </xf>
    <xf numFmtId="4" fontId="0" fillId="0" borderId="9" xfId="0" applyNumberFormat="1" applyFont="1" applyBorder="1" applyAlignment="1">
      <alignment horizontal="center"/>
    </xf>
    <xf numFmtId="164" fontId="0" fillId="0" borderId="9" xfId="0" applyNumberFormat="1" applyFont="1" applyBorder="1" applyAlignment="1">
      <alignment horizontal="center"/>
    </xf>
    <xf numFmtId="172" fontId="0" fillId="0" borderId="9" xfId="0" applyNumberFormat="1" applyFont="1" applyBorder="1" applyAlignment="1">
      <alignment horizontal="center"/>
    </xf>
    <xf numFmtId="0" fontId="9" fillId="17" borderId="23" xfId="0" applyFont="1" applyFill="1" applyBorder="1" applyAlignment="1">
      <alignment horizontal="center" wrapText="1"/>
    </xf>
    <xf numFmtId="0" fontId="6" fillId="17" borderId="16" xfId="0" applyFont="1" applyFill="1" applyBorder="1" applyAlignment="1">
      <alignment horizontal="center"/>
    </xf>
    <xf numFmtId="0" fontId="6" fillId="17" borderId="13" xfId="0" applyFont="1" applyFill="1" applyBorder="1" applyAlignment="1">
      <alignment horizontal="center"/>
    </xf>
    <xf numFmtId="170" fontId="6" fillId="17" borderId="13" xfId="0" applyNumberFormat="1" applyFont="1" applyFill="1" applyBorder="1" applyAlignment="1">
      <alignment horizontal="center"/>
    </xf>
    <xf numFmtId="169" fontId="6" fillId="17" borderId="13" xfId="0" applyNumberFormat="1" applyFont="1" applyFill="1" applyBorder="1" applyAlignment="1">
      <alignment horizontal="center"/>
    </xf>
    <xf numFmtId="168" fontId="6" fillId="17" borderId="13" xfId="0" applyNumberFormat="1" applyFont="1" applyFill="1" applyBorder="1" applyAlignment="1">
      <alignment horizontal="center"/>
    </xf>
    <xf numFmtId="3" fontId="45" fillId="0" borderId="46" xfId="0" applyNumberFormat="1" applyFont="1" applyBorder="1" applyAlignment="1">
      <alignment horizontal="center" vertical="center" wrapText="1"/>
    </xf>
    <xf numFmtId="4" fontId="45" fillId="0" borderId="46" xfId="0" applyNumberFormat="1" applyFont="1" applyBorder="1" applyAlignment="1">
      <alignment horizontal="center" vertical="center" wrapText="1"/>
    </xf>
    <xf numFmtId="3" fontId="48" fillId="0" borderId="46" xfId="0" applyNumberFormat="1" applyFont="1" applyBorder="1" applyAlignment="1">
      <alignment horizontal="center" wrapText="1"/>
    </xf>
    <xf numFmtId="3" fontId="44" fillId="0" borderId="46" xfId="0" applyNumberFormat="1" applyFont="1" applyBorder="1" applyAlignment="1">
      <alignment vertical="center" wrapText="1"/>
    </xf>
    <xf numFmtId="4" fontId="44" fillId="0" borderId="46" xfId="0" applyNumberFormat="1" applyFont="1" applyBorder="1" applyAlignment="1">
      <alignment vertical="center" wrapText="1"/>
    </xf>
    <xf numFmtId="4" fontId="48" fillId="0" borderId="46" xfId="0" applyNumberFormat="1" applyFont="1" applyBorder="1" applyAlignment="1">
      <alignment horizontal="center" wrapText="1"/>
    </xf>
    <xf numFmtId="3" fontId="48" fillId="0" borderId="46" xfId="0" applyNumberFormat="1" applyFont="1" applyBorder="1" applyAlignment="1">
      <alignment horizontal="center" vertical="center" wrapText="1"/>
    </xf>
    <xf numFmtId="0" fontId="23" fillId="0" borderId="0" xfId="0" applyFont="1" applyFill="1" applyBorder="1"/>
    <xf numFmtId="3" fontId="0" fillId="0" borderId="0" xfId="1" applyNumberFormat="1" applyFont="1" applyAlignment="1">
      <alignment horizontal="center" vertical="center"/>
    </xf>
    <xf numFmtId="169" fontId="6" fillId="17" borderId="16" xfId="0" applyNumberFormat="1" applyFont="1" applyFill="1" applyBorder="1" applyAlignment="1">
      <alignment horizontal="center"/>
    </xf>
    <xf numFmtId="1" fontId="6" fillId="17" borderId="13" xfId="0" applyNumberFormat="1" applyFont="1" applyFill="1" applyBorder="1" applyAlignment="1">
      <alignment horizontal="center"/>
    </xf>
    <xf numFmtId="2" fontId="6" fillId="17" borderId="13" xfId="0" applyNumberFormat="1" applyFont="1" applyFill="1" applyBorder="1" applyAlignment="1">
      <alignment horizontal="center"/>
    </xf>
    <xf numFmtId="167" fontId="6" fillId="17" borderId="13" xfId="0" applyNumberFormat="1" applyFont="1" applyFill="1" applyBorder="1" applyAlignment="1">
      <alignment horizontal="center"/>
    </xf>
    <xf numFmtId="1" fontId="23" fillId="17" borderId="16" xfId="0" applyNumberFormat="1" applyFont="1" applyFill="1" applyBorder="1" applyAlignment="1">
      <alignment horizontal="center"/>
    </xf>
    <xf numFmtId="1" fontId="23" fillId="17" borderId="13" xfId="0" applyNumberFormat="1" applyFont="1" applyFill="1" applyBorder="1" applyAlignment="1">
      <alignment horizontal="center"/>
    </xf>
    <xf numFmtId="0" fontId="29" fillId="0" borderId="16" xfId="0" applyFont="1" applyBorder="1" applyAlignment="1">
      <alignment wrapText="1"/>
    </xf>
    <xf numFmtId="3" fontId="0" fillId="0" borderId="8" xfId="0" applyNumberFormat="1" applyFont="1" applyFill="1" applyBorder="1" applyAlignment="1">
      <alignment horizontal="center"/>
    </xf>
    <xf numFmtId="4" fontId="0" fillId="0" borderId="8" xfId="0" applyNumberFormat="1" applyFont="1" applyFill="1" applyBorder="1" applyAlignment="1">
      <alignment horizontal="center"/>
    </xf>
    <xf numFmtId="0" fontId="9" fillId="0" borderId="0" xfId="0" applyFont="1" applyAlignment="1">
      <alignment horizontal="center" wrapText="1"/>
    </xf>
    <xf numFmtId="165" fontId="6" fillId="17" borderId="1" xfId="0" applyNumberFormat="1" applyFont="1" applyFill="1" applyBorder="1" applyAlignment="1">
      <alignment horizontal="center"/>
    </xf>
    <xf numFmtId="3" fontId="6" fillId="17" borderId="1" xfId="0" applyNumberFormat="1" applyFont="1" applyFill="1" applyBorder="1" applyAlignment="1">
      <alignment horizontal="center"/>
    </xf>
    <xf numFmtId="172" fontId="6" fillId="17" borderId="1" xfId="0" applyNumberFormat="1" applyFont="1" applyFill="1" applyBorder="1" applyAlignment="1">
      <alignment horizontal="center"/>
    </xf>
    <xf numFmtId="165" fontId="6" fillId="17" borderId="20" xfId="0" applyNumberFormat="1" applyFont="1" applyFill="1" applyBorder="1" applyAlignment="1">
      <alignment horizontal="center"/>
    </xf>
    <xf numFmtId="0" fontId="19" fillId="10" borderId="13" xfId="0" applyFont="1" applyFill="1" applyBorder="1" applyAlignment="1">
      <alignment horizontal="center" wrapText="1"/>
    </xf>
    <xf numFmtId="0" fontId="19" fillId="10" borderId="13" xfId="0" applyFont="1" applyFill="1" applyBorder="1" applyAlignment="1">
      <alignment horizontal="center"/>
    </xf>
    <xf numFmtId="16" fontId="23" fillId="0" borderId="85" xfId="0" applyNumberFormat="1" applyFont="1" applyBorder="1" applyAlignment="1">
      <alignment horizontal="center"/>
    </xf>
    <xf numFmtId="0" fontId="9" fillId="17" borderId="86" xfId="0" applyFont="1" applyFill="1" applyBorder="1" applyAlignment="1">
      <alignment horizontal="center" wrapText="1"/>
    </xf>
    <xf numFmtId="3" fontId="9" fillId="0" borderId="13" xfId="0" applyNumberFormat="1" applyFont="1" applyFill="1" applyBorder="1" applyAlignment="1">
      <alignment horizontal="center"/>
    </xf>
    <xf numFmtId="3" fontId="9" fillId="17" borderId="13" xfId="0" applyNumberFormat="1" applyFont="1" applyFill="1" applyBorder="1" applyAlignment="1">
      <alignment horizontal="center"/>
    </xf>
    <xf numFmtId="0" fontId="8" fillId="3" borderId="70" xfId="0" applyFont="1" applyFill="1" applyBorder="1" applyAlignment="1">
      <alignment horizontal="center"/>
    </xf>
    <xf numFmtId="3" fontId="9" fillId="0" borderId="1" xfId="0" applyNumberFormat="1" applyFont="1" applyFill="1" applyBorder="1" applyAlignment="1">
      <alignment horizontal="center"/>
    </xf>
    <xf numFmtId="0" fontId="0" fillId="0" borderId="87" xfId="0" applyBorder="1" applyAlignment="1">
      <alignment horizontal="center"/>
    </xf>
    <xf numFmtId="4" fontId="8" fillId="0" borderId="70" xfId="0" applyNumberFormat="1" applyFont="1" applyFill="1" applyBorder="1" applyAlignment="1">
      <alignment horizontal="center"/>
    </xf>
    <xf numFmtId="2" fontId="8" fillId="0" borderId="70" xfId="0" applyNumberFormat="1" applyFont="1" applyBorder="1" applyAlignment="1">
      <alignment horizontal="center"/>
    </xf>
    <xf numFmtId="0" fontId="0" fillId="0" borderId="2" xfId="0" applyFill="1" applyBorder="1" applyAlignment="1">
      <alignment horizontal="left"/>
    </xf>
    <xf numFmtId="0" fontId="9" fillId="0" borderId="70" xfId="0" applyFont="1" applyBorder="1" applyAlignment="1">
      <alignment horizontal="center"/>
    </xf>
    <xf numFmtId="0" fontId="9" fillId="17" borderId="15" xfId="0" applyFont="1" applyFill="1" applyBorder="1" applyAlignment="1">
      <alignment horizontal="center" wrapText="1"/>
    </xf>
    <xf numFmtId="0" fontId="70" fillId="0" borderId="0" xfId="0" applyFont="1"/>
    <xf numFmtId="0" fontId="71" fillId="0" borderId="0" xfId="0" applyFont="1"/>
    <xf numFmtId="0" fontId="0" fillId="0" borderId="13" xfId="0" applyBorder="1" applyAlignment="1">
      <alignment horizontal="center" wrapText="1"/>
    </xf>
    <xf numFmtId="0" fontId="0" fillId="0" borderId="13" xfId="0" applyFill="1" applyBorder="1" applyAlignment="1">
      <alignment horizontal="center" wrapText="1"/>
    </xf>
    <xf numFmtId="0" fontId="17" fillId="0" borderId="13" xfId="0" applyFont="1" applyBorder="1"/>
    <xf numFmtId="3" fontId="0" fillId="0" borderId="13" xfId="0" applyNumberFormat="1" applyFill="1" applyBorder="1" applyAlignment="1">
      <alignment horizontal="center"/>
    </xf>
    <xf numFmtId="3" fontId="0" fillId="0" borderId="13" xfId="0" applyNumberFormat="1" applyBorder="1" applyAlignment="1">
      <alignment horizontal="center"/>
    </xf>
    <xf numFmtId="170" fontId="0" fillId="0" borderId="0" xfId="0" applyNumberFormat="1"/>
    <xf numFmtId="164" fontId="0" fillId="0" borderId="13" xfId="0" applyNumberFormat="1" applyBorder="1" applyAlignment="1">
      <alignment horizontal="center"/>
    </xf>
    <xf numFmtId="3" fontId="0" fillId="0" borderId="0" xfId="0" applyNumberFormat="1" applyBorder="1" applyAlignment="1">
      <alignment horizontal="center"/>
    </xf>
    <xf numFmtId="0" fontId="18" fillId="0" borderId="0" xfId="0" applyFont="1" applyFill="1" applyAlignment="1">
      <alignment horizontal="center"/>
    </xf>
    <xf numFmtId="176" fontId="54" fillId="0" borderId="88" xfId="4" applyNumberFormat="1" applyFont="1" applyFill="1" applyBorder="1" applyAlignment="1">
      <alignment horizontal="center"/>
    </xf>
    <xf numFmtId="167" fontId="54" fillId="0" borderId="88" xfId="4" applyNumberFormat="1" applyFont="1" applyFill="1" applyBorder="1" applyAlignment="1">
      <alignment horizontal="center"/>
    </xf>
    <xf numFmtId="0" fontId="54" fillId="0" borderId="88" xfId="4" applyFont="1" applyFill="1" applyBorder="1" applyAlignment="1">
      <alignment horizontal="center"/>
    </xf>
    <xf numFmtId="0" fontId="72" fillId="0" borderId="0" xfId="0" applyFont="1"/>
    <xf numFmtId="2" fontId="17" fillId="0" borderId="0" xfId="0" applyNumberFormat="1" applyFont="1" applyAlignment="1">
      <alignment horizontal="center"/>
    </xf>
    <xf numFmtId="4" fontId="0" fillId="0" borderId="13" xfId="0" applyNumberFormat="1" applyFill="1" applyBorder="1" applyAlignment="1">
      <alignment horizontal="center"/>
    </xf>
    <xf numFmtId="0" fontId="17" fillId="0" borderId="13" xfId="0" applyFont="1" applyFill="1" applyBorder="1"/>
    <xf numFmtId="0" fontId="6" fillId="0" borderId="13" xfId="0" applyFont="1" applyBorder="1" applyAlignment="1">
      <alignment horizontal="center" wrapText="1"/>
    </xf>
    <xf numFmtId="3" fontId="11" fillId="0" borderId="13" xfId="0" applyNumberFormat="1" applyFont="1" applyFill="1" applyBorder="1" applyAlignment="1">
      <alignment horizontal="center"/>
    </xf>
    <xf numFmtId="2" fontId="54" fillId="0" borderId="88" xfId="4" applyNumberFormat="1" applyFont="1" applyFill="1" applyBorder="1" applyAlignment="1">
      <alignment horizontal="center"/>
    </xf>
    <xf numFmtId="169" fontId="54" fillId="0" borderId="88" xfId="4" applyNumberFormat="1" applyFont="1" applyFill="1" applyBorder="1" applyAlignment="1">
      <alignment horizontal="center"/>
    </xf>
    <xf numFmtId="0" fontId="17" fillId="0" borderId="16" xfId="0" applyFont="1" applyBorder="1"/>
    <xf numFmtId="3" fontId="0" fillId="0" borderId="16" xfId="0" applyNumberFormat="1" applyBorder="1" applyAlignment="1">
      <alignment horizontal="center"/>
    </xf>
    <xf numFmtId="3" fontId="0" fillId="0" borderId="16" xfId="0" applyNumberFormat="1" applyFill="1" applyBorder="1" applyAlignment="1">
      <alignment horizontal="center"/>
    </xf>
    <xf numFmtId="0" fontId="0" fillId="0" borderId="89" xfId="0" applyBorder="1" applyAlignment="1">
      <alignment horizontal="center"/>
    </xf>
    <xf numFmtId="0" fontId="0" fillId="0" borderId="89" xfId="0" applyBorder="1" applyAlignment="1">
      <alignment horizontal="center" wrapText="1"/>
    </xf>
    <xf numFmtId="0" fontId="0" fillId="0" borderId="89" xfId="0" applyFill="1" applyBorder="1" applyAlignment="1">
      <alignment horizontal="center" wrapText="1"/>
    </xf>
    <xf numFmtId="0" fontId="17" fillId="0" borderId="0" xfId="0" applyFont="1" applyFill="1" applyBorder="1" applyAlignment="1">
      <alignment horizontal="right"/>
    </xf>
    <xf numFmtId="3" fontId="54" fillId="0" borderId="13" xfId="4" applyNumberFormat="1" applyFont="1" applyFill="1" applyBorder="1" applyAlignment="1">
      <alignment horizontal="center"/>
    </xf>
    <xf numFmtId="3" fontId="17" fillId="0" borderId="13" xfId="0" applyNumberFormat="1" applyFont="1" applyFill="1" applyBorder="1" applyAlignment="1">
      <alignment horizontal="center"/>
    </xf>
    <xf numFmtId="4" fontId="54" fillId="0" borderId="16" xfId="4" applyNumberFormat="1" applyFont="1" applyFill="1" applyBorder="1" applyAlignment="1">
      <alignment horizontal="center"/>
    </xf>
    <xf numFmtId="4" fontId="17" fillId="0" borderId="16" xfId="0" applyNumberFormat="1" applyFont="1" applyBorder="1" applyAlignment="1">
      <alignment horizontal="center"/>
    </xf>
    <xf numFmtId="4" fontId="54" fillId="0" borderId="13" xfId="4" applyNumberFormat="1" applyFont="1" applyFill="1" applyBorder="1" applyAlignment="1">
      <alignment horizontal="center"/>
    </xf>
    <xf numFmtId="4" fontId="17" fillId="0" borderId="13" xfId="0" applyNumberFormat="1" applyFont="1" applyFill="1" applyBorder="1" applyAlignment="1">
      <alignment horizontal="center"/>
    </xf>
    <xf numFmtId="174" fontId="54" fillId="0" borderId="13" xfId="4" applyNumberFormat="1" applyFont="1" applyFill="1" applyBorder="1" applyAlignment="1">
      <alignment horizontal="center"/>
    </xf>
    <xf numFmtId="174" fontId="17" fillId="0" borderId="13" xfId="0" applyNumberFormat="1" applyFont="1" applyFill="1" applyBorder="1" applyAlignment="1">
      <alignment horizontal="center"/>
    </xf>
    <xf numFmtId="3" fontId="0" fillId="0" borderId="86" xfId="0" applyNumberFormat="1" applyBorder="1" applyAlignment="1">
      <alignment horizontal="center"/>
    </xf>
    <xf numFmtId="0" fontId="17" fillId="0" borderId="90" xfId="0" applyFont="1" applyFill="1" applyBorder="1" applyAlignment="1">
      <alignment horizontal="right"/>
    </xf>
    <xf numFmtId="3" fontId="0" fillId="0" borderId="90" xfId="0" applyNumberFormat="1" applyBorder="1" applyAlignment="1">
      <alignment horizontal="center"/>
    </xf>
    <xf numFmtId="4" fontId="73" fillId="0" borderId="13" xfId="4" applyNumberFormat="1" applyFont="1" applyFill="1" applyBorder="1" applyAlignment="1">
      <alignment horizontal="center"/>
    </xf>
    <xf numFmtId="165" fontId="0" fillId="0" borderId="13" xfId="0" applyNumberFormat="1" applyFill="1" applyBorder="1" applyAlignment="1">
      <alignment horizontal="center"/>
    </xf>
    <xf numFmtId="165" fontId="0" fillId="0" borderId="13" xfId="0" applyNumberFormat="1" applyBorder="1" applyAlignment="1">
      <alignment horizontal="center"/>
    </xf>
    <xf numFmtId="165" fontId="11" fillId="0" borderId="13" xfId="0" applyNumberFormat="1" applyFont="1" applyFill="1" applyBorder="1" applyAlignment="1">
      <alignment horizontal="center"/>
    </xf>
    <xf numFmtId="0" fontId="9" fillId="13" borderId="0" xfId="0" applyFont="1" applyFill="1" applyAlignment="1">
      <alignment horizontal="right"/>
    </xf>
    <xf numFmtId="0" fontId="74" fillId="0" borderId="0" xfId="0" applyFont="1" applyFill="1"/>
    <xf numFmtId="4" fontId="0" fillId="0" borderId="13" xfId="0" applyNumberFormat="1" applyBorder="1" applyAlignment="1">
      <alignment horizontal="center"/>
    </xf>
    <xf numFmtId="170" fontId="0" fillId="0" borderId="13" xfId="0" applyNumberFormat="1" applyBorder="1" applyAlignment="1">
      <alignment horizontal="center"/>
    </xf>
    <xf numFmtId="0" fontId="7" fillId="0" borderId="0" xfId="0" applyFont="1" applyFill="1" applyBorder="1" applyAlignment="1">
      <alignment horizontal="center"/>
    </xf>
    <xf numFmtId="0" fontId="17" fillId="0" borderId="91" xfId="0" applyFont="1" applyFill="1" applyBorder="1" applyAlignment="1">
      <alignment horizontal="right"/>
    </xf>
    <xf numFmtId="0" fontId="8" fillId="0" borderId="0" xfId="0" applyFont="1" applyFill="1" applyAlignment="1">
      <alignment horizontal="right"/>
    </xf>
    <xf numFmtId="0" fontId="8" fillId="0" borderId="0" xfId="0" applyFont="1" applyFill="1" applyAlignment="1">
      <alignment horizontal="center"/>
    </xf>
    <xf numFmtId="177" fontId="54" fillId="0" borderId="88" xfId="4" applyNumberFormat="1" applyFont="1" applyFill="1" applyBorder="1" applyAlignment="1">
      <alignment horizontal="center"/>
    </xf>
    <xf numFmtId="3" fontId="17" fillId="0" borderId="90" xfId="0" applyNumberFormat="1" applyFont="1" applyBorder="1" applyAlignment="1">
      <alignment horizontal="center"/>
    </xf>
    <xf numFmtId="0" fontId="6" fillId="0" borderId="90" xfId="0" applyFont="1" applyFill="1" applyBorder="1"/>
    <xf numFmtId="0" fontId="6" fillId="0" borderId="90" xfId="0" applyFont="1" applyFill="1" applyBorder="1" applyAlignment="1">
      <alignment horizontal="center"/>
    </xf>
    <xf numFmtId="0" fontId="0" fillId="0" borderId="90" xfId="0" applyFill="1" applyBorder="1"/>
    <xf numFmtId="0" fontId="0" fillId="0" borderId="0" xfId="0" applyFont="1" applyAlignment="1">
      <alignment horizontal="center"/>
    </xf>
    <xf numFmtId="0" fontId="9" fillId="0" borderId="0" xfId="0" applyFont="1" applyAlignment="1">
      <alignment horizontal="right"/>
    </xf>
    <xf numFmtId="0" fontId="8" fillId="0" borderId="84" xfId="0" applyFont="1" applyFill="1" applyBorder="1" applyAlignment="1">
      <alignment horizontal="left"/>
    </xf>
    <xf numFmtId="0" fontId="2" fillId="0" borderId="84" xfId="0" applyFont="1" applyFill="1" applyBorder="1" applyAlignment="1">
      <alignment horizontal="left"/>
    </xf>
    <xf numFmtId="0" fontId="75" fillId="0" borderId="0" xfId="0" applyFont="1"/>
    <xf numFmtId="0" fontId="0" fillId="0" borderId="90" xfId="0" applyFill="1" applyBorder="1" applyAlignment="1">
      <alignment horizontal="center"/>
    </xf>
    <xf numFmtId="0" fontId="0" fillId="5" borderId="0" xfId="0" applyFill="1" applyAlignment="1">
      <alignment horizontal="right"/>
    </xf>
    <xf numFmtId="3" fontId="0" fillId="21" borderId="90" xfId="0" applyNumberFormat="1" applyFill="1" applyBorder="1" applyAlignment="1">
      <alignment horizontal="center"/>
    </xf>
    <xf numFmtId="0" fontId="0" fillId="21" borderId="90" xfId="0" applyFill="1" applyBorder="1" applyAlignment="1">
      <alignment horizontal="center"/>
    </xf>
    <xf numFmtId="0" fontId="0" fillId="0" borderId="0" xfId="0" applyFont="1" applyAlignment="1">
      <alignment horizontal="right"/>
    </xf>
    <xf numFmtId="0" fontId="6" fillId="21" borderId="90" xfId="0" applyFont="1" applyFill="1" applyBorder="1" applyAlignment="1">
      <alignment horizontal="center" wrapText="1"/>
    </xf>
    <xf numFmtId="0" fontId="0" fillId="0" borderId="0" xfId="0" applyAlignment="1">
      <alignment wrapText="1"/>
    </xf>
    <xf numFmtId="0" fontId="7" fillId="0" borderId="0" xfId="0" applyFont="1" applyAlignment="1">
      <alignment wrapText="1"/>
    </xf>
    <xf numFmtId="0" fontId="9" fillId="0" borderId="0" xfId="0" applyFont="1" applyAlignment="1">
      <alignment wrapText="1"/>
    </xf>
    <xf numFmtId="0" fontId="76" fillId="22" borderId="0" xfId="0" applyFont="1" applyFill="1" applyAlignment="1">
      <alignment wrapText="1"/>
    </xf>
    <xf numFmtId="0" fontId="0" fillId="0" borderId="0" xfId="0" applyAlignment="1"/>
    <xf numFmtId="0" fontId="9" fillId="0" borderId="2" xfId="0" applyFont="1" applyBorder="1" applyAlignment="1">
      <alignment horizontal="center"/>
    </xf>
    <xf numFmtId="0" fontId="77" fillId="0" borderId="0" xfId="0" applyFont="1"/>
    <xf numFmtId="0" fontId="78" fillId="0" borderId="0" xfId="0" applyFont="1"/>
    <xf numFmtId="16" fontId="0" fillId="0" borderId="0" xfId="0" applyNumberFormat="1" applyAlignment="1">
      <alignment horizontal="center" wrapText="1"/>
    </xf>
    <xf numFmtId="0" fontId="9" fillId="0" borderId="0" xfId="0" applyFont="1" applyAlignment="1">
      <alignment horizontal="center" vertical="center" wrapText="1"/>
    </xf>
    <xf numFmtId="170" fontId="57" fillId="0" borderId="69" xfId="0" applyNumberFormat="1" applyFont="1" applyFill="1" applyBorder="1" applyAlignment="1">
      <alignment horizontal="center" vertical="center"/>
    </xf>
    <xf numFmtId="170" fontId="57" fillId="0" borderId="14" xfId="0" applyNumberFormat="1" applyFont="1" applyFill="1" applyBorder="1" applyAlignment="1">
      <alignment horizontal="center" vertical="center"/>
    </xf>
    <xf numFmtId="0" fontId="0" fillId="0" borderId="59" xfId="0" applyFont="1" applyFill="1" applyBorder="1" applyAlignment="1">
      <alignment horizontal="center"/>
    </xf>
    <xf numFmtId="0" fontId="0" fillId="0" borderId="65" xfId="0" applyFont="1" applyFill="1" applyBorder="1" applyAlignment="1">
      <alignment horizontal="center"/>
    </xf>
    <xf numFmtId="170" fontId="57" fillId="0" borderId="68" xfId="0" applyNumberFormat="1" applyFont="1" applyFill="1" applyBorder="1" applyAlignment="1">
      <alignment horizontal="center" vertical="center"/>
    </xf>
    <xf numFmtId="170" fontId="57" fillId="0" borderId="55" xfId="0" applyNumberFormat="1" applyFont="1" applyFill="1" applyBorder="1" applyAlignment="1">
      <alignment horizontal="center" vertical="center"/>
    </xf>
    <xf numFmtId="0" fontId="3" fillId="0" borderId="0" xfId="0" applyFont="1" applyFill="1" applyBorder="1" applyAlignment="1">
      <alignment horizontal="center"/>
    </xf>
    <xf numFmtId="0" fontId="3" fillId="0" borderId="61" xfId="0" applyFont="1" applyFill="1" applyBorder="1" applyAlignment="1">
      <alignment horizontal="center"/>
    </xf>
    <xf numFmtId="0" fontId="3" fillId="0" borderId="62" xfId="0" applyFont="1" applyFill="1" applyBorder="1" applyAlignment="1">
      <alignment horizontal="center"/>
    </xf>
    <xf numFmtId="0" fontId="3" fillId="0" borderId="63" xfId="0" applyFont="1" applyFill="1" applyBorder="1" applyAlignment="1">
      <alignment horizontal="center"/>
    </xf>
    <xf numFmtId="0" fontId="69" fillId="0" borderId="78" xfId="0" applyFont="1" applyBorder="1" applyAlignment="1">
      <alignment horizontal="center" vertical="center" wrapText="1"/>
    </xf>
    <xf numFmtId="0" fontId="69" fillId="0" borderId="79" xfId="0" applyFont="1" applyBorder="1" applyAlignment="1">
      <alignment horizontal="center" vertical="center" wrapText="1"/>
    </xf>
    <xf numFmtId="0" fontId="69" fillId="0" borderId="80" xfId="0" applyFont="1" applyBorder="1" applyAlignment="1">
      <alignment horizontal="center" vertical="center" wrapText="1"/>
    </xf>
    <xf numFmtId="0" fontId="69" fillId="0" borderId="81" xfId="0" applyFont="1" applyBorder="1" applyAlignment="1">
      <alignment horizontal="center" vertical="center" wrapText="1"/>
    </xf>
    <xf numFmtId="0" fontId="69" fillId="0" borderId="82" xfId="0" applyFont="1" applyBorder="1" applyAlignment="1">
      <alignment horizontal="center" vertical="center" wrapText="1"/>
    </xf>
    <xf numFmtId="0" fontId="69" fillId="0" borderId="83" xfId="0" applyFont="1" applyBorder="1" applyAlignment="1">
      <alignment horizontal="center" vertical="center" wrapText="1"/>
    </xf>
    <xf numFmtId="0" fontId="8" fillId="0" borderId="0" xfId="0" applyFont="1" applyAlignment="1">
      <alignment horizontal="center"/>
    </xf>
    <xf numFmtId="0" fontId="7" fillId="0" borderId="0" xfId="0" applyFont="1" applyAlignment="1">
      <alignment horizontal="center" vertical="center"/>
    </xf>
    <xf numFmtId="0" fontId="37" fillId="0" borderId="17" xfId="0" applyFont="1" applyBorder="1" applyAlignment="1">
      <alignment horizontal="center"/>
    </xf>
    <xf numFmtId="0" fontId="37" fillId="0" borderId="18" xfId="0" applyFont="1" applyBorder="1" applyAlignment="1">
      <alignment horizontal="center"/>
    </xf>
    <xf numFmtId="0" fontId="37" fillId="0" borderId="19" xfId="0" applyFont="1" applyBorder="1" applyAlignment="1">
      <alignment horizontal="center"/>
    </xf>
    <xf numFmtId="0" fontId="29" fillId="0" borderId="17" xfId="0" applyFont="1" applyBorder="1" applyAlignment="1">
      <alignment horizontal="center" wrapText="1"/>
    </xf>
    <xf numFmtId="0" fontId="29" fillId="0" borderId="18" xfId="0" applyFont="1" applyBorder="1" applyAlignment="1">
      <alignment horizontal="center" wrapText="1"/>
    </xf>
    <xf numFmtId="0" fontId="29" fillId="0" borderId="19" xfId="0" applyFont="1" applyBorder="1" applyAlignment="1">
      <alignment horizontal="center" wrapText="1"/>
    </xf>
    <xf numFmtId="0" fontId="8" fillId="9" borderId="12" xfId="0" applyFont="1" applyFill="1" applyBorder="1" applyAlignment="1">
      <alignment horizontal="center" wrapText="1"/>
    </xf>
    <xf numFmtId="0" fontId="9" fillId="0" borderId="0" xfId="0" applyFont="1" applyAlignment="1">
      <alignment horizontal="center"/>
    </xf>
    <xf numFmtId="0" fontId="8" fillId="2" borderId="11" xfId="0" applyFont="1" applyFill="1" applyBorder="1" applyAlignment="1">
      <alignment horizontal="center"/>
    </xf>
    <xf numFmtId="0" fontId="8" fillId="2" borderId="39" xfId="0" applyFont="1" applyFill="1" applyBorder="1" applyAlignment="1">
      <alignment horizontal="center"/>
    </xf>
    <xf numFmtId="0" fontId="8" fillId="12" borderId="11" xfId="0" applyFont="1" applyFill="1" applyBorder="1" applyAlignment="1">
      <alignment horizontal="center"/>
    </xf>
    <xf numFmtId="0" fontId="8" fillId="12" borderId="39" xfId="0" applyFont="1" applyFill="1" applyBorder="1" applyAlignment="1">
      <alignment horizontal="center"/>
    </xf>
    <xf numFmtId="0" fontId="8" fillId="10" borderId="11" xfId="0" applyFont="1" applyFill="1" applyBorder="1" applyAlignment="1">
      <alignment horizontal="center"/>
    </xf>
    <xf numFmtId="0" fontId="8" fillId="10" borderId="39" xfId="0" applyFont="1" applyFill="1" applyBorder="1" applyAlignment="1">
      <alignment horizontal="center"/>
    </xf>
    <xf numFmtId="0" fontId="8" fillId="4" borderId="11" xfId="0" applyFont="1" applyFill="1" applyBorder="1" applyAlignment="1">
      <alignment horizontal="center"/>
    </xf>
    <xf numFmtId="0" fontId="8" fillId="4" borderId="39" xfId="0" applyFont="1" applyFill="1" applyBorder="1" applyAlignment="1">
      <alignment horizontal="center"/>
    </xf>
    <xf numFmtId="0" fontId="8" fillId="0" borderId="41" xfId="0" applyFont="1" applyBorder="1" applyAlignment="1">
      <alignment horizontal="center" wrapText="1"/>
    </xf>
    <xf numFmtId="0" fontId="8" fillId="0" borderId="8" xfId="0" applyFont="1" applyBorder="1" applyAlignment="1">
      <alignment horizontal="center" wrapText="1"/>
    </xf>
    <xf numFmtId="0" fontId="8" fillId="0" borderId="11" xfId="0" applyFont="1" applyBorder="1" applyAlignment="1">
      <alignment horizontal="center"/>
    </xf>
    <xf numFmtId="0" fontId="8" fillId="0" borderId="39" xfId="0" applyFont="1" applyBorder="1" applyAlignment="1">
      <alignment horizontal="center"/>
    </xf>
    <xf numFmtId="0" fontId="8" fillId="0" borderId="41" xfId="0" applyFont="1" applyBorder="1" applyAlignment="1">
      <alignment horizontal="center"/>
    </xf>
    <xf numFmtId="0" fontId="8" fillId="0" borderId="8" xfId="0" applyFont="1" applyBorder="1" applyAlignment="1">
      <alignment horizontal="center"/>
    </xf>
    <xf numFmtId="0" fontId="8" fillId="0" borderId="0" xfId="0" applyFont="1" applyFill="1" applyAlignment="1">
      <alignment horizontal="center"/>
    </xf>
    <xf numFmtId="0" fontId="7" fillId="12" borderId="84" xfId="0" applyFont="1" applyFill="1" applyBorder="1" applyAlignment="1">
      <alignment horizontal="center"/>
    </xf>
    <xf numFmtId="0" fontId="9" fillId="2" borderId="84" xfId="0" applyFont="1" applyFill="1" applyBorder="1" applyAlignment="1">
      <alignment horizontal="center"/>
    </xf>
    <xf numFmtId="0" fontId="9" fillId="0" borderId="2" xfId="0" applyFont="1" applyFill="1" applyBorder="1" applyAlignment="1">
      <alignment horizontal="center"/>
    </xf>
  </cellXfs>
  <cellStyles count="5">
    <cellStyle name="Comma" xfId="1" builtinId="3"/>
    <cellStyle name="Normal" xfId="0" builtinId="0"/>
    <cellStyle name="Normal_Sheet1" xfId="4"/>
    <cellStyle name="Note" xfId="2" builtinId="10"/>
    <cellStyle name="Percent" xfId="3" builtinId="5"/>
  </cellStyles>
  <dxfs count="0"/>
  <tableStyles count="0" defaultTableStyle="TableStyleMedium2" defaultPivotStyle="PivotStyleLight16"/>
  <colors>
    <mruColors>
      <color rgb="FF352BF5"/>
      <color rgb="FFDCE6EC"/>
      <color rgb="FFBC5610"/>
      <color rgb="FFB6CBD8"/>
      <color rgb="FFCC5D12"/>
      <color rgb="FFDCD8E4"/>
      <color rgb="FFE26714"/>
      <color rgb="FFFFC611"/>
      <color rgb="FFD3D317"/>
      <color rgb="FFCBCB1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6.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7.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8.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9.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0.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1.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2.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3.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4.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5.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6.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5.xml"/><Relationship Id="rId1" Type="http://schemas.microsoft.com/office/2011/relationships/chartStyle" Target="style25.xml"/></Relationships>
</file>

<file path=xl/charts/_rels/chart27.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8.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7.xml"/><Relationship Id="rId1" Type="http://schemas.microsoft.com/office/2011/relationships/chartStyle" Target="style27.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28.xml"/><Relationship Id="rId1" Type="http://schemas.microsoft.com/office/2011/relationships/chartStyle" Target="style28.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0.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2.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31.xml"/><Relationship Id="rId1" Type="http://schemas.microsoft.com/office/2011/relationships/chartStyle" Target="style31.xml"/></Relationships>
</file>

<file path=xl/charts/_rels/chart3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32.xml"/><Relationship Id="rId1" Type="http://schemas.microsoft.com/office/2011/relationships/chartStyle" Target="style32.xml"/></Relationships>
</file>

<file path=xl/charts/_rels/chart35.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33.xml"/><Relationship Id="rId1" Type="http://schemas.microsoft.com/office/2011/relationships/chartStyle" Target="style33.xml"/></Relationships>
</file>

<file path=xl/charts/_rels/chart37.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8.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2.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43.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44.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200" b="1" i="0" u="none" strike="noStrike" kern="1200" spc="0" baseline="0">
                <a:solidFill>
                  <a:sysClr val="windowText" lastClr="000000"/>
                </a:solidFill>
                <a:latin typeface="+mn-lt"/>
                <a:ea typeface="+mn-ea"/>
                <a:cs typeface="+mn-cs"/>
              </a:defRPr>
            </a:pPr>
            <a:r>
              <a:rPr lang="en-US" sz="1200"/>
              <a:t>Concentration of GKM Effluent </a:t>
            </a:r>
          </a:p>
        </c:rich>
      </c:tx>
      <c:overlay val="0"/>
      <c:spPr>
        <a:noFill/>
        <a:ln>
          <a:noFill/>
        </a:ln>
        <a:effectLst/>
      </c:spPr>
      <c:txPr>
        <a:bodyPr rot="0" spcFirstLastPara="1" vertOverflow="ellipsis" vert="horz" wrap="square" anchor="ctr" anchorCtr="1"/>
        <a:lstStyle/>
        <a:p>
          <a:pPr algn="ctr" rtl="0">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1655295767967748"/>
          <c:y val="0.12307888597258676"/>
          <c:w val="0.86098660332083299"/>
          <c:h val="0.64229913969087193"/>
        </c:manualLayout>
      </c:layout>
      <c:barChart>
        <c:barDir val="col"/>
        <c:grouping val="clustered"/>
        <c:varyColors val="0"/>
        <c:ser>
          <c:idx val="0"/>
          <c:order val="0"/>
          <c:tx>
            <c:strRef>
              <c:f>'Worksheet For Effluent Conc'!$E$83</c:f>
              <c:strCache>
                <c:ptCount val="1"/>
              </c:strCache>
            </c:strRef>
          </c:tx>
          <c:spPr>
            <a:solidFill>
              <a:schemeClr val="accent1">
                <a:lumMod val="75000"/>
              </a:schemeClr>
            </a:solidFill>
            <a:ln>
              <a:noFill/>
            </a:ln>
            <a:effectLst/>
          </c:spPr>
          <c:invertIfNegative val="0"/>
          <c:cat>
            <c:numRef>
              <c:f>'Worksheet For Effluent Conc'!$D$84:$D$88</c:f>
              <c:numCache>
                <c:formatCode>General</c:formatCode>
                <c:ptCount val="5"/>
              </c:numCache>
            </c:numRef>
          </c:cat>
          <c:val>
            <c:numRef>
              <c:f>'Worksheet For Effluent Conc'!$E$84:$E$88</c:f>
              <c:numCache>
                <c:formatCode>General</c:formatCode>
                <c:ptCount val="5"/>
              </c:numCache>
            </c:numRef>
          </c:val>
          <c:extLst>
            <c:ext xmlns:c16="http://schemas.microsoft.com/office/drawing/2014/chart" uri="{C3380CC4-5D6E-409C-BE32-E72D297353CC}">
              <c16:uniqueId val="{00000000-B0D4-41C5-A5DC-189D122A1A0E}"/>
            </c:ext>
          </c:extLst>
        </c:ser>
        <c:ser>
          <c:idx val="1"/>
          <c:order val="1"/>
          <c:tx>
            <c:strRef>
              <c:f>'Worksheet For Effluent Conc'!$F$83</c:f>
              <c:strCache>
                <c:ptCount val="1"/>
              </c:strCache>
            </c:strRef>
          </c:tx>
          <c:spPr>
            <a:solidFill>
              <a:schemeClr val="accent1">
                <a:lumMod val="60000"/>
                <a:lumOff val="40000"/>
              </a:schemeClr>
            </a:solidFill>
            <a:ln>
              <a:noFill/>
            </a:ln>
            <a:effectLst/>
          </c:spPr>
          <c:invertIfNegative val="0"/>
          <c:cat>
            <c:numRef>
              <c:f>'Worksheet For Effluent Conc'!$D$84:$D$88</c:f>
              <c:numCache>
                <c:formatCode>General</c:formatCode>
                <c:ptCount val="5"/>
              </c:numCache>
            </c:numRef>
          </c:cat>
          <c:val>
            <c:numRef>
              <c:f>'Worksheet For Effluent Conc'!$F$84:$F$88</c:f>
              <c:numCache>
                <c:formatCode>General</c:formatCode>
                <c:ptCount val="5"/>
              </c:numCache>
            </c:numRef>
          </c:val>
          <c:extLst>
            <c:ext xmlns:c16="http://schemas.microsoft.com/office/drawing/2014/chart" uri="{C3380CC4-5D6E-409C-BE32-E72D297353CC}">
              <c16:uniqueId val="{00000001-B0D4-41C5-A5DC-189D122A1A0E}"/>
            </c:ext>
          </c:extLst>
        </c:ser>
        <c:ser>
          <c:idx val="2"/>
          <c:order val="2"/>
          <c:tx>
            <c:strRef>
              <c:f>'Worksheet For Effluent Conc'!$G$83</c:f>
              <c:strCache>
                <c:ptCount val="1"/>
              </c:strCache>
            </c:strRef>
          </c:tx>
          <c:spPr>
            <a:solidFill>
              <a:schemeClr val="accent1">
                <a:lumMod val="40000"/>
                <a:lumOff val="60000"/>
              </a:schemeClr>
            </a:solidFill>
            <a:ln>
              <a:noFill/>
            </a:ln>
            <a:effectLst/>
          </c:spPr>
          <c:invertIfNegative val="0"/>
          <c:cat>
            <c:numRef>
              <c:f>'Worksheet For Effluent Conc'!$D$84:$D$88</c:f>
              <c:numCache>
                <c:formatCode>General</c:formatCode>
                <c:ptCount val="5"/>
              </c:numCache>
            </c:numRef>
          </c:cat>
          <c:val>
            <c:numRef>
              <c:f>'Worksheet For Effluent Conc'!$G$84:$G$88</c:f>
              <c:numCache>
                <c:formatCode>General</c:formatCode>
                <c:ptCount val="5"/>
              </c:numCache>
            </c:numRef>
          </c:val>
          <c:extLst>
            <c:ext xmlns:c16="http://schemas.microsoft.com/office/drawing/2014/chart" uri="{C3380CC4-5D6E-409C-BE32-E72D297353CC}">
              <c16:uniqueId val="{00000002-B0D4-41C5-A5DC-189D122A1A0E}"/>
            </c:ext>
          </c:extLst>
        </c:ser>
        <c:ser>
          <c:idx val="3"/>
          <c:order val="3"/>
          <c:tx>
            <c:strRef>
              <c:f>'Worksheet For Effluent Conc'!$H$83</c:f>
              <c:strCache>
                <c:ptCount val="1"/>
              </c:strCache>
            </c:strRef>
          </c:tx>
          <c:spPr>
            <a:solidFill>
              <a:srgbClr val="D5782B"/>
            </a:solidFill>
            <a:ln>
              <a:noFill/>
            </a:ln>
            <a:effectLst/>
          </c:spPr>
          <c:invertIfNegative val="0"/>
          <c:cat>
            <c:numRef>
              <c:f>'Worksheet For Effluent Conc'!$D$84:$D$88</c:f>
              <c:numCache>
                <c:formatCode>General</c:formatCode>
                <c:ptCount val="5"/>
              </c:numCache>
            </c:numRef>
          </c:cat>
          <c:val>
            <c:numRef>
              <c:f>'Worksheet For Effluent Conc'!$H$84:$H$88</c:f>
              <c:numCache>
                <c:formatCode>General</c:formatCode>
                <c:ptCount val="5"/>
              </c:numCache>
            </c:numRef>
          </c:val>
          <c:extLst>
            <c:ext xmlns:c16="http://schemas.microsoft.com/office/drawing/2014/chart" uri="{C3380CC4-5D6E-409C-BE32-E72D297353CC}">
              <c16:uniqueId val="{00000003-B0D4-41C5-A5DC-189D122A1A0E}"/>
            </c:ext>
          </c:extLst>
        </c:ser>
        <c:ser>
          <c:idx val="4"/>
          <c:order val="4"/>
          <c:tx>
            <c:strRef>
              <c:f>'Worksheet For Effluent Conc'!$I$83</c:f>
              <c:strCache>
                <c:ptCount val="1"/>
              </c:strCache>
            </c:strRef>
          </c:tx>
          <c:spPr>
            <a:solidFill>
              <a:schemeClr val="accent2">
                <a:lumMod val="60000"/>
                <a:lumOff val="40000"/>
              </a:schemeClr>
            </a:solidFill>
            <a:ln>
              <a:noFill/>
            </a:ln>
            <a:effectLst/>
          </c:spPr>
          <c:invertIfNegative val="0"/>
          <c:cat>
            <c:numRef>
              <c:f>'Worksheet For Effluent Conc'!$D$84:$D$88</c:f>
              <c:numCache>
                <c:formatCode>General</c:formatCode>
                <c:ptCount val="5"/>
              </c:numCache>
            </c:numRef>
          </c:cat>
          <c:val>
            <c:numRef>
              <c:f>'Worksheet For Effluent Conc'!$I$84:$I$88</c:f>
              <c:numCache>
                <c:formatCode>General</c:formatCode>
                <c:ptCount val="5"/>
              </c:numCache>
            </c:numRef>
          </c:val>
          <c:extLst>
            <c:ext xmlns:c16="http://schemas.microsoft.com/office/drawing/2014/chart" uri="{C3380CC4-5D6E-409C-BE32-E72D297353CC}">
              <c16:uniqueId val="{00000004-B0D4-41C5-A5DC-189D122A1A0E}"/>
            </c:ext>
          </c:extLst>
        </c:ser>
        <c:ser>
          <c:idx val="5"/>
          <c:order val="5"/>
          <c:tx>
            <c:strRef>
              <c:f>'Worksheet For Effluent Conc'!$J$63</c:f>
              <c:strCache>
                <c:ptCount val="1"/>
              </c:strCache>
            </c:strRef>
          </c:tx>
          <c:spPr>
            <a:solidFill>
              <a:schemeClr val="tx1">
                <a:lumMod val="65000"/>
                <a:lumOff val="35000"/>
              </a:schemeClr>
            </a:solidFill>
            <a:ln>
              <a:noFill/>
            </a:ln>
            <a:effectLst/>
          </c:spPr>
          <c:invertIfNegative val="0"/>
          <c:cat>
            <c:numRef>
              <c:f>'Worksheet For Effluent Conc'!$D$84:$D$88</c:f>
              <c:numCache>
                <c:formatCode>General</c:formatCode>
                <c:ptCount val="5"/>
              </c:numCache>
            </c:numRef>
          </c:cat>
          <c:val>
            <c:numRef>
              <c:f>'Worksheet For Effluent Conc'!$J$84:$J$88</c:f>
              <c:numCache>
                <c:formatCode>General</c:formatCode>
                <c:ptCount val="5"/>
              </c:numCache>
            </c:numRef>
          </c:val>
          <c:extLst>
            <c:ext xmlns:c16="http://schemas.microsoft.com/office/drawing/2014/chart" uri="{C3380CC4-5D6E-409C-BE32-E72D297353CC}">
              <c16:uniqueId val="{00000005-B0D4-41C5-A5DC-189D122A1A0E}"/>
            </c:ext>
          </c:extLst>
        </c:ser>
        <c:dLbls>
          <c:showLegendKey val="0"/>
          <c:showVal val="0"/>
          <c:showCatName val="0"/>
          <c:showSerName val="0"/>
          <c:showPercent val="0"/>
          <c:showBubbleSize val="0"/>
        </c:dLbls>
        <c:gapWidth val="219"/>
        <c:overlap val="-27"/>
        <c:axId val="398277856"/>
        <c:axId val="398277464"/>
        <c:extLst/>
      </c:barChart>
      <c:catAx>
        <c:axId val="3982778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77464"/>
        <c:crosses val="autoZero"/>
        <c:auto val="1"/>
        <c:lblAlgn val="ctr"/>
        <c:lblOffset val="100"/>
        <c:noMultiLvlLbl val="0"/>
      </c:catAx>
      <c:valAx>
        <c:axId val="3982774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Concentration (mg/L)</a:t>
                </a:r>
              </a:p>
            </c:rich>
          </c:tx>
          <c:layout>
            <c:manualLayout>
              <c:xMode val="edge"/>
              <c:yMode val="edge"/>
              <c:x val="1.099548620740937E-2"/>
              <c:y val="0.19550415573053367"/>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77856"/>
        <c:crosses val="autoZero"/>
        <c:crossBetween val="between"/>
        <c:minorUnit val="10"/>
      </c:valAx>
      <c:spPr>
        <a:noFill/>
        <a:ln>
          <a:noFill/>
        </a:ln>
        <a:effectLst/>
      </c:spPr>
    </c:plotArea>
    <c:legend>
      <c:legendPos val="b"/>
      <c:layout>
        <c:manualLayout>
          <c:xMode val="edge"/>
          <c:yMode val="edge"/>
          <c:x val="0.15301214727368451"/>
          <c:y val="0.89738765626583294"/>
          <c:w val="0.69879618634786322"/>
          <c:h val="8.266101722654416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CADMIUM</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2.8127668721961902E-3"/>
                  <c:y val="0.21516732375880782"/>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-0.0002x + 7.1284</a:t>
                    </a:r>
                    <a:br>
                      <a:rPr lang="en-US" sz="1050" baseline="0">
                        <a:latin typeface="Gill Sans MT" panose="020B0502020104020203" pitchFamily="34" charset="0"/>
                      </a:rPr>
                    </a:br>
                    <a:r>
                      <a:rPr lang="en-US" sz="1050" baseline="0">
                        <a:latin typeface="Gill Sans MT" panose="020B0502020104020203" pitchFamily="34" charset="0"/>
                      </a:rPr>
                      <a:t>R² = 0.17</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3-9'!$B$10:$E$10</c:f>
              <c:numCache>
                <c:formatCode>0.000</c:formatCode>
                <c:ptCount val="4"/>
                <c:pt idx="0">
                  <c:v>0.1</c:v>
                </c:pt>
                <c:pt idx="1">
                  <c:v>8.4000000000000005E-2</c:v>
                </c:pt>
                <c:pt idx="2">
                  <c:v>8.2000000000000003E-2</c:v>
                </c:pt>
                <c:pt idx="3" formatCode="0.00">
                  <c:v>8.4000000000000005E-2</c:v>
                </c:pt>
              </c:numCache>
            </c:numRef>
          </c:yVal>
          <c:smooth val="0"/>
          <c:extLst>
            <c:ext xmlns:c16="http://schemas.microsoft.com/office/drawing/2014/chart" uri="{C3380CC4-5D6E-409C-BE32-E72D297353CC}">
              <c16:uniqueId val="{00000000-36F7-475A-97F9-4A60AABD4BEB}"/>
            </c:ext>
          </c:extLst>
        </c:ser>
        <c:dLbls>
          <c:showLegendKey val="0"/>
          <c:showVal val="0"/>
          <c:showCatName val="0"/>
          <c:showSerName val="0"/>
          <c:showPercent val="0"/>
          <c:showBubbleSize val="0"/>
        </c:dLbls>
        <c:axId val="394928200"/>
        <c:axId val="394925848"/>
      </c:scatterChart>
      <c:valAx>
        <c:axId val="394928200"/>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5848"/>
        <c:crosses val="autoZero"/>
        <c:crossBetween val="midCat"/>
        <c:majorUnit val="7"/>
      </c:valAx>
      <c:valAx>
        <c:axId val="3949258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8200"/>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NICKEL</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2.8127668721961902E-3"/>
                  <c:y val="0.21516732375880782"/>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baseline="0"/>
                      <a:t>y = -0.0001x + 4.5515</a:t>
                    </a:r>
                    <a:br>
                      <a:rPr lang="en-US" baseline="0"/>
                    </a:br>
                    <a:r>
                      <a:rPr lang="en-US" baseline="0"/>
                      <a:t>R² = 0.64</a:t>
                    </a:r>
                    <a:endParaRPr lang="en-US"/>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3-9'!$B$21:$E$21</c:f>
              <c:numCache>
                <c:formatCode>0.000</c:formatCode>
                <c:ptCount val="4"/>
                <c:pt idx="0">
                  <c:v>7.0000000000000007E-2</c:v>
                </c:pt>
                <c:pt idx="1">
                  <c:v>6.6000000000000003E-2</c:v>
                </c:pt>
                <c:pt idx="2">
                  <c:v>6.9000000000000006E-2</c:v>
                </c:pt>
                <c:pt idx="3">
                  <c:v>6.4000000000000001E-2</c:v>
                </c:pt>
              </c:numCache>
            </c:numRef>
          </c:yVal>
          <c:smooth val="0"/>
          <c:extLst>
            <c:ext xmlns:c16="http://schemas.microsoft.com/office/drawing/2014/chart" uri="{C3380CC4-5D6E-409C-BE32-E72D297353CC}">
              <c16:uniqueId val="{00000000-EB19-46AA-8128-DA22E758592F}"/>
            </c:ext>
          </c:extLst>
        </c:ser>
        <c:dLbls>
          <c:showLegendKey val="0"/>
          <c:showVal val="0"/>
          <c:showCatName val="0"/>
          <c:showSerName val="0"/>
          <c:showPercent val="0"/>
          <c:showBubbleSize val="0"/>
        </c:dLbls>
        <c:axId val="861863048"/>
        <c:axId val="861862656"/>
      </c:scatterChart>
      <c:valAx>
        <c:axId val="861863048"/>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61862656"/>
        <c:crosses val="autoZero"/>
        <c:crossBetween val="midCat"/>
        <c:majorUnit val="7"/>
      </c:valAx>
      <c:valAx>
        <c:axId val="861862656"/>
        <c:scaling>
          <c:orientation val="minMax"/>
          <c:min val="4.0000000000000008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61863048"/>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LEAD</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4.7568005055814835E-2"/>
                  <c:y val="-0.34083477700999515"/>
                </c:manualLayout>
              </c:layout>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3-9'!$B$16:$E$16</c:f>
              <c:numCache>
                <c:formatCode>0.000</c:formatCode>
                <c:ptCount val="4"/>
                <c:pt idx="0">
                  <c:v>0.16</c:v>
                </c:pt>
                <c:pt idx="1">
                  <c:v>4.8000000000000001E-2</c:v>
                </c:pt>
                <c:pt idx="2" formatCode="General">
                  <c:v>4.2000000000000003E-2</c:v>
                </c:pt>
                <c:pt idx="3" formatCode="General">
                  <c:v>4.2000000000000003E-2</c:v>
                </c:pt>
              </c:numCache>
            </c:numRef>
          </c:yVal>
          <c:smooth val="0"/>
          <c:extLst>
            <c:ext xmlns:c16="http://schemas.microsoft.com/office/drawing/2014/chart" uri="{C3380CC4-5D6E-409C-BE32-E72D297353CC}">
              <c16:uniqueId val="{00000000-C3B5-4830-A250-A9C68C09D82C}"/>
            </c:ext>
          </c:extLst>
        </c:ser>
        <c:dLbls>
          <c:showLegendKey val="0"/>
          <c:showVal val="0"/>
          <c:showCatName val="0"/>
          <c:showSerName val="0"/>
          <c:showPercent val="0"/>
          <c:showBubbleSize val="0"/>
        </c:dLbls>
        <c:axId val="861861872"/>
        <c:axId val="861861480"/>
      </c:scatterChart>
      <c:valAx>
        <c:axId val="861861872"/>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61861480"/>
        <c:crosses val="autoZero"/>
        <c:crossBetween val="midCat"/>
        <c:majorUnit val="7"/>
      </c:valAx>
      <c:valAx>
        <c:axId val="8618614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6186187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CHROMIUM</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tx1">
                  <a:lumMod val="50000"/>
                  <a:lumOff val="50000"/>
                </a:schemeClr>
              </a:solidFill>
              <a:round/>
            </a:ln>
            <a:effectLst/>
          </c:spPr>
          <c:marker>
            <c:symbol val="circle"/>
            <c:size val="7"/>
            <c:spPr>
              <a:solidFill>
                <a:srgbClr val="0033CC"/>
              </a:solidFill>
              <a:ln w="9525">
                <a:solidFill>
                  <a:schemeClr val="bg1">
                    <a:lumMod val="75000"/>
                  </a:schemeClr>
                </a:solidFill>
              </a:ln>
              <a:effectLst/>
            </c:spPr>
          </c:marker>
          <c:trendline>
            <c:spPr>
              <a:ln w="25400" cap="rnd">
                <a:solidFill>
                  <a:schemeClr val="tx1">
                    <a:lumMod val="50000"/>
                    <a:lumOff val="50000"/>
                  </a:schemeClr>
                </a:solidFill>
                <a:prstDash val="sysDot"/>
              </a:ln>
              <a:effectLst/>
            </c:spPr>
            <c:trendlineType val="linear"/>
            <c:dispRSqr val="1"/>
            <c:dispEq val="1"/>
            <c:trendlineLbl>
              <c:layout>
                <c:manualLayout>
                  <c:x val="4.6505214983724834E-2"/>
                  <c:y val="0.31196582045114069"/>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7E-05x - 2.9317</a:t>
                    </a:r>
                    <a:br>
                      <a:rPr lang="en-US" sz="1050" baseline="0">
                        <a:latin typeface="Gill Sans MT" panose="020B0502020104020203" pitchFamily="34" charset="0"/>
                      </a:rPr>
                    </a:br>
                    <a:r>
                      <a:rPr lang="en-US" sz="1050" baseline="0">
                        <a:latin typeface="Gill Sans MT" panose="020B0502020104020203" pitchFamily="34" charset="0"/>
                      </a:rPr>
                      <a:t>R² = 0.09</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3-9'!$B$12:$E$12</c:f>
              <c:numCache>
                <c:formatCode>0.000</c:formatCode>
                <c:ptCount val="4"/>
                <c:pt idx="0">
                  <c:v>1.4999999999999999E-2</c:v>
                </c:pt>
                <c:pt idx="2">
                  <c:v>5.4999999999999997E-3</c:v>
                </c:pt>
                <c:pt idx="3">
                  <c:v>1.6E-2</c:v>
                </c:pt>
              </c:numCache>
            </c:numRef>
          </c:yVal>
          <c:smooth val="0"/>
          <c:extLst>
            <c:ext xmlns:c16="http://schemas.microsoft.com/office/drawing/2014/chart" uri="{C3380CC4-5D6E-409C-BE32-E72D297353CC}">
              <c16:uniqueId val="{00000000-AC40-4299-B58A-DE75E9CD67B6}"/>
            </c:ext>
          </c:extLst>
        </c:ser>
        <c:dLbls>
          <c:showLegendKey val="0"/>
          <c:showVal val="0"/>
          <c:showCatName val="0"/>
          <c:showSerName val="0"/>
          <c:showPercent val="0"/>
          <c:showBubbleSize val="0"/>
        </c:dLbls>
        <c:axId val="861860696"/>
        <c:axId val="861860304"/>
      </c:scatterChart>
      <c:valAx>
        <c:axId val="861860696"/>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61860304"/>
        <c:crosses val="autoZero"/>
        <c:crossBetween val="midCat"/>
        <c:majorUnit val="7"/>
      </c:valAx>
      <c:valAx>
        <c:axId val="86186030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61860696"/>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COBALT</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25400" cap="rnd">
                <a:solidFill>
                  <a:schemeClr val="tx1">
                    <a:lumMod val="50000"/>
                    <a:lumOff val="50000"/>
                  </a:schemeClr>
                </a:solidFill>
                <a:prstDash val="sysDot"/>
              </a:ln>
              <a:effectLst/>
            </c:spPr>
            <c:trendlineType val="linear"/>
            <c:dispRSqr val="1"/>
            <c:dispEq val="1"/>
            <c:trendlineLbl>
              <c:layout>
                <c:manualLayout>
                  <c:x val="1.7153237941634942E-2"/>
                  <c:y val="-0.24457071546925399"/>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-6E-05x + 2.7338</a:t>
                    </a:r>
                    <a:br>
                      <a:rPr lang="en-US" sz="1050" baseline="0">
                        <a:latin typeface="Gill Sans MT" panose="020B0502020104020203" pitchFamily="34" charset="0"/>
                      </a:rPr>
                    </a:br>
                    <a:r>
                      <a:rPr lang="en-US" sz="1050" baseline="0">
                        <a:latin typeface="Gill Sans MT" panose="020B0502020104020203" pitchFamily="34" charset="0"/>
                      </a:rPr>
                      <a:t>R² = 0.02</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3-9'!$B$13:$E$13</c:f>
              <c:numCache>
                <c:formatCode>0.00</c:formatCode>
                <c:ptCount val="4"/>
                <c:pt idx="0">
                  <c:v>0.13</c:v>
                </c:pt>
                <c:pt idx="1">
                  <c:v>0.12</c:v>
                </c:pt>
                <c:pt idx="2" formatCode="General">
                  <c:v>0.11</c:v>
                </c:pt>
                <c:pt idx="3">
                  <c:v>0.12</c:v>
                </c:pt>
              </c:numCache>
            </c:numRef>
          </c:yVal>
          <c:smooth val="0"/>
          <c:extLst>
            <c:ext xmlns:c16="http://schemas.microsoft.com/office/drawing/2014/chart" uri="{C3380CC4-5D6E-409C-BE32-E72D297353CC}">
              <c16:uniqueId val="{00000000-F147-46B1-AF6E-C8CB49724580}"/>
            </c:ext>
          </c:extLst>
        </c:ser>
        <c:dLbls>
          <c:showLegendKey val="0"/>
          <c:showVal val="0"/>
          <c:showCatName val="0"/>
          <c:showSerName val="0"/>
          <c:showPercent val="0"/>
          <c:showBubbleSize val="0"/>
        </c:dLbls>
        <c:axId val="339418008"/>
        <c:axId val="339417224"/>
      </c:scatterChart>
      <c:valAx>
        <c:axId val="339418008"/>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39417224"/>
        <c:crosses val="autoZero"/>
        <c:crossBetween val="midCat"/>
        <c:majorUnit val="7"/>
      </c:valAx>
      <c:valAx>
        <c:axId val="3394172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39418008"/>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CALCIUM</a:t>
            </a:r>
          </a:p>
        </c:rich>
      </c:tx>
      <c:layout>
        <c:manualLayout>
          <c:xMode val="edge"/>
          <c:yMode val="edge"/>
          <c:x val="0.42235876550722024"/>
          <c:y val="2.81277052815350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1.724662485595509E-2"/>
                  <c:y val="0.28607342991779555"/>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2.8989x - 122067</a:t>
                    </a:r>
                    <a:br>
                      <a:rPr lang="en-US" sz="1050" baseline="0">
                        <a:latin typeface="Gill Sans MT" panose="020B0502020104020203" pitchFamily="34" charset="0"/>
                      </a:rPr>
                    </a:br>
                    <a:r>
                      <a:rPr lang="en-US" sz="1050" baseline="0">
                        <a:latin typeface="Gill Sans MT" panose="020B0502020104020203" pitchFamily="34" charset="0"/>
                      </a:rPr>
                      <a:t>R² = 0.96</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3-9'!$B$11:$E$11</c:f>
              <c:numCache>
                <c:formatCode>0</c:formatCode>
                <c:ptCount val="4"/>
                <c:pt idx="0">
                  <c:v>330</c:v>
                </c:pt>
                <c:pt idx="1">
                  <c:v>330</c:v>
                </c:pt>
                <c:pt idx="2" formatCode="General">
                  <c:v>370</c:v>
                </c:pt>
                <c:pt idx="3" formatCode="General">
                  <c:v>460</c:v>
                </c:pt>
              </c:numCache>
            </c:numRef>
          </c:yVal>
          <c:smooth val="0"/>
          <c:extLst>
            <c:ext xmlns:c16="http://schemas.microsoft.com/office/drawing/2014/chart" uri="{C3380CC4-5D6E-409C-BE32-E72D297353CC}">
              <c16:uniqueId val="{00000000-E016-48B2-A08D-A6615E9CCFA7}"/>
            </c:ext>
          </c:extLst>
        </c:ser>
        <c:dLbls>
          <c:showLegendKey val="0"/>
          <c:showVal val="0"/>
          <c:showCatName val="0"/>
          <c:showSerName val="0"/>
          <c:showPercent val="0"/>
          <c:showBubbleSize val="0"/>
        </c:dLbls>
        <c:axId val="779184680"/>
        <c:axId val="779183504"/>
      </c:scatterChart>
      <c:valAx>
        <c:axId val="779184680"/>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79183504"/>
        <c:crosses val="autoZero"/>
        <c:crossBetween val="midCat"/>
        <c:majorUnit val="7"/>
      </c:valAx>
      <c:valAx>
        <c:axId val="779183504"/>
        <c:scaling>
          <c:orientation val="minMax"/>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3.267895928213068E-2"/>
              <c:y val="0.182711168021263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79184680"/>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MAGNESIUM</a:t>
            </a:r>
          </a:p>
        </c:rich>
      </c:tx>
      <c:layout>
        <c:manualLayout>
          <c:xMode val="edge"/>
          <c:yMode val="edge"/>
          <c:x val="0.42235876550722024"/>
          <c:y val="2.81277052815350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1.724662485595509E-2"/>
                  <c:y val="0.28607342991779555"/>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0.0383x - 1587.8</a:t>
                    </a:r>
                    <a:br>
                      <a:rPr lang="en-US" sz="1050" baseline="0">
                        <a:latin typeface="Gill Sans MT" panose="020B0502020104020203" pitchFamily="34" charset="0"/>
                      </a:rPr>
                    </a:br>
                    <a:r>
                      <a:rPr lang="en-US" sz="1050" baseline="0">
                        <a:latin typeface="Gill Sans MT" panose="020B0502020104020203" pitchFamily="34" charset="0"/>
                      </a:rPr>
                      <a:t>R² = 0.21</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3-9'!$B$17:$E$17</c:f>
              <c:numCache>
                <c:formatCode>0</c:formatCode>
                <c:ptCount val="4"/>
                <c:pt idx="0">
                  <c:v>30</c:v>
                </c:pt>
                <c:pt idx="1">
                  <c:v>30</c:v>
                </c:pt>
                <c:pt idx="2" formatCode="General">
                  <c:v>27</c:v>
                </c:pt>
                <c:pt idx="3" formatCode="General">
                  <c:v>31</c:v>
                </c:pt>
              </c:numCache>
            </c:numRef>
          </c:yVal>
          <c:smooth val="0"/>
          <c:extLst>
            <c:ext xmlns:c16="http://schemas.microsoft.com/office/drawing/2014/chart" uri="{C3380CC4-5D6E-409C-BE32-E72D297353CC}">
              <c16:uniqueId val="{00000000-8B1D-4443-8167-CF5551895A1D}"/>
            </c:ext>
          </c:extLst>
        </c:ser>
        <c:dLbls>
          <c:showLegendKey val="0"/>
          <c:showVal val="0"/>
          <c:showCatName val="0"/>
          <c:showSerName val="0"/>
          <c:showPercent val="0"/>
          <c:showBubbleSize val="0"/>
        </c:dLbls>
        <c:axId val="779183112"/>
        <c:axId val="472082200"/>
      </c:scatterChart>
      <c:valAx>
        <c:axId val="779183112"/>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472082200"/>
        <c:crosses val="autoZero"/>
        <c:crossBetween val="midCat"/>
        <c:majorUnit val="7"/>
      </c:valAx>
      <c:valAx>
        <c:axId val="472082200"/>
        <c:scaling>
          <c:orientation val="minMax"/>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3.267895928213068E-2"/>
              <c:y val="0.182711168021263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7918311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POTASIUM</a:t>
            </a:r>
          </a:p>
        </c:rich>
      </c:tx>
      <c:layout>
        <c:manualLayout>
          <c:xMode val="edge"/>
          <c:yMode val="edge"/>
          <c:x val="0.42235876550722024"/>
          <c:y val="2.81277052815350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1.724662485595509E-2"/>
                  <c:y val="0.28607342991779555"/>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0.0067x - 279.87</a:t>
                    </a:r>
                    <a:br>
                      <a:rPr lang="en-US" sz="1050" baseline="0">
                        <a:latin typeface="Gill Sans MT" panose="020B0502020104020203" pitchFamily="34" charset="0"/>
                      </a:rPr>
                    </a:br>
                    <a:r>
                      <a:rPr lang="en-US" sz="1050" baseline="0">
                        <a:latin typeface="Gill Sans MT" panose="020B0502020104020203" pitchFamily="34" charset="0"/>
                      </a:rPr>
                      <a:t>R² = 0.30</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3-9'!$B$22:$E$22</c:f>
              <c:numCache>
                <c:formatCode>0.0</c:formatCode>
                <c:ptCount val="4"/>
                <c:pt idx="0">
                  <c:v>2.8</c:v>
                </c:pt>
                <c:pt idx="2" formatCode="General">
                  <c:v>2.4</c:v>
                </c:pt>
                <c:pt idx="3" formatCode="General">
                  <c:v>3</c:v>
                </c:pt>
              </c:numCache>
            </c:numRef>
          </c:yVal>
          <c:smooth val="0"/>
          <c:extLst>
            <c:ext xmlns:c16="http://schemas.microsoft.com/office/drawing/2014/chart" uri="{C3380CC4-5D6E-409C-BE32-E72D297353CC}">
              <c16:uniqueId val="{00000000-F1EC-4731-BB0A-E41650FF1663}"/>
            </c:ext>
          </c:extLst>
        </c:ser>
        <c:dLbls>
          <c:showLegendKey val="0"/>
          <c:showVal val="0"/>
          <c:showCatName val="0"/>
          <c:showSerName val="0"/>
          <c:showPercent val="0"/>
          <c:showBubbleSize val="0"/>
        </c:dLbls>
        <c:axId val="452745392"/>
        <c:axId val="467792328"/>
      </c:scatterChart>
      <c:valAx>
        <c:axId val="452745392"/>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467792328"/>
        <c:crosses val="autoZero"/>
        <c:crossBetween val="midCat"/>
        <c:majorUnit val="7"/>
      </c:valAx>
      <c:valAx>
        <c:axId val="467792328"/>
        <c:scaling>
          <c:orientation val="minMax"/>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3.267895928213068E-2"/>
              <c:y val="0.182711168021263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45274539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SODIUM</a:t>
            </a:r>
          </a:p>
        </c:rich>
      </c:tx>
      <c:layout>
        <c:manualLayout>
          <c:xMode val="edge"/>
          <c:yMode val="edge"/>
          <c:x val="0.42235876550722024"/>
          <c:y val="2.81277052815350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5.7637933647129096E-2"/>
                  <c:y val="-0.3816646013234018"/>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-1.3407x + 56666</a:t>
                    </a:r>
                    <a:br>
                      <a:rPr lang="en-US" sz="1050" baseline="0">
                        <a:latin typeface="Gill Sans MT" panose="020B0502020104020203" pitchFamily="34" charset="0"/>
                      </a:rPr>
                    </a:br>
                    <a:r>
                      <a:rPr lang="en-US" sz="1050" baseline="0">
                        <a:latin typeface="Gill Sans MT" panose="020B0502020104020203" pitchFamily="34" charset="0"/>
                      </a:rPr>
                      <a:t>R² = 0.41</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3-9'!$B$25:$E$25</c:f>
              <c:numCache>
                <c:formatCode>0</c:formatCode>
                <c:ptCount val="4"/>
                <c:pt idx="0">
                  <c:v>92</c:v>
                </c:pt>
                <c:pt idx="2">
                  <c:v>5.3</c:v>
                </c:pt>
                <c:pt idx="3" formatCode="General">
                  <c:v>4.8</c:v>
                </c:pt>
              </c:numCache>
            </c:numRef>
          </c:yVal>
          <c:smooth val="0"/>
          <c:extLst>
            <c:ext xmlns:c16="http://schemas.microsoft.com/office/drawing/2014/chart" uri="{C3380CC4-5D6E-409C-BE32-E72D297353CC}">
              <c16:uniqueId val="{00000000-AB48-43E0-BB09-604A57874145}"/>
            </c:ext>
          </c:extLst>
        </c:ser>
        <c:dLbls>
          <c:showLegendKey val="0"/>
          <c:showVal val="0"/>
          <c:showCatName val="0"/>
          <c:showSerName val="0"/>
          <c:showPercent val="0"/>
          <c:showBubbleSize val="0"/>
        </c:dLbls>
        <c:axId val="338487688"/>
        <c:axId val="338486512"/>
      </c:scatterChart>
      <c:valAx>
        <c:axId val="338487688"/>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38486512"/>
        <c:crosses val="autoZero"/>
        <c:crossBetween val="midCat"/>
        <c:majorUnit val="7"/>
      </c:valAx>
      <c:valAx>
        <c:axId val="338486512"/>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3.267895928213068E-2"/>
              <c:y val="0.182711168021263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38487688"/>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MOLYBDENUM</a:t>
            </a:r>
          </a:p>
        </c:rich>
      </c:tx>
      <c:layout>
        <c:manualLayout>
          <c:xMode val="edge"/>
          <c:yMode val="edge"/>
          <c:x val="0.38506273368753796"/>
          <c:y val="2.132747061609163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45587145261877"/>
          <c:y val="0.18846942783056364"/>
          <c:w val="0.717555095342753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3-9'!$B$20:$E$20</c:f>
              <c:numCache>
                <c:formatCode>0.000</c:formatCode>
                <c:ptCount val="4"/>
                <c:pt idx="2">
                  <c:v>4.2000000000000006E-3</c:v>
                </c:pt>
                <c:pt idx="3">
                  <c:v>4.7999999999999996E-3</c:v>
                </c:pt>
              </c:numCache>
            </c:numRef>
          </c:yVal>
          <c:smooth val="0"/>
          <c:extLst>
            <c:ext xmlns:c16="http://schemas.microsoft.com/office/drawing/2014/chart" uri="{C3380CC4-5D6E-409C-BE32-E72D297353CC}">
              <c16:uniqueId val="{00000000-EB37-49F3-82F1-3C49B3777713}"/>
            </c:ext>
          </c:extLst>
        </c:ser>
        <c:dLbls>
          <c:showLegendKey val="0"/>
          <c:showVal val="0"/>
          <c:showCatName val="0"/>
          <c:showSerName val="0"/>
          <c:showPercent val="0"/>
          <c:showBubbleSize val="0"/>
        </c:dLbls>
        <c:axId val="736723256"/>
        <c:axId val="736723648"/>
      </c:scatterChart>
      <c:valAx>
        <c:axId val="736723256"/>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36723648"/>
        <c:crosses val="autoZero"/>
        <c:crossBetween val="midCat"/>
        <c:majorUnit val="7"/>
      </c:valAx>
      <c:valAx>
        <c:axId val="736723648"/>
        <c:scaling>
          <c:orientation val="minMax"/>
          <c:min val="4.000000000000001E-3"/>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0" sourceLinked="0"/>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736723256"/>
        <c:crosses val="autoZero"/>
        <c:crossBetween val="midCat"/>
        <c:majorUnit val="2.0000000000000006E-4"/>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200" b="1" i="0" u="none" strike="noStrike" kern="1200" spc="0" baseline="0">
                <a:solidFill>
                  <a:sysClr val="windowText" lastClr="000000"/>
                </a:solidFill>
                <a:latin typeface="+mn-lt"/>
                <a:ea typeface="+mn-ea"/>
                <a:cs typeface="+mn-cs"/>
              </a:defRPr>
            </a:pPr>
            <a:r>
              <a:rPr lang="en-US" sz="1200"/>
              <a:t>Concentration of GKM Effluent </a:t>
            </a:r>
          </a:p>
        </c:rich>
      </c:tx>
      <c:overlay val="0"/>
      <c:spPr>
        <a:noFill/>
        <a:ln>
          <a:noFill/>
        </a:ln>
        <a:effectLst/>
      </c:spPr>
    </c:title>
    <c:autoTitleDeleted val="0"/>
    <c:plotArea>
      <c:layout>
        <c:manualLayout>
          <c:layoutTarget val="inner"/>
          <c:xMode val="edge"/>
          <c:yMode val="edge"/>
          <c:x val="0.11655295767967748"/>
          <c:y val="0.12307888597258676"/>
          <c:w val="0.86098660332083299"/>
          <c:h val="0.64229913969087193"/>
        </c:manualLayout>
      </c:layout>
      <c:barChart>
        <c:barDir val="col"/>
        <c:grouping val="clustered"/>
        <c:varyColors val="0"/>
        <c:ser>
          <c:idx val="0"/>
          <c:order val="0"/>
          <c:tx>
            <c:strRef>
              <c:f>'Worksheet For Effluent Conc'!$E$92</c:f>
              <c:strCache>
                <c:ptCount val="1"/>
              </c:strCache>
            </c:strRef>
          </c:tx>
          <c:spPr>
            <a:solidFill>
              <a:schemeClr val="accent1">
                <a:lumMod val="75000"/>
              </a:schemeClr>
            </a:solidFill>
            <a:ln>
              <a:noFill/>
            </a:ln>
            <a:effectLst/>
          </c:spPr>
          <c:invertIfNegative val="0"/>
          <c:cat>
            <c:numRef>
              <c:f>'Worksheet For Effluent Conc'!$D$93:$D$96</c:f>
              <c:numCache>
                <c:formatCode>General</c:formatCode>
                <c:ptCount val="4"/>
              </c:numCache>
            </c:numRef>
          </c:cat>
          <c:val>
            <c:numRef>
              <c:f>'Worksheet For Effluent Conc'!$E$93:$E$96</c:f>
              <c:numCache>
                <c:formatCode>General</c:formatCode>
                <c:ptCount val="4"/>
              </c:numCache>
            </c:numRef>
          </c:val>
          <c:extLst>
            <c:ext xmlns:c16="http://schemas.microsoft.com/office/drawing/2014/chart" uri="{C3380CC4-5D6E-409C-BE32-E72D297353CC}">
              <c16:uniqueId val="{00000000-B51D-4123-AB04-1F0A01396810}"/>
            </c:ext>
          </c:extLst>
        </c:ser>
        <c:ser>
          <c:idx val="1"/>
          <c:order val="1"/>
          <c:tx>
            <c:strRef>
              <c:f>'Worksheet For Effluent Conc'!$F$92</c:f>
              <c:strCache>
                <c:ptCount val="1"/>
              </c:strCache>
            </c:strRef>
          </c:tx>
          <c:spPr>
            <a:solidFill>
              <a:schemeClr val="accent1">
                <a:lumMod val="60000"/>
                <a:lumOff val="40000"/>
              </a:schemeClr>
            </a:solidFill>
            <a:ln>
              <a:noFill/>
            </a:ln>
            <a:effectLst/>
          </c:spPr>
          <c:invertIfNegative val="0"/>
          <c:cat>
            <c:numRef>
              <c:f>'Worksheet For Effluent Conc'!$D$93:$D$96</c:f>
              <c:numCache>
                <c:formatCode>General</c:formatCode>
                <c:ptCount val="4"/>
              </c:numCache>
            </c:numRef>
          </c:cat>
          <c:val>
            <c:numRef>
              <c:f>'Worksheet For Effluent Conc'!$F$93:$F$96</c:f>
              <c:numCache>
                <c:formatCode>General</c:formatCode>
                <c:ptCount val="4"/>
              </c:numCache>
            </c:numRef>
          </c:val>
          <c:extLst>
            <c:ext xmlns:c16="http://schemas.microsoft.com/office/drawing/2014/chart" uri="{C3380CC4-5D6E-409C-BE32-E72D297353CC}">
              <c16:uniqueId val="{00000001-B51D-4123-AB04-1F0A01396810}"/>
            </c:ext>
          </c:extLst>
        </c:ser>
        <c:ser>
          <c:idx val="2"/>
          <c:order val="2"/>
          <c:tx>
            <c:strRef>
              <c:f>'Worksheet For Effluent Conc'!$G$92</c:f>
              <c:strCache>
                <c:ptCount val="1"/>
              </c:strCache>
            </c:strRef>
          </c:tx>
          <c:spPr>
            <a:solidFill>
              <a:schemeClr val="accent1">
                <a:lumMod val="40000"/>
                <a:lumOff val="60000"/>
              </a:schemeClr>
            </a:solidFill>
            <a:ln>
              <a:noFill/>
            </a:ln>
            <a:effectLst/>
          </c:spPr>
          <c:invertIfNegative val="0"/>
          <c:cat>
            <c:numRef>
              <c:f>'Worksheet For Effluent Conc'!$D$93:$D$96</c:f>
              <c:numCache>
                <c:formatCode>General</c:formatCode>
                <c:ptCount val="4"/>
              </c:numCache>
            </c:numRef>
          </c:cat>
          <c:val>
            <c:numRef>
              <c:f>'Worksheet For Effluent Conc'!$G$93:$G$96</c:f>
              <c:numCache>
                <c:formatCode>General</c:formatCode>
                <c:ptCount val="4"/>
              </c:numCache>
            </c:numRef>
          </c:val>
          <c:extLst>
            <c:ext xmlns:c16="http://schemas.microsoft.com/office/drawing/2014/chart" uri="{C3380CC4-5D6E-409C-BE32-E72D297353CC}">
              <c16:uniqueId val="{00000002-B51D-4123-AB04-1F0A01396810}"/>
            </c:ext>
          </c:extLst>
        </c:ser>
        <c:ser>
          <c:idx val="3"/>
          <c:order val="3"/>
          <c:tx>
            <c:strRef>
              <c:f>'Worksheet For Effluent Conc'!$H$92</c:f>
              <c:strCache>
                <c:ptCount val="1"/>
              </c:strCache>
            </c:strRef>
          </c:tx>
          <c:spPr>
            <a:solidFill>
              <a:srgbClr val="D5782B"/>
            </a:solidFill>
            <a:ln>
              <a:noFill/>
            </a:ln>
            <a:effectLst/>
          </c:spPr>
          <c:invertIfNegative val="0"/>
          <c:cat>
            <c:numRef>
              <c:f>'Worksheet For Effluent Conc'!$D$93:$D$96</c:f>
              <c:numCache>
                <c:formatCode>General</c:formatCode>
                <c:ptCount val="4"/>
              </c:numCache>
            </c:numRef>
          </c:cat>
          <c:val>
            <c:numRef>
              <c:f>'Worksheet For Effluent Conc'!$H$93:$H$96</c:f>
              <c:numCache>
                <c:formatCode>General</c:formatCode>
                <c:ptCount val="4"/>
              </c:numCache>
            </c:numRef>
          </c:val>
          <c:extLst>
            <c:ext xmlns:c16="http://schemas.microsoft.com/office/drawing/2014/chart" uri="{C3380CC4-5D6E-409C-BE32-E72D297353CC}">
              <c16:uniqueId val="{00000003-B51D-4123-AB04-1F0A01396810}"/>
            </c:ext>
          </c:extLst>
        </c:ser>
        <c:ser>
          <c:idx val="4"/>
          <c:order val="4"/>
          <c:tx>
            <c:strRef>
              <c:f>'Worksheet For Effluent Conc'!$I$92</c:f>
              <c:strCache>
                <c:ptCount val="1"/>
              </c:strCache>
            </c:strRef>
          </c:tx>
          <c:spPr>
            <a:solidFill>
              <a:schemeClr val="accent2">
                <a:lumMod val="60000"/>
                <a:lumOff val="40000"/>
              </a:schemeClr>
            </a:solidFill>
            <a:ln>
              <a:noFill/>
            </a:ln>
            <a:effectLst/>
          </c:spPr>
          <c:invertIfNegative val="0"/>
          <c:cat>
            <c:numRef>
              <c:f>'Worksheet For Effluent Conc'!$D$93:$D$96</c:f>
              <c:numCache>
                <c:formatCode>General</c:formatCode>
                <c:ptCount val="4"/>
              </c:numCache>
            </c:numRef>
          </c:cat>
          <c:val>
            <c:numRef>
              <c:f>'Worksheet For Effluent Conc'!$I$93:$I$96</c:f>
              <c:numCache>
                <c:formatCode>General</c:formatCode>
                <c:ptCount val="4"/>
              </c:numCache>
            </c:numRef>
          </c:val>
          <c:extLst>
            <c:ext xmlns:c16="http://schemas.microsoft.com/office/drawing/2014/chart" uri="{C3380CC4-5D6E-409C-BE32-E72D297353CC}">
              <c16:uniqueId val="{00000004-B51D-4123-AB04-1F0A01396810}"/>
            </c:ext>
          </c:extLst>
        </c:ser>
        <c:ser>
          <c:idx val="5"/>
          <c:order val="5"/>
          <c:tx>
            <c:strRef>
              <c:f>'Worksheet For Effluent Conc'!$J$92</c:f>
              <c:strCache>
                <c:ptCount val="1"/>
              </c:strCache>
            </c:strRef>
          </c:tx>
          <c:spPr>
            <a:solidFill>
              <a:schemeClr val="tx1">
                <a:lumMod val="65000"/>
                <a:lumOff val="35000"/>
              </a:schemeClr>
            </a:solidFill>
            <a:ln>
              <a:noFill/>
            </a:ln>
            <a:effectLst/>
          </c:spPr>
          <c:invertIfNegative val="0"/>
          <c:cat>
            <c:numRef>
              <c:f>'Worksheet For Effluent Conc'!$D$93:$D$96</c:f>
              <c:numCache>
                <c:formatCode>General</c:formatCode>
                <c:ptCount val="4"/>
              </c:numCache>
            </c:numRef>
          </c:cat>
          <c:val>
            <c:numRef>
              <c:f>'Worksheet For Effluent Conc'!$J$93:$J$96</c:f>
              <c:numCache>
                <c:formatCode>General</c:formatCode>
                <c:ptCount val="4"/>
              </c:numCache>
            </c:numRef>
          </c:val>
          <c:extLst>
            <c:ext xmlns:c16="http://schemas.microsoft.com/office/drawing/2014/chart" uri="{C3380CC4-5D6E-409C-BE32-E72D297353CC}">
              <c16:uniqueId val="{00000005-B51D-4123-AB04-1F0A01396810}"/>
            </c:ext>
          </c:extLst>
        </c:ser>
        <c:dLbls>
          <c:showLegendKey val="0"/>
          <c:showVal val="0"/>
          <c:showCatName val="0"/>
          <c:showSerName val="0"/>
          <c:showPercent val="0"/>
          <c:showBubbleSize val="0"/>
        </c:dLbls>
        <c:gapWidth val="219"/>
        <c:overlap val="-27"/>
        <c:axId val="398277856"/>
        <c:axId val="398277464"/>
        <c:extLst/>
      </c:barChart>
      <c:catAx>
        <c:axId val="3982778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77464"/>
        <c:crosses val="autoZero"/>
        <c:auto val="1"/>
        <c:lblAlgn val="ctr"/>
        <c:lblOffset val="100"/>
        <c:noMultiLvlLbl val="0"/>
      </c:catAx>
      <c:valAx>
        <c:axId val="3982774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Concentration (mg/L)</a:t>
                </a:r>
              </a:p>
            </c:rich>
          </c:tx>
          <c:layout>
            <c:manualLayout>
              <c:xMode val="edge"/>
              <c:yMode val="edge"/>
              <c:x val="8.9536281165466872E-3"/>
              <c:y val="0.16309674832312629"/>
            </c:manualLayout>
          </c:layout>
          <c:overlay val="0"/>
          <c:spPr>
            <a:noFill/>
            <a:ln>
              <a:noFill/>
            </a:ln>
            <a:effectLst/>
          </c:spPr>
        </c:title>
        <c:numFmt formatCode="General" sourceLinked="1"/>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77856"/>
        <c:crosses val="autoZero"/>
        <c:crossBetween val="between"/>
        <c:minorUnit val="1.0000000000000002E-2"/>
      </c:valAx>
    </c:plotArea>
    <c:legend>
      <c:legendPos val="b"/>
      <c:layout>
        <c:manualLayout>
          <c:xMode val="edge"/>
          <c:yMode val="edge"/>
          <c:x val="0.1570958990003738"/>
          <c:y val="0.89441637503645377"/>
          <c:w val="0.69879618634786322"/>
          <c:h val="8.266101722654416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SELENIUM</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1.7126807682864404E-3"/>
                  <c:y val="0.35159347853676709"/>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0.0002x - 7.6491</a:t>
                    </a:r>
                    <a:br>
                      <a:rPr lang="en-US" sz="1050" baseline="0">
                        <a:latin typeface="Gill Sans MT" panose="020B0502020104020203" pitchFamily="34" charset="0"/>
                      </a:rPr>
                    </a:br>
                    <a:r>
                      <a:rPr lang="en-US" sz="1050" baseline="0">
                        <a:latin typeface="Gill Sans MT" panose="020B0502020104020203" pitchFamily="34" charset="0"/>
                      </a:rPr>
                      <a:t>R² = 0.92</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3-9'!$B$23:$E$23</c:f>
              <c:numCache>
                <c:formatCode>0.000</c:formatCode>
                <c:ptCount val="4"/>
                <c:pt idx="0">
                  <c:v>2E-3</c:v>
                </c:pt>
                <c:pt idx="1">
                  <c:v>1.1999999999999999E-3</c:v>
                </c:pt>
                <c:pt idx="2">
                  <c:v>4.7000000000000002E-3</c:v>
                </c:pt>
                <c:pt idx="3">
                  <c:v>9.9000000000000008E-3</c:v>
                </c:pt>
              </c:numCache>
            </c:numRef>
          </c:yVal>
          <c:smooth val="0"/>
          <c:extLst>
            <c:ext xmlns:c16="http://schemas.microsoft.com/office/drawing/2014/chart" uri="{C3380CC4-5D6E-409C-BE32-E72D297353CC}">
              <c16:uniqueId val="{00000000-FA5D-421B-BE17-72AD7D03264C}"/>
            </c:ext>
          </c:extLst>
        </c:ser>
        <c:dLbls>
          <c:showLegendKey val="0"/>
          <c:showVal val="0"/>
          <c:showCatName val="0"/>
          <c:showSerName val="0"/>
          <c:showPercent val="0"/>
          <c:showBubbleSize val="0"/>
        </c:dLbls>
        <c:axId val="806297856"/>
        <c:axId val="806299032"/>
      </c:scatterChart>
      <c:valAx>
        <c:axId val="806297856"/>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06299032"/>
        <c:crosses val="autoZero"/>
        <c:crossBetween val="midCat"/>
        <c:majorUnit val="7"/>
      </c:valAx>
      <c:valAx>
        <c:axId val="806299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06297856"/>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ZINC</a:t>
            </a:r>
          </a:p>
        </c:rich>
      </c:tx>
      <c:layout>
        <c:manualLayout>
          <c:xMode val="edge"/>
          <c:yMode val="edge"/>
          <c:x val="0.46711400369083877"/>
          <c:y val="2.81277052815350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1.724662485595509E-2"/>
                  <c:y val="0.28607342991779555"/>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-0.0089x + 401.23</a:t>
                    </a:r>
                    <a:br>
                      <a:rPr lang="en-US" sz="1050" baseline="0">
                        <a:latin typeface="Gill Sans MT" panose="020B0502020104020203" pitchFamily="34" charset="0"/>
                      </a:rPr>
                    </a:br>
                    <a:r>
                      <a:rPr lang="en-US" sz="1050" baseline="0">
                        <a:latin typeface="Gill Sans MT" panose="020B0502020104020203" pitchFamily="34" charset="0"/>
                      </a:rPr>
                      <a:t>R² = 0.00</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3-9'!$B$28:$E$28</c:f>
              <c:numCache>
                <c:formatCode>0</c:formatCode>
                <c:ptCount val="4"/>
                <c:pt idx="0">
                  <c:v>28</c:v>
                </c:pt>
                <c:pt idx="1">
                  <c:v>28</c:v>
                </c:pt>
                <c:pt idx="2" formatCode="General">
                  <c:v>20</c:v>
                </c:pt>
                <c:pt idx="3" formatCode="General">
                  <c:v>26</c:v>
                </c:pt>
              </c:numCache>
            </c:numRef>
          </c:yVal>
          <c:smooth val="0"/>
          <c:extLst>
            <c:ext xmlns:c16="http://schemas.microsoft.com/office/drawing/2014/chart" uri="{C3380CC4-5D6E-409C-BE32-E72D297353CC}">
              <c16:uniqueId val="{00000000-FB19-4A25-96D1-1FA92B24F0BE}"/>
            </c:ext>
          </c:extLst>
        </c:ser>
        <c:dLbls>
          <c:showLegendKey val="0"/>
          <c:showVal val="0"/>
          <c:showCatName val="0"/>
          <c:showSerName val="0"/>
          <c:showPercent val="0"/>
          <c:showBubbleSize val="0"/>
        </c:dLbls>
        <c:axId val="485615224"/>
        <c:axId val="485616008"/>
      </c:scatterChart>
      <c:valAx>
        <c:axId val="485615224"/>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485616008"/>
        <c:crosses val="autoZero"/>
        <c:crossBetween val="midCat"/>
        <c:majorUnit val="7"/>
      </c:valAx>
      <c:valAx>
        <c:axId val="485616008"/>
        <c:scaling>
          <c:orientation val="minMax"/>
          <c:min val="1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3.267895928213068E-2"/>
              <c:y val="0.182711168021263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485615224"/>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THALLIUM</a:t>
            </a:r>
          </a:p>
        </c:rich>
      </c:tx>
      <c:layout>
        <c:manualLayout>
          <c:xMode val="edge"/>
          <c:yMode val="edge"/>
          <c:x val="0.38506273368753796"/>
          <c:y val="2.132747061609163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945587145261877"/>
          <c:y val="0.18846942783056364"/>
          <c:w val="0.717555095342753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3-9'!$B$26:$E$26</c:f>
              <c:numCache>
                <c:formatCode>0.0000</c:formatCode>
                <c:ptCount val="4"/>
                <c:pt idx="2">
                  <c:v>2.9E-4</c:v>
                </c:pt>
                <c:pt idx="3">
                  <c:v>0.06</c:v>
                </c:pt>
              </c:numCache>
            </c:numRef>
          </c:yVal>
          <c:smooth val="0"/>
          <c:extLst>
            <c:ext xmlns:c16="http://schemas.microsoft.com/office/drawing/2014/chart" uri="{C3380CC4-5D6E-409C-BE32-E72D297353CC}">
              <c16:uniqueId val="{00000000-1843-41ED-960D-80324E2679C4}"/>
            </c:ext>
          </c:extLst>
        </c:ser>
        <c:dLbls>
          <c:showLegendKey val="0"/>
          <c:showVal val="0"/>
          <c:showCatName val="0"/>
          <c:showSerName val="0"/>
          <c:showPercent val="0"/>
          <c:showBubbleSize val="0"/>
        </c:dLbls>
        <c:axId val="468980240"/>
        <c:axId val="468979848"/>
      </c:scatterChart>
      <c:valAx>
        <c:axId val="468980240"/>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468979848"/>
        <c:crosses val="autoZero"/>
        <c:crossBetween val="midCat"/>
        <c:majorUnit val="7"/>
      </c:valAx>
      <c:valAx>
        <c:axId val="468979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 sourceLinked="0"/>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468980240"/>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VANADIUM</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3-9'!$B$27:$E$27</c:f>
              <c:numCache>
                <c:formatCode>0.000</c:formatCode>
                <c:ptCount val="4"/>
                <c:pt idx="2" formatCode="General">
                  <c:v>3.7999999999999999E-2</c:v>
                </c:pt>
                <c:pt idx="3" formatCode="General">
                  <c:v>3.3000000000000002E-2</c:v>
                </c:pt>
              </c:numCache>
            </c:numRef>
          </c:yVal>
          <c:smooth val="0"/>
          <c:extLst>
            <c:ext xmlns:c16="http://schemas.microsoft.com/office/drawing/2014/chart" uri="{C3380CC4-5D6E-409C-BE32-E72D297353CC}">
              <c16:uniqueId val="{00000000-6388-4331-B2F6-496A8F636549}"/>
            </c:ext>
          </c:extLst>
        </c:ser>
        <c:dLbls>
          <c:showLegendKey val="0"/>
          <c:showVal val="0"/>
          <c:showCatName val="0"/>
          <c:showSerName val="0"/>
          <c:showPercent val="0"/>
          <c:showBubbleSize val="0"/>
        </c:dLbls>
        <c:axId val="818451768"/>
        <c:axId val="818450592"/>
      </c:scatterChart>
      <c:valAx>
        <c:axId val="818451768"/>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18450592"/>
        <c:crosses val="autoZero"/>
        <c:crossBetween val="midCat"/>
        <c:majorUnit val="7"/>
      </c:valAx>
      <c:valAx>
        <c:axId val="818450592"/>
        <c:scaling>
          <c:orientation val="minMax"/>
          <c:max val="4.0000000000000008E-2"/>
          <c:min val="1.0000000000000002E-2"/>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64E-3"/>
              <c:y val="0.1938325313297639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18451768"/>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BARIUM</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1.7198038924379735E-2"/>
                  <c:y val="-0.42097663049478473"/>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-0.0004x + 14.95</a:t>
                    </a:r>
                    <a:br>
                      <a:rPr lang="en-US" sz="1050" baseline="0">
                        <a:latin typeface="Gill Sans MT" panose="020B0502020104020203" pitchFamily="34" charset="0"/>
                      </a:rPr>
                    </a:br>
                    <a:r>
                      <a:rPr lang="en-US" sz="1050" baseline="0">
                        <a:latin typeface="Gill Sans MT" panose="020B0502020104020203" pitchFamily="34" charset="0"/>
                      </a:rPr>
                      <a:t>R² = 0.75</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3-9'!$B$8:$E$8</c:f>
              <c:numCache>
                <c:formatCode>0.000</c:formatCode>
                <c:ptCount val="4"/>
                <c:pt idx="0">
                  <c:v>2.1000000000000001E-2</c:v>
                </c:pt>
                <c:pt idx="2">
                  <c:v>8.6E-3</c:v>
                </c:pt>
                <c:pt idx="3">
                  <c:v>1.6999999999999999E-3</c:v>
                </c:pt>
              </c:numCache>
            </c:numRef>
          </c:yVal>
          <c:smooth val="0"/>
          <c:extLst>
            <c:ext xmlns:c16="http://schemas.microsoft.com/office/drawing/2014/chart" uri="{C3380CC4-5D6E-409C-BE32-E72D297353CC}">
              <c16:uniqueId val="{00000000-E287-4254-957B-AD3C29AD0D93}"/>
            </c:ext>
          </c:extLst>
        </c:ser>
        <c:dLbls>
          <c:showLegendKey val="0"/>
          <c:showVal val="0"/>
          <c:showCatName val="0"/>
          <c:showSerName val="0"/>
          <c:showPercent val="0"/>
          <c:showBubbleSize val="0"/>
        </c:dLbls>
        <c:axId val="818450200"/>
        <c:axId val="468170352"/>
      </c:scatterChart>
      <c:valAx>
        <c:axId val="818450200"/>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468170352"/>
        <c:crosses val="autoZero"/>
        <c:crossBetween val="midCat"/>
        <c:majorUnit val="7"/>
      </c:valAx>
      <c:valAx>
        <c:axId val="46817035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818450200"/>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Gill Sans MT" panose="020B0502020104020203" pitchFamily="34" charset="0"/>
                <a:ea typeface="+mn-ea"/>
                <a:cs typeface="+mn-cs"/>
              </a:defRPr>
            </a:pPr>
            <a:r>
              <a:rPr lang="en-US" sz="1100"/>
              <a:t>Total Metals in GKM Mine Pool Post-Release</a:t>
            </a:r>
          </a:p>
        </c:rich>
      </c:tx>
      <c:layout>
        <c:manualLayout>
          <c:xMode val="edge"/>
          <c:yMode val="edge"/>
          <c:x val="0.16138335229116307"/>
          <c:y val="1.5211126718359957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357678268210408"/>
          <c:y val="9.1326553165814506E-2"/>
          <c:w val="0.57532577168419208"/>
          <c:h val="0.65787188624975124"/>
        </c:manualLayout>
      </c:layout>
      <c:scatterChart>
        <c:scatterStyle val="lineMarker"/>
        <c:varyColors val="0"/>
        <c:ser>
          <c:idx val="0"/>
          <c:order val="0"/>
          <c:tx>
            <c:strRef>
              <c:f>'Effluent Conc Fig 3-9'!$A$18</c:f>
              <c:strCache>
                <c:ptCount val="1"/>
                <c:pt idx="0">
                  <c:v>Manganese</c:v>
                </c:pt>
              </c:strCache>
            </c:strRef>
          </c:tx>
          <c:spPr>
            <a:ln w="34925" cap="rnd">
              <a:solidFill>
                <a:schemeClr val="accent1"/>
              </a:solidFill>
              <a:prstDash val="sysDot"/>
              <a:round/>
            </a:ln>
            <a:effectLst/>
          </c:spPr>
          <c:marker>
            <c:symbol val="circle"/>
            <c:size val="5"/>
            <c:spPr>
              <a:solidFill>
                <a:schemeClr val="accent1"/>
              </a:solidFill>
              <a:ln w="9525">
                <a:solidFill>
                  <a:schemeClr val="accent1"/>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3-9'!$B$18:$E$18</c:f>
              <c:numCache>
                <c:formatCode>0</c:formatCode>
                <c:ptCount val="4"/>
                <c:pt idx="0">
                  <c:v>34</c:v>
                </c:pt>
                <c:pt idx="1">
                  <c:v>33</c:v>
                </c:pt>
                <c:pt idx="2" formatCode="General">
                  <c:v>36</c:v>
                </c:pt>
                <c:pt idx="3" formatCode="General">
                  <c:v>42</c:v>
                </c:pt>
              </c:numCache>
            </c:numRef>
          </c:yVal>
          <c:smooth val="0"/>
          <c:extLst>
            <c:ext xmlns:c16="http://schemas.microsoft.com/office/drawing/2014/chart" uri="{C3380CC4-5D6E-409C-BE32-E72D297353CC}">
              <c16:uniqueId val="{00000000-763D-4201-99C6-1A10A575A6E8}"/>
            </c:ext>
          </c:extLst>
        </c:ser>
        <c:ser>
          <c:idx val="1"/>
          <c:order val="1"/>
          <c:tx>
            <c:strRef>
              <c:f>'Effluent Conc Fig 3-9'!$A$5</c:f>
              <c:strCache>
                <c:ptCount val="1"/>
                <c:pt idx="0">
                  <c:v>Aluminum</c:v>
                </c:pt>
              </c:strCache>
            </c:strRef>
          </c:tx>
          <c:spPr>
            <a:ln w="34925" cap="rnd">
              <a:solidFill>
                <a:schemeClr val="tx2">
                  <a:lumMod val="60000"/>
                  <a:lumOff val="40000"/>
                </a:schemeClr>
              </a:solidFill>
              <a:prstDash val="sysDot"/>
              <a:round/>
            </a:ln>
            <a:effectLst/>
          </c:spPr>
          <c:marker>
            <c:symbol val="square"/>
            <c:size val="6"/>
            <c:spPr>
              <a:solidFill>
                <a:schemeClr val="accent2"/>
              </a:solidFill>
              <a:ln w="9525">
                <a:solidFill>
                  <a:schemeClr val="accent2"/>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3-9'!$B$5:$E$5</c:f>
              <c:numCache>
                <c:formatCode>0</c:formatCode>
                <c:ptCount val="4"/>
                <c:pt idx="0">
                  <c:v>32</c:v>
                </c:pt>
                <c:pt idx="1">
                  <c:v>31</c:v>
                </c:pt>
                <c:pt idx="2" formatCode="General">
                  <c:v>34</c:v>
                </c:pt>
                <c:pt idx="3" formatCode="General">
                  <c:v>32</c:v>
                </c:pt>
              </c:numCache>
            </c:numRef>
          </c:yVal>
          <c:smooth val="0"/>
          <c:extLst>
            <c:ext xmlns:c16="http://schemas.microsoft.com/office/drawing/2014/chart" uri="{C3380CC4-5D6E-409C-BE32-E72D297353CC}">
              <c16:uniqueId val="{00000001-763D-4201-99C6-1A10A575A6E8}"/>
            </c:ext>
          </c:extLst>
        </c:ser>
        <c:ser>
          <c:idx val="2"/>
          <c:order val="2"/>
          <c:tx>
            <c:strRef>
              <c:f>'Effluent Conc Fig 3-9'!$A$28</c:f>
              <c:strCache>
                <c:ptCount val="1"/>
                <c:pt idx="0">
                  <c:v>Zinc</c:v>
                </c:pt>
              </c:strCache>
            </c:strRef>
          </c:tx>
          <c:spPr>
            <a:ln w="25400" cap="rnd">
              <a:solidFill>
                <a:schemeClr val="bg2">
                  <a:lumMod val="75000"/>
                </a:schemeClr>
              </a:solidFill>
              <a:prstDash val="solid"/>
              <a:round/>
            </a:ln>
            <a:effectLst/>
          </c:spPr>
          <c:marker>
            <c:symbol val="circle"/>
            <c:size val="5"/>
            <c:spPr>
              <a:solidFill>
                <a:schemeClr val="accent3"/>
              </a:solidFill>
              <a:ln w="9525">
                <a:solidFill>
                  <a:schemeClr val="accent3"/>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3-9'!$B$28:$E$28</c:f>
              <c:numCache>
                <c:formatCode>0</c:formatCode>
                <c:ptCount val="4"/>
                <c:pt idx="0">
                  <c:v>28</c:v>
                </c:pt>
                <c:pt idx="1">
                  <c:v>28</c:v>
                </c:pt>
                <c:pt idx="2" formatCode="General">
                  <c:v>20</c:v>
                </c:pt>
                <c:pt idx="3" formatCode="General">
                  <c:v>26</c:v>
                </c:pt>
              </c:numCache>
            </c:numRef>
          </c:yVal>
          <c:smooth val="0"/>
          <c:extLst>
            <c:ext xmlns:c16="http://schemas.microsoft.com/office/drawing/2014/chart" uri="{C3380CC4-5D6E-409C-BE32-E72D297353CC}">
              <c16:uniqueId val="{00000002-763D-4201-99C6-1A10A575A6E8}"/>
            </c:ext>
          </c:extLst>
        </c:ser>
        <c:ser>
          <c:idx val="3"/>
          <c:order val="3"/>
          <c:tx>
            <c:strRef>
              <c:f>'Effluent Conc Fig 3-9'!$A$14</c:f>
              <c:strCache>
                <c:ptCount val="1"/>
                <c:pt idx="0">
                  <c:v>Copper</c:v>
                </c:pt>
              </c:strCache>
            </c:strRef>
          </c:tx>
          <c:spPr>
            <a:ln w="25400" cap="rnd">
              <a:solidFill>
                <a:schemeClr val="accent2">
                  <a:lumMod val="75000"/>
                </a:schemeClr>
              </a:solidFill>
              <a:prstDash val="solid"/>
              <a:round/>
            </a:ln>
            <a:effectLst/>
          </c:spPr>
          <c:marker>
            <c:symbol val="circle"/>
            <c:size val="5"/>
            <c:spPr>
              <a:solidFill>
                <a:schemeClr val="accent4"/>
              </a:solidFill>
              <a:ln w="9525">
                <a:solidFill>
                  <a:schemeClr val="accent4"/>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3-9'!$B$14:$E$14</c:f>
              <c:numCache>
                <c:formatCode>0.0</c:formatCode>
                <c:ptCount val="4"/>
                <c:pt idx="0">
                  <c:v>6</c:v>
                </c:pt>
                <c:pt idx="1">
                  <c:v>7.2</c:v>
                </c:pt>
                <c:pt idx="2" formatCode="General">
                  <c:v>4.5999999999999996</c:v>
                </c:pt>
                <c:pt idx="3" formatCode="General">
                  <c:v>7.8</c:v>
                </c:pt>
              </c:numCache>
            </c:numRef>
          </c:yVal>
          <c:smooth val="0"/>
          <c:extLst>
            <c:ext xmlns:c16="http://schemas.microsoft.com/office/drawing/2014/chart" uri="{C3380CC4-5D6E-409C-BE32-E72D297353CC}">
              <c16:uniqueId val="{00000003-763D-4201-99C6-1A10A575A6E8}"/>
            </c:ext>
          </c:extLst>
        </c:ser>
        <c:ser>
          <c:idx val="4"/>
          <c:order val="4"/>
          <c:tx>
            <c:strRef>
              <c:f>'Effluent Conc Fig 3-9'!$A$13</c:f>
              <c:strCache>
                <c:ptCount val="1"/>
                <c:pt idx="0">
                  <c:v>Cobalt</c:v>
                </c:pt>
              </c:strCache>
            </c:strRef>
          </c:tx>
          <c:spPr>
            <a:ln w="28575" cap="rnd">
              <a:solidFill>
                <a:schemeClr val="accent5"/>
              </a:solidFill>
              <a:prstDash val="sysDot"/>
              <a:round/>
            </a:ln>
            <a:effectLst/>
          </c:spPr>
          <c:marker>
            <c:symbol val="circle"/>
            <c:size val="5"/>
            <c:spPr>
              <a:solidFill>
                <a:schemeClr val="accent5"/>
              </a:solidFill>
              <a:ln w="9525">
                <a:solidFill>
                  <a:schemeClr val="accent5"/>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3-9'!$B$13:$E$13</c:f>
              <c:numCache>
                <c:formatCode>0.00</c:formatCode>
                <c:ptCount val="4"/>
                <c:pt idx="0">
                  <c:v>0.13</c:v>
                </c:pt>
                <c:pt idx="1">
                  <c:v>0.12</c:v>
                </c:pt>
                <c:pt idx="2" formatCode="General">
                  <c:v>0.11</c:v>
                </c:pt>
                <c:pt idx="3">
                  <c:v>0.12</c:v>
                </c:pt>
              </c:numCache>
            </c:numRef>
          </c:yVal>
          <c:smooth val="0"/>
          <c:extLst>
            <c:ext xmlns:c16="http://schemas.microsoft.com/office/drawing/2014/chart" uri="{C3380CC4-5D6E-409C-BE32-E72D297353CC}">
              <c16:uniqueId val="{00000004-763D-4201-99C6-1A10A575A6E8}"/>
            </c:ext>
          </c:extLst>
        </c:ser>
        <c:ser>
          <c:idx val="5"/>
          <c:order val="5"/>
          <c:tx>
            <c:strRef>
              <c:f>'Effluent Conc Fig 3-9'!$A$10</c:f>
              <c:strCache>
                <c:ptCount val="1"/>
                <c:pt idx="0">
                  <c:v>Cadmium</c:v>
                </c:pt>
              </c:strCache>
            </c:strRef>
          </c:tx>
          <c:spPr>
            <a:ln w="25400" cap="rnd">
              <a:solidFill>
                <a:schemeClr val="accent6">
                  <a:lumMod val="60000"/>
                  <a:lumOff val="40000"/>
                </a:schemeClr>
              </a:solidFill>
              <a:round/>
            </a:ln>
            <a:effectLst/>
          </c:spPr>
          <c:marker>
            <c:symbol val="circle"/>
            <c:size val="5"/>
            <c:spPr>
              <a:solidFill>
                <a:schemeClr val="accent6"/>
              </a:solidFill>
              <a:ln w="9525">
                <a:solidFill>
                  <a:schemeClr val="accent6"/>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3-9'!$B$10:$E$10</c:f>
              <c:numCache>
                <c:formatCode>0.000</c:formatCode>
                <c:ptCount val="4"/>
                <c:pt idx="0">
                  <c:v>0.1</c:v>
                </c:pt>
                <c:pt idx="1">
                  <c:v>8.4000000000000005E-2</c:v>
                </c:pt>
                <c:pt idx="2">
                  <c:v>8.2000000000000003E-2</c:v>
                </c:pt>
                <c:pt idx="3" formatCode="0.00">
                  <c:v>8.4000000000000005E-2</c:v>
                </c:pt>
              </c:numCache>
            </c:numRef>
          </c:yVal>
          <c:smooth val="0"/>
          <c:extLst>
            <c:ext xmlns:c16="http://schemas.microsoft.com/office/drawing/2014/chart" uri="{C3380CC4-5D6E-409C-BE32-E72D297353CC}">
              <c16:uniqueId val="{00000005-763D-4201-99C6-1A10A575A6E8}"/>
            </c:ext>
          </c:extLst>
        </c:ser>
        <c:ser>
          <c:idx val="6"/>
          <c:order val="6"/>
          <c:tx>
            <c:strRef>
              <c:f>'Effluent Conc Fig 3-9'!$A$16</c:f>
              <c:strCache>
                <c:ptCount val="1"/>
                <c:pt idx="0">
                  <c:v>Lead</c:v>
                </c:pt>
              </c:strCache>
            </c:strRef>
          </c:tx>
          <c:spPr>
            <a:ln w="25400" cap="rnd">
              <a:solidFill>
                <a:schemeClr val="accent1">
                  <a:lumMod val="60000"/>
                </a:schemeClr>
              </a:solidFill>
              <a:prstDash val="solid"/>
              <a:round/>
            </a:ln>
            <a:effectLst/>
          </c:spPr>
          <c:marker>
            <c:symbol val="circle"/>
            <c:size val="5"/>
            <c:spPr>
              <a:solidFill>
                <a:schemeClr val="accent1">
                  <a:lumMod val="60000"/>
                </a:schemeClr>
              </a:solidFill>
              <a:ln w="9525">
                <a:solidFill>
                  <a:schemeClr val="accent1">
                    <a:lumMod val="60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3-9'!$B$16:$E$16</c:f>
              <c:numCache>
                <c:formatCode>0.000</c:formatCode>
                <c:ptCount val="4"/>
                <c:pt idx="0">
                  <c:v>0.16</c:v>
                </c:pt>
                <c:pt idx="1">
                  <c:v>4.8000000000000001E-2</c:v>
                </c:pt>
                <c:pt idx="2" formatCode="General">
                  <c:v>4.2000000000000003E-2</c:v>
                </c:pt>
                <c:pt idx="3" formatCode="General">
                  <c:v>4.2000000000000003E-2</c:v>
                </c:pt>
              </c:numCache>
            </c:numRef>
          </c:yVal>
          <c:smooth val="0"/>
          <c:extLst>
            <c:ext xmlns:c16="http://schemas.microsoft.com/office/drawing/2014/chart" uri="{C3380CC4-5D6E-409C-BE32-E72D297353CC}">
              <c16:uniqueId val="{00000006-763D-4201-99C6-1A10A575A6E8}"/>
            </c:ext>
          </c:extLst>
        </c:ser>
        <c:ser>
          <c:idx val="7"/>
          <c:order val="7"/>
          <c:tx>
            <c:strRef>
              <c:f>'Effluent Conc Fig 3-9'!$A$7</c:f>
              <c:strCache>
                <c:ptCount val="1"/>
                <c:pt idx="0">
                  <c:v>Arsenic</c:v>
                </c:pt>
              </c:strCache>
            </c:strRef>
          </c:tx>
          <c:spPr>
            <a:ln w="25400" cap="rnd">
              <a:solidFill>
                <a:srgbClr val="CC00CC"/>
              </a:solidFill>
              <a:round/>
            </a:ln>
            <a:effectLst/>
          </c:spPr>
          <c:marker>
            <c:symbol val="circle"/>
            <c:size val="5"/>
            <c:spPr>
              <a:solidFill>
                <a:schemeClr val="accent2">
                  <a:lumMod val="60000"/>
                </a:schemeClr>
              </a:solidFill>
              <a:ln w="9525">
                <a:solidFill>
                  <a:schemeClr val="accent2">
                    <a:lumMod val="60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3-9'!$B$7:$E$7</c:f>
              <c:numCache>
                <c:formatCode>0.000</c:formatCode>
                <c:ptCount val="4"/>
                <c:pt idx="0">
                  <c:v>8.5999999999999993E-2</c:v>
                </c:pt>
                <c:pt idx="1">
                  <c:v>6.7000000000000004E-2</c:v>
                </c:pt>
                <c:pt idx="2" formatCode="General">
                  <c:v>0.06</c:v>
                </c:pt>
                <c:pt idx="3" formatCode="General">
                  <c:v>4.3999999999999997E-2</c:v>
                </c:pt>
              </c:numCache>
            </c:numRef>
          </c:yVal>
          <c:smooth val="0"/>
          <c:extLst>
            <c:ext xmlns:c16="http://schemas.microsoft.com/office/drawing/2014/chart" uri="{C3380CC4-5D6E-409C-BE32-E72D297353CC}">
              <c16:uniqueId val="{00000007-763D-4201-99C6-1A10A575A6E8}"/>
            </c:ext>
          </c:extLst>
        </c:ser>
        <c:ser>
          <c:idx val="8"/>
          <c:order val="8"/>
          <c:tx>
            <c:strRef>
              <c:f>'Effluent Conc Fig 3-9'!$A$21</c:f>
              <c:strCache>
                <c:ptCount val="1"/>
                <c:pt idx="0">
                  <c:v>Nickel</c:v>
                </c:pt>
              </c:strCache>
            </c:strRef>
          </c:tx>
          <c:spPr>
            <a:ln w="25400" cap="rnd">
              <a:solidFill>
                <a:schemeClr val="accent1">
                  <a:lumMod val="75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3-9'!$B$21:$E$21</c:f>
              <c:numCache>
                <c:formatCode>0.000</c:formatCode>
                <c:ptCount val="4"/>
                <c:pt idx="0">
                  <c:v>7.0000000000000007E-2</c:v>
                </c:pt>
                <c:pt idx="1">
                  <c:v>6.6000000000000003E-2</c:v>
                </c:pt>
                <c:pt idx="2">
                  <c:v>6.9000000000000006E-2</c:v>
                </c:pt>
                <c:pt idx="3">
                  <c:v>6.4000000000000001E-2</c:v>
                </c:pt>
              </c:numCache>
            </c:numRef>
          </c:yVal>
          <c:smooth val="0"/>
          <c:extLst>
            <c:ext xmlns:c16="http://schemas.microsoft.com/office/drawing/2014/chart" uri="{C3380CC4-5D6E-409C-BE32-E72D297353CC}">
              <c16:uniqueId val="{00000008-763D-4201-99C6-1A10A575A6E8}"/>
            </c:ext>
          </c:extLst>
        </c:ser>
        <c:ser>
          <c:idx val="9"/>
          <c:order val="9"/>
          <c:tx>
            <c:strRef>
              <c:f>'Effluent Conc Fig 3-9'!$A$23</c:f>
              <c:strCache>
                <c:ptCount val="1"/>
                <c:pt idx="0">
                  <c:v>Selenium</c:v>
                </c:pt>
              </c:strCache>
            </c:strRef>
          </c:tx>
          <c:spPr>
            <a:ln w="28575" cap="rnd">
              <a:solidFill>
                <a:schemeClr val="accent4">
                  <a:lumMod val="60000"/>
                </a:schemeClr>
              </a:solidFill>
              <a:prstDash val="sysDot"/>
              <a:round/>
            </a:ln>
            <a:effectLst/>
          </c:spPr>
          <c:marker>
            <c:symbol val="circle"/>
            <c:size val="5"/>
            <c:spPr>
              <a:solidFill>
                <a:schemeClr val="accent4">
                  <a:lumMod val="60000"/>
                </a:schemeClr>
              </a:solidFill>
              <a:ln w="9525">
                <a:solidFill>
                  <a:schemeClr val="accent4">
                    <a:lumMod val="60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3-9'!$B$23:$E$23</c:f>
              <c:numCache>
                <c:formatCode>0.000</c:formatCode>
                <c:ptCount val="4"/>
                <c:pt idx="0">
                  <c:v>2E-3</c:v>
                </c:pt>
                <c:pt idx="1">
                  <c:v>1.1999999999999999E-3</c:v>
                </c:pt>
                <c:pt idx="2">
                  <c:v>4.7000000000000002E-3</c:v>
                </c:pt>
                <c:pt idx="3">
                  <c:v>9.9000000000000008E-3</c:v>
                </c:pt>
              </c:numCache>
            </c:numRef>
          </c:yVal>
          <c:smooth val="0"/>
          <c:extLst>
            <c:ext xmlns:c16="http://schemas.microsoft.com/office/drawing/2014/chart" uri="{C3380CC4-5D6E-409C-BE32-E72D297353CC}">
              <c16:uniqueId val="{00000009-763D-4201-99C6-1A10A575A6E8}"/>
            </c:ext>
          </c:extLst>
        </c:ser>
        <c:ser>
          <c:idx val="10"/>
          <c:order val="10"/>
          <c:tx>
            <c:strRef>
              <c:f>'Effluent Conc Fig 3-9'!$A$8</c:f>
              <c:strCache>
                <c:ptCount val="1"/>
                <c:pt idx="0">
                  <c:v>Barium</c:v>
                </c:pt>
              </c:strCache>
            </c:strRef>
          </c:tx>
          <c:spPr>
            <a:ln w="28575" cap="rnd">
              <a:solidFill>
                <a:schemeClr val="accent5">
                  <a:lumMod val="60000"/>
                  <a:lumOff val="40000"/>
                </a:schemeClr>
              </a:solidFill>
              <a:prstDash val="sysDot"/>
              <a:round/>
            </a:ln>
            <a:effectLst/>
          </c:spPr>
          <c:marker>
            <c:symbol val="circle"/>
            <c:size val="5"/>
            <c:spPr>
              <a:solidFill>
                <a:schemeClr val="accent5">
                  <a:lumMod val="60000"/>
                </a:schemeClr>
              </a:solidFill>
              <a:ln w="9525">
                <a:solidFill>
                  <a:schemeClr val="accent5">
                    <a:lumMod val="60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3-9'!$B$8:$E$8</c:f>
              <c:numCache>
                <c:formatCode>0.000</c:formatCode>
                <c:ptCount val="4"/>
                <c:pt idx="0">
                  <c:v>2.1000000000000001E-2</c:v>
                </c:pt>
                <c:pt idx="2">
                  <c:v>8.6E-3</c:v>
                </c:pt>
                <c:pt idx="3">
                  <c:v>1.6999999999999999E-3</c:v>
                </c:pt>
              </c:numCache>
            </c:numRef>
          </c:yVal>
          <c:smooth val="0"/>
          <c:extLst>
            <c:ext xmlns:c16="http://schemas.microsoft.com/office/drawing/2014/chart" uri="{C3380CC4-5D6E-409C-BE32-E72D297353CC}">
              <c16:uniqueId val="{0000000A-763D-4201-99C6-1A10A575A6E8}"/>
            </c:ext>
          </c:extLst>
        </c:ser>
        <c:dLbls>
          <c:showLegendKey val="0"/>
          <c:showVal val="0"/>
          <c:showCatName val="0"/>
          <c:showSerName val="0"/>
          <c:showPercent val="0"/>
          <c:showBubbleSize val="0"/>
        </c:dLbls>
        <c:axId val="472106272"/>
        <c:axId val="484469768"/>
        <c:extLst/>
      </c:scatterChart>
      <c:valAx>
        <c:axId val="472106272"/>
        <c:scaling>
          <c:orientation val="minMax"/>
          <c:max val="42270"/>
          <c:min val="42221"/>
        </c:scaling>
        <c:delete val="0"/>
        <c:axPos val="b"/>
        <c:majorGridlines>
          <c:spPr>
            <a:ln w="9525" cap="flat" cmpd="sng" algn="ctr">
              <a:noFill/>
              <a:round/>
            </a:ln>
            <a:effectLst/>
          </c:spPr>
        </c:majorGridlines>
        <c:numFmt formatCode="d\-mmm" sourceLinked="1"/>
        <c:majorTickMark val="out"/>
        <c:minorTickMark val="out"/>
        <c:tickLblPos val="nextTo"/>
        <c:spPr>
          <a:noFill/>
          <a:ln w="9525" cap="flat" cmpd="sng" algn="ctr">
            <a:solidFill>
              <a:schemeClr val="tx1">
                <a:lumMod val="50000"/>
                <a:lumOff val="50000"/>
              </a:schemeClr>
            </a:solidFill>
            <a:round/>
          </a:ln>
          <a:effectLst/>
        </c:spPr>
        <c:txPr>
          <a:bodyPr rot="-5400000" spcFirstLastPara="1" vertOverflow="ellipsis"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crossAx val="484469768"/>
        <c:crossesAt val="0"/>
        <c:crossBetween val="midCat"/>
        <c:majorUnit val="7"/>
        <c:minorUnit val="1"/>
      </c:valAx>
      <c:valAx>
        <c:axId val="484469768"/>
        <c:scaling>
          <c:orientation val="minMax"/>
        </c:scaling>
        <c:delete val="0"/>
        <c:axPos val="l"/>
        <c:majorGridlines>
          <c:spPr>
            <a:ln w="9525" cap="flat" cmpd="sng" algn="ctr">
              <a:solidFill>
                <a:schemeClr val="bg1">
                  <a:lumMod val="7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r>
                  <a:rPr lang="en-US"/>
                  <a:t>Concentration (mg/L)</a:t>
                </a:r>
              </a:p>
              <a:p>
                <a:pPr>
                  <a:defRPr/>
                </a:pPr>
                <a:endParaRPr lang="en-US"/>
              </a:p>
            </c:rich>
          </c:tx>
          <c:layout>
            <c:manualLayout>
              <c:xMode val="edge"/>
              <c:yMode val="edge"/>
              <c:x val="3.6278965761218175E-2"/>
              <c:y val="0.21409837690800473"/>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Gill Sans MT" panose="020B0502020104020203" pitchFamily="34" charset="0"/>
                  <a:ea typeface="+mn-ea"/>
                  <a:cs typeface="+mn-cs"/>
                </a:defRPr>
              </a:pPr>
              <a:endParaRPr lang="en-US"/>
            </a:p>
          </c:txPr>
        </c:title>
        <c:numFmt formatCode="0" sourceLinked="0"/>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50" b="1" i="0" u="none" strike="noStrike" kern="1200" baseline="0">
                <a:solidFill>
                  <a:schemeClr val="tx1"/>
                </a:solidFill>
                <a:latin typeface="Gill Sans MT" panose="020B0502020104020203" pitchFamily="34" charset="0"/>
                <a:ea typeface="+mn-ea"/>
                <a:cs typeface="+mn-cs"/>
              </a:defRPr>
            </a:pPr>
            <a:endParaRPr lang="en-US"/>
          </a:p>
        </c:txPr>
        <c:crossAx val="472106272"/>
        <c:crosses val="autoZero"/>
        <c:crossBetween val="midCat"/>
      </c:valAx>
      <c:spPr>
        <a:noFill/>
        <a:ln>
          <a:solidFill>
            <a:schemeClr val="tx1">
              <a:lumMod val="50000"/>
              <a:lumOff val="50000"/>
            </a:schemeClr>
          </a:solidFill>
        </a:ln>
        <a:effectLst/>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76181236724156176"/>
          <c:y val="0.24738061847034354"/>
          <c:w val="0.21137938526683667"/>
          <c:h val="0.47487387647301915"/>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chemeClr val="tx1"/>
          </a:solidFill>
          <a:latin typeface="Gill Sans MT" panose="020B0502020104020203" pitchFamily="34"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Gill Sans MT" panose="020B0502020104020203" pitchFamily="34" charset="0"/>
                <a:ea typeface="+mn-ea"/>
                <a:cs typeface="+mn-cs"/>
              </a:defRPr>
            </a:pPr>
            <a:r>
              <a:rPr lang="en-US" sz="1100"/>
              <a:t>Total Metals in GKM Mine Pool Post-Release</a:t>
            </a:r>
          </a:p>
        </c:rich>
      </c:tx>
      <c:layout>
        <c:manualLayout>
          <c:xMode val="edge"/>
          <c:yMode val="edge"/>
          <c:x val="0.1760219011820599"/>
          <c:y val="8.1378469030677376E-3"/>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357678268210408"/>
          <c:y val="9.1326553165814506E-2"/>
          <c:w val="0.57532577168419208"/>
          <c:h val="0.65787188624975124"/>
        </c:manualLayout>
      </c:layout>
      <c:scatterChart>
        <c:scatterStyle val="lineMarker"/>
        <c:varyColors val="0"/>
        <c:ser>
          <c:idx val="4"/>
          <c:order val="4"/>
          <c:tx>
            <c:strRef>
              <c:f>'Effluent Conc Fig 3-9'!$A$13</c:f>
              <c:strCache>
                <c:ptCount val="1"/>
                <c:pt idx="0">
                  <c:v>Cobalt</c:v>
                </c:pt>
              </c:strCache>
              <c:extLst xmlns:c15="http://schemas.microsoft.com/office/drawing/2012/chart"/>
            </c:strRef>
          </c:tx>
          <c:spPr>
            <a:ln w="28575" cap="rnd">
              <a:solidFill>
                <a:schemeClr val="accent5"/>
              </a:solidFill>
              <a:prstDash val="sysDot"/>
              <a:round/>
            </a:ln>
            <a:effectLst/>
          </c:spPr>
          <c:marker>
            <c:symbol val="circle"/>
            <c:size val="5"/>
            <c:spPr>
              <a:solidFill>
                <a:schemeClr val="accent5"/>
              </a:solidFill>
              <a:ln w="9525">
                <a:solidFill>
                  <a:schemeClr val="accent5"/>
                </a:solidFill>
              </a:ln>
              <a:effectLst/>
            </c:spPr>
          </c:marker>
          <c:xVal>
            <c:numRef>
              <c:f>'Effluent Conc Fig 3-9'!$B$4:$E$4</c:f>
              <c:numCache>
                <c:formatCode>d\-mmm</c:formatCode>
                <c:ptCount val="4"/>
                <c:pt idx="0">
                  <c:v>42223</c:v>
                </c:pt>
                <c:pt idx="1">
                  <c:v>42227</c:v>
                </c:pt>
                <c:pt idx="2">
                  <c:v>42231</c:v>
                </c:pt>
                <c:pt idx="3">
                  <c:v>42268</c:v>
                </c:pt>
              </c:numCache>
              <c:extLst xmlns:c15="http://schemas.microsoft.com/office/drawing/2012/chart"/>
            </c:numRef>
          </c:xVal>
          <c:yVal>
            <c:numRef>
              <c:f>'Effluent Conc Fig 3-9'!$B$13:$E$13</c:f>
              <c:numCache>
                <c:formatCode>0.00</c:formatCode>
                <c:ptCount val="4"/>
                <c:pt idx="0">
                  <c:v>0.13</c:v>
                </c:pt>
                <c:pt idx="1">
                  <c:v>0.12</c:v>
                </c:pt>
                <c:pt idx="2" formatCode="General">
                  <c:v>0.11</c:v>
                </c:pt>
                <c:pt idx="3">
                  <c:v>0.12</c:v>
                </c:pt>
              </c:numCache>
              <c:extLst xmlns:c15="http://schemas.microsoft.com/office/drawing/2012/chart"/>
            </c:numRef>
          </c:yVal>
          <c:smooth val="0"/>
          <c:extLst>
            <c:ext xmlns:c16="http://schemas.microsoft.com/office/drawing/2014/chart" uri="{C3380CC4-5D6E-409C-BE32-E72D297353CC}">
              <c16:uniqueId val="{00000000-A235-4A0E-91C2-C0355EF65C51}"/>
            </c:ext>
          </c:extLst>
        </c:ser>
        <c:ser>
          <c:idx val="3"/>
          <c:order val="5"/>
          <c:tx>
            <c:strRef>
              <c:f>'Effluent Conc Fig 3-9'!$A$10</c:f>
              <c:strCache>
                <c:ptCount val="1"/>
                <c:pt idx="0">
                  <c:v>Cadmium</c:v>
                </c:pt>
              </c:strCache>
              <c:extLst xmlns:c15="http://schemas.microsoft.com/office/drawing/2012/chart"/>
            </c:strRef>
          </c:tx>
          <c:spPr>
            <a:ln w="25400" cap="rnd">
              <a:solidFill>
                <a:schemeClr val="accent6">
                  <a:lumMod val="60000"/>
                  <a:lumOff val="40000"/>
                </a:schemeClr>
              </a:solidFill>
              <a:round/>
            </a:ln>
            <a:effectLst/>
          </c:spPr>
          <c:marker>
            <c:symbol val="triangle"/>
            <c:size val="7"/>
            <c:spPr>
              <a:solidFill>
                <a:schemeClr val="accent6">
                  <a:lumMod val="60000"/>
                  <a:lumOff val="40000"/>
                </a:schemeClr>
              </a:solidFill>
              <a:ln w="9525">
                <a:solidFill>
                  <a:schemeClr val="accent6">
                    <a:lumMod val="75000"/>
                  </a:schemeClr>
                </a:solidFill>
              </a:ln>
              <a:effectLst/>
            </c:spPr>
          </c:marker>
          <c:xVal>
            <c:numRef>
              <c:f>'Effluent Conc Fig 3-9'!$B$4:$E$4</c:f>
              <c:numCache>
                <c:formatCode>d\-mmm</c:formatCode>
                <c:ptCount val="4"/>
                <c:pt idx="0">
                  <c:v>42223</c:v>
                </c:pt>
                <c:pt idx="1">
                  <c:v>42227</c:v>
                </c:pt>
                <c:pt idx="2">
                  <c:v>42231</c:v>
                </c:pt>
                <c:pt idx="3">
                  <c:v>42268</c:v>
                </c:pt>
              </c:numCache>
              <c:extLst xmlns:c15="http://schemas.microsoft.com/office/drawing/2012/chart"/>
            </c:numRef>
          </c:xVal>
          <c:yVal>
            <c:numRef>
              <c:f>'Effluent Conc Fig 3-9'!$B$10:$E$10</c:f>
              <c:numCache>
                <c:formatCode>0.000</c:formatCode>
                <c:ptCount val="4"/>
                <c:pt idx="0">
                  <c:v>0.1</c:v>
                </c:pt>
                <c:pt idx="1">
                  <c:v>8.4000000000000005E-2</c:v>
                </c:pt>
                <c:pt idx="2">
                  <c:v>8.2000000000000003E-2</c:v>
                </c:pt>
                <c:pt idx="3" formatCode="0.00">
                  <c:v>8.4000000000000005E-2</c:v>
                </c:pt>
              </c:numCache>
              <c:extLst xmlns:c15="http://schemas.microsoft.com/office/drawing/2012/chart"/>
            </c:numRef>
          </c:yVal>
          <c:smooth val="0"/>
          <c:extLst>
            <c:ext xmlns:c16="http://schemas.microsoft.com/office/drawing/2014/chart" uri="{C3380CC4-5D6E-409C-BE32-E72D297353CC}">
              <c16:uniqueId val="{00000001-A235-4A0E-91C2-C0355EF65C51}"/>
            </c:ext>
          </c:extLst>
        </c:ser>
        <c:ser>
          <c:idx val="6"/>
          <c:order val="6"/>
          <c:tx>
            <c:strRef>
              <c:f>'Effluent Conc Fig 3-9'!$A$16</c:f>
              <c:strCache>
                <c:ptCount val="1"/>
                <c:pt idx="0">
                  <c:v>Lead</c:v>
                </c:pt>
              </c:strCache>
              <c:extLst xmlns:c15="http://schemas.microsoft.com/office/drawing/2012/chart"/>
            </c:strRef>
          </c:tx>
          <c:spPr>
            <a:ln w="25400" cap="rnd">
              <a:solidFill>
                <a:schemeClr val="accent1">
                  <a:lumMod val="60000"/>
                </a:schemeClr>
              </a:solidFill>
              <a:prstDash val="solid"/>
              <a:round/>
            </a:ln>
            <a:effectLst/>
          </c:spPr>
          <c:marker>
            <c:symbol val="square"/>
            <c:size val="7"/>
            <c:spPr>
              <a:solidFill>
                <a:schemeClr val="accent5">
                  <a:lumMod val="75000"/>
                </a:schemeClr>
              </a:solidFill>
              <a:ln w="9525">
                <a:solidFill>
                  <a:schemeClr val="tx2">
                    <a:lumMod val="60000"/>
                    <a:lumOff val="40000"/>
                  </a:schemeClr>
                </a:solidFill>
                <a:prstDash val="sysDash"/>
              </a:ln>
              <a:effectLst/>
            </c:spPr>
          </c:marker>
          <c:xVal>
            <c:numRef>
              <c:f>'Effluent Conc Fig 3-9'!$B$4:$E$4</c:f>
              <c:numCache>
                <c:formatCode>d\-mmm</c:formatCode>
                <c:ptCount val="4"/>
                <c:pt idx="0">
                  <c:v>42223</c:v>
                </c:pt>
                <c:pt idx="1">
                  <c:v>42227</c:v>
                </c:pt>
                <c:pt idx="2">
                  <c:v>42231</c:v>
                </c:pt>
                <c:pt idx="3">
                  <c:v>42268</c:v>
                </c:pt>
              </c:numCache>
              <c:extLst xmlns:c15="http://schemas.microsoft.com/office/drawing/2012/chart"/>
            </c:numRef>
          </c:xVal>
          <c:yVal>
            <c:numRef>
              <c:f>'Effluent Conc Fig 3-9'!$B$16:$E$16</c:f>
              <c:numCache>
                <c:formatCode>0.000</c:formatCode>
                <c:ptCount val="4"/>
                <c:pt idx="0">
                  <c:v>0.16</c:v>
                </c:pt>
                <c:pt idx="1">
                  <c:v>4.8000000000000001E-2</c:v>
                </c:pt>
                <c:pt idx="2" formatCode="General">
                  <c:v>4.2000000000000003E-2</c:v>
                </c:pt>
                <c:pt idx="3" formatCode="General">
                  <c:v>4.2000000000000003E-2</c:v>
                </c:pt>
              </c:numCache>
              <c:extLst xmlns:c15="http://schemas.microsoft.com/office/drawing/2012/chart"/>
            </c:numRef>
          </c:yVal>
          <c:smooth val="0"/>
          <c:extLst>
            <c:ext xmlns:c16="http://schemas.microsoft.com/office/drawing/2014/chart" uri="{C3380CC4-5D6E-409C-BE32-E72D297353CC}">
              <c16:uniqueId val="{00000002-A235-4A0E-91C2-C0355EF65C51}"/>
            </c:ext>
          </c:extLst>
        </c:ser>
        <c:ser>
          <c:idx val="1"/>
          <c:order val="7"/>
          <c:tx>
            <c:strRef>
              <c:f>'Effluent Conc Fig 3-9'!$A$7</c:f>
              <c:strCache>
                <c:ptCount val="1"/>
                <c:pt idx="0">
                  <c:v>Arsenic</c:v>
                </c:pt>
              </c:strCache>
              <c:extLst xmlns:c15="http://schemas.microsoft.com/office/drawing/2012/chart"/>
            </c:strRef>
          </c:tx>
          <c:spPr>
            <a:ln w="25400" cap="rnd">
              <a:solidFill>
                <a:srgbClr val="CC00CC"/>
              </a:solidFill>
              <a:round/>
            </a:ln>
            <a:effectLst/>
          </c:spPr>
          <c:marker>
            <c:symbol val="triangle"/>
            <c:size val="7"/>
            <c:spPr>
              <a:solidFill>
                <a:srgbClr val="C00000"/>
              </a:solidFill>
              <a:ln w="9525">
                <a:solidFill>
                  <a:srgbClr val="C00000"/>
                </a:solidFill>
              </a:ln>
              <a:effectLst/>
            </c:spPr>
          </c:marker>
          <c:xVal>
            <c:numRef>
              <c:f>'Effluent Conc Fig 3-9'!$B$4:$E$4</c:f>
              <c:numCache>
                <c:formatCode>d\-mmm</c:formatCode>
                <c:ptCount val="4"/>
                <c:pt idx="0">
                  <c:v>42223</c:v>
                </c:pt>
                <c:pt idx="1">
                  <c:v>42227</c:v>
                </c:pt>
                <c:pt idx="2">
                  <c:v>42231</c:v>
                </c:pt>
                <c:pt idx="3">
                  <c:v>42268</c:v>
                </c:pt>
              </c:numCache>
              <c:extLst xmlns:c15="http://schemas.microsoft.com/office/drawing/2012/chart"/>
            </c:numRef>
          </c:xVal>
          <c:yVal>
            <c:numRef>
              <c:f>'Effluent Conc Fig 3-9'!$B$7:$E$7</c:f>
              <c:numCache>
                <c:formatCode>0.000</c:formatCode>
                <c:ptCount val="4"/>
                <c:pt idx="0">
                  <c:v>8.5999999999999993E-2</c:v>
                </c:pt>
                <c:pt idx="1">
                  <c:v>6.7000000000000004E-2</c:v>
                </c:pt>
                <c:pt idx="2" formatCode="General">
                  <c:v>0.06</c:v>
                </c:pt>
                <c:pt idx="3" formatCode="General">
                  <c:v>4.3999999999999997E-2</c:v>
                </c:pt>
              </c:numCache>
              <c:extLst xmlns:c15="http://schemas.microsoft.com/office/drawing/2012/chart"/>
            </c:numRef>
          </c:yVal>
          <c:smooth val="0"/>
          <c:extLst>
            <c:ext xmlns:c16="http://schemas.microsoft.com/office/drawing/2014/chart" uri="{C3380CC4-5D6E-409C-BE32-E72D297353CC}">
              <c16:uniqueId val="{00000003-A235-4A0E-91C2-C0355EF65C51}"/>
            </c:ext>
          </c:extLst>
        </c:ser>
        <c:ser>
          <c:idx val="8"/>
          <c:order val="8"/>
          <c:tx>
            <c:strRef>
              <c:f>'Effluent Conc Fig 3-9'!$A$21</c:f>
              <c:strCache>
                <c:ptCount val="1"/>
                <c:pt idx="0">
                  <c:v>Nickel</c:v>
                </c:pt>
              </c:strCache>
              <c:extLst xmlns:c15="http://schemas.microsoft.com/office/drawing/2012/chart"/>
            </c:strRef>
          </c:tx>
          <c:spPr>
            <a:ln w="25400" cap="rnd">
              <a:solidFill>
                <a:schemeClr val="accent1">
                  <a:lumMod val="75000"/>
                </a:schemeClr>
              </a:solidFill>
              <a:round/>
            </a:ln>
            <a:effectLst/>
          </c:spPr>
          <c:marker>
            <c:symbol val="triangle"/>
            <c:size val="7"/>
            <c:spPr>
              <a:solidFill>
                <a:schemeClr val="accent1">
                  <a:lumMod val="60000"/>
                  <a:lumOff val="40000"/>
                </a:schemeClr>
              </a:solidFill>
              <a:ln w="9525">
                <a:solidFill>
                  <a:schemeClr val="tx2">
                    <a:lumMod val="75000"/>
                  </a:schemeClr>
                </a:solidFill>
              </a:ln>
              <a:effectLst/>
            </c:spPr>
          </c:marker>
          <c:xVal>
            <c:numRef>
              <c:f>'Effluent Conc Fig 3-9'!$B$4:$E$4</c:f>
              <c:numCache>
                <c:formatCode>d\-mmm</c:formatCode>
                <c:ptCount val="4"/>
                <c:pt idx="0">
                  <c:v>42223</c:v>
                </c:pt>
                <c:pt idx="1">
                  <c:v>42227</c:v>
                </c:pt>
                <c:pt idx="2">
                  <c:v>42231</c:v>
                </c:pt>
                <c:pt idx="3">
                  <c:v>42268</c:v>
                </c:pt>
              </c:numCache>
              <c:extLst xmlns:c15="http://schemas.microsoft.com/office/drawing/2012/chart"/>
            </c:numRef>
          </c:xVal>
          <c:yVal>
            <c:numRef>
              <c:f>'Effluent Conc Fig 3-9'!$B$21:$E$21</c:f>
              <c:numCache>
                <c:formatCode>0.000</c:formatCode>
                <c:ptCount val="4"/>
                <c:pt idx="0">
                  <c:v>7.0000000000000007E-2</c:v>
                </c:pt>
                <c:pt idx="1">
                  <c:v>6.6000000000000003E-2</c:v>
                </c:pt>
                <c:pt idx="2">
                  <c:v>6.9000000000000006E-2</c:v>
                </c:pt>
                <c:pt idx="3">
                  <c:v>6.4000000000000001E-2</c:v>
                </c:pt>
              </c:numCache>
              <c:extLst xmlns:c15="http://schemas.microsoft.com/office/drawing/2012/chart"/>
            </c:numRef>
          </c:yVal>
          <c:smooth val="0"/>
          <c:extLst>
            <c:ext xmlns:c16="http://schemas.microsoft.com/office/drawing/2014/chart" uri="{C3380CC4-5D6E-409C-BE32-E72D297353CC}">
              <c16:uniqueId val="{00000004-A235-4A0E-91C2-C0355EF65C51}"/>
            </c:ext>
          </c:extLst>
        </c:ser>
        <c:ser>
          <c:idx val="11"/>
          <c:order val="11"/>
          <c:tx>
            <c:strRef>
              <c:f>'Effluent Conc Fig 3-9'!$A$9</c:f>
              <c:strCache>
                <c:ptCount val="1"/>
                <c:pt idx="0">
                  <c:v>Beryllium</c:v>
                </c:pt>
              </c:strCache>
            </c:strRef>
          </c:tx>
          <c:spPr>
            <a:ln w="28575" cap="rnd">
              <a:solidFill>
                <a:schemeClr val="accent6">
                  <a:lumMod val="60000"/>
                </a:schemeClr>
              </a:solidFill>
              <a:round/>
            </a:ln>
            <a:effectLst/>
          </c:spPr>
          <c:marker>
            <c:symbol val="square"/>
            <c:size val="5"/>
            <c:spPr>
              <a:solidFill>
                <a:schemeClr val="accent6">
                  <a:lumMod val="60000"/>
                </a:schemeClr>
              </a:solidFill>
              <a:ln w="9525">
                <a:solidFill>
                  <a:schemeClr val="accent6">
                    <a:lumMod val="60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3-9'!$B$9:$E$9</c:f>
              <c:numCache>
                <c:formatCode>0.000</c:formatCode>
                <c:ptCount val="4"/>
                <c:pt idx="0">
                  <c:v>3.0999999999999999E-3</c:v>
                </c:pt>
                <c:pt idx="1">
                  <c:v>5.4999999999999997E-3</c:v>
                </c:pt>
                <c:pt idx="2" formatCode="General">
                  <c:v>1.0999999999999999E-2</c:v>
                </c:pt>
                <c:pt idx="3" formatCode="General">
                  <c:v>1.2999999999999999E-2</c:v>
                </c:pt>
              </c:numCache>
            </c:numRef>
          </c:yVal>
          <c:smooth val="0"/>
          <c:extLst>
            <c:ext xmlns:c16="http://schemas.microsoft.com/office/drawing/2014/chart" uri="{C3380CC4-5D6E-409C-BE32-E72D297353CC}">
              <c16:uniqueId val="{00000005-A235-4A0E-91C2-C0355EF65C51}"/>
            </c:ext>
          </c:extLst>
        </c:ser>
        <c:dLbls>
          <c:showLegendKey val="0"/>
          <c:showVal val="0"/>
          <c:showCatName val="0"/>
          <c:showSerName val="0"/>
          <c:showPercent val="0"/>
          <c:showBubbleSize val="0"/>
        </c:dLbls>
        <c:axId val="406827024"/>
        <c:axId val="406827416"/>
        <c:extLst>
          <c:ext xmlns:c15="http://schemas.microsoft.com/office/drawing/2012/chart" uri="{02D57815-91ED-43cb-92C2-25804820EDAC}">
            <c15:filteredScatterSeries>
              <c15:ser>
                <c:idx val="7"/>
                <c:order val="0"/>
                <c:tx>
                  <c:strRef>
                    <c:extLst>
                      <c:ext uri="{02D57815-91ED-43cb-92C2-25804820EDAC}">
                        <c15:formulaRef>
                          <c15:sqref>'Effluent Conc Fig 3-9'!$A$18</c15:sqref>
                        </c15:formulaRef>
                      </c:ext>
                    </c:extLst>
                    <c:strCache>
                      <c:ptCount val="1"/>
                      <c:pt idx="0">
                        <c:v>Manganese</c:v>
                      </c:pt>
                    </c:strCache>
                  </c:strRef>
                </c:tx>
                <c:spPr>
                  <a:ln w="28575" cap="rnd">
                    <a:solidFill>
                      <a:schemeClr val="accent2">
                        <a:lumMod val="60000"/>
                      </a:schemeClr>
                    </a:solidFill>
                    <a:prstDash val="sysDot"/>
                    <a:round/>
                  </a:ln>
                  <a:effectLst/>
                </c:spPr>
                <c:marker>
                  <c:symbol val="circle"/>
                  <c:size val="5"/>
                  <c:spPr>
                    <a:solidFill>
                      <a:schemeClr val="accent2">
                        <a:lumMod val="60000"/>
                      </a:schemeClr>
                    </a:solidFill>
                    <a:ln w="9525">
                      <a:solidFill>
                        <a:schemeClr val="accent2">
                          <a:lumMod val="60000"/>
                        </a:schemeClr>
                      </a:solidFill>
                    </a:ln>
                    <a:effectLst/>
                  </c:spPr>
                </c:marker>
                <c:xVal>
                  <c:numRef>
                    <c:extLst>
                      <c:ext uri="{02D57815-91ED-43cb-92C2-25804820EDAC}">
                        <c15:formulaRef>
                          <c15:sqref>'Effluent Conc Fig 3-9'!$B$4:$E$4</c15:sqref>
                        </c15:formulaRef>
                      </c:ext>
                    </c:extLst>
                    <c:numCache>
                      <c:formatCode>d\-mmm</c:formatCode>
                      <c:ptCount val="4"/>
                      <c:pt idx="0">
                        <c:v>42223</c:v>
                      </c:pt>
                      <c:pt idx="1">
                        <c:v>42227</c:v>
                      </c:pt>
                      <c:pt idx="2">
                        <c:v>42231</c:v>
                      </c:pt>
                      <c:pt idx="3">
                        <c:v>42268</c:v>
                      </c:pt>
                    </c:numCache>
                  </c:numRef>
                </c:xVal>
                <c:yVal>
                  <c:numRef>
                    <c:extLst>
                      <c:ext uri="{02D57815-91ED-43cb-92C2-25804820EDAC}">
                        <c15:formulaRef>
                          <c15:sqref>'Effluent Conc Fig 3-9'!$B$18:$E$18</c15:sqref>
                        </c15:formulaRef>
                      </c:ext>
                    </c:extLst>
                    <c:numCache>
                      <c:formatCode>0</c:formatCode>
                      <c:ptCount val="4"/>
                      <c:pt idx="0">
                        <c:v>34</c:v>
                      </c:pt>
                      <c:pt idx="1">
                        <c:v>33</c:v>
                      </c:pt>
                      <c:pt idx="2" formatCode="General">
                        <c:v>36</c:v>
                      </c:pt>
                      <c:pt idx="3" formatCode="General">
                        <c:v>42</c:v>
                      </c:pt>
                    </c:numCache>
                  </c:numRef>
                </c:yVal>
                <c:smooth val="0"/>
                <c:extLst>
                  <c:ext xmlns:c16="http://schemas.microsoft.com/office/drawing/2014/chart" uri="{C3380CC4-5D6E-409C-BE32-E72D297353CC}">
                    <c16:uniqueId val="{00000006-A235-4A0E-91C2-C0355EF65C51}"/>
                  </c:ext>
                </c:extLst>
              </c15:ser>
            </c15:filteredScatterSeries>
            <c15:filteredScatterSeries>
              <c15:ser>
                <c:idx val="0"/>
                <c:order val="1"/>
                <c:tx>
                  <c:strRef>
                    <c:extLst xmlns:c15="http://schemas.microsoft.com/office/drawing/2012/chart">
                      <c:ext xmlns:c15="http://schemas.microsoft.com/office/drawing/2012/chart" uri="{02D57815-91ED-43cb-92C2-25804820EDAC}">
                        <c15:formulaRef>
                          <c15:sqref>'Effluent Conc Fig 3-9'!$A$5</c15:sqref>
                        </c15:formulaRef>
                      </c:ext>
                    </c:extLst>
                    <c:strCache>
                      <c:ptCount val="1"/>
                      <c:pt idx="0">
                        <c:v>Aluminum</c:v>
                      </c:pt>
                    </c:strCache>
                  </c:strRef>
                </c:tx>
                <c:spPr>
                  <a:ln w="28575" cap="rnd">
                    <a:solidFill>
                      <a:schemeClr val="bg1">
                        <a:lumMod val="75000"/>
                      </a:schemeClr>
                    </a:solidFill>
                    <a:prstDash val="sysDot"/>
                    <a:round/>
                  </a:ln>
                  <a:effectLst/>
                </c:spPr>
                <c:marker>
                  <c:symbol val="circle"/>
                  <c:size val="6"/>
                  <c:spPr>
                    <a:solidFill>
                      <a:schemeClr val="bg2">
                        <a:lumMod val="75000"/>
                      </a:schemeClr>
                    </a:solidFill>
                    <a:ln w="9525">
                      <a:solidFill>
                        <a:schemeClr val="tx1">
                          <a:lumMod val="50000"/>
                          <a:lumOff val="50000"/>
                        </a:schemeClr>
                      </a:solidFill>
                    </a:ln>
                    <a:effectLst/>
                  </c:spPr>
                </c:marker>
                <c:xVal>
                  <c:numRef>
                    <c:extLst xmlns:c15="http://schemas.microsoft.com/office/drawing/2012/chart">
                      <c:ext xmlns:c15="http://schemas.microsoft.com/office/drawing/2012/chart" uri="{02D57815-91ED-43cb-92C2-25804820EDAC}">
                        <c15:formulaRef>
                          <c15:sqref>'Effluent Conc Fig 3-9'!$B$4:$E$4</c15:sqref>
                        </c15:formulaRef>
                      </c:ext>
                    </c:extLst>
                    <c:numCache>
                      <c:formatCode>d\-mmm</c:formatCode>
                      <c:ptCount val="4"/>
                      <c:pt idx="0">
                        <c:v>42223</c:v>
                      </c:pt>
                      <c:pt idx="1">
                        <c:v>42227</c:v>
                      </c:pt>
                      <c:pt idx="2">
                        <c:v>42231</c:v>
                      </c:pt>
                      <c:pt idx="3">
                        <c:v>42268</c:v>
                      </c:pt>
                    </c:numCache>
                  </c:numRef>
                </c:xVal>
                <c:yVal>
                  <c:numRef>
                    <c:extLst xmlns:c15="http://schemas.microsoft.com/office/drawing/2012/chart">
                      <c:ext xmlns:c15="http://schemas.microsoft.com/office/drawing/2012/chart" uri="{02D57815-91ED-43cb-92C2-25804820EDAC}">
                        <c15:formulaRef>
                          <c15:sqref>'Effluent Conc Fig 3-9'!$B$5:$E$5</c15:sqref>
                        </c15:formulaRef>
                      </c:ext>
                    </c:extLst>
                    <c:numCache>
                      <c:formatCode>0</c:formatCode>
                      <c:ptCount val="4"/>
                      <c:pt idx="0">
                        <c:v>32</c:v>
                      </c:pt>
                      <c:pt idx="1">
                        <c:v>31</c:v>
                      </c:pt>
                      <c:pt idx="2" formatCode="General">
                        <c:v>34</c:v>
                      </c:pt>
                      <c:pt idx="3" formatCode="General">
                        <c:v>32</c:v>
                      </c:pt>
                    </c:numCache>
                  </c:numRef>
                </c:yVal>
                <c:smooth val="0"/>
                <c:extLst xmlns:c15="http://schemas.microsoft.com/office/drawing/2012/chart">
                  <c:ext xmlns:c16="http://schemas.microsoft.com/office/drawing/2014/chart" uri="{C3380CC4-5D6E-409C-BE32-E72D297353CC}">
                    <c16:uniqueId val="{00000007-A235-4A0E-91C2-C0355EF65C51}"/>
                  </c:ext>
                </c:extLst>
              </c15:ser>
            </c15:filteredScatterSeries>
            <c15:filteredScatterSeries>
              <c15:ser>
                <c:idx val="10"/>
                <c:order val="2"/>
                <c:tx>
                  <c:strRef>
                    <c:extLst xmlns:c15="http://schemas.microsoft.com/office/drawing/2012/chart">
                      <c:ext xmlns:c15="http://schemas.microsoft.com/office/drawing/2012/chart" uri="{02D57815-91ED-43cb-92C2-25804820EDAC}">
                        <c15:formulaRef>
                          <c15:sqref>'Effluent Conc Fig 3-9'!$A$28</c15:sqref>
                        </c15:formulaRef>
                      </c:ext>
                    </c:extLst>
                    <c:strCache>
                      <c:ptCount val="1"/>
                      <c:pt idx="0">
                        <c:v>Zinc</c:v>
                      </c:pt>
                    </c:strCache>
                  </c:strRef>
                </c:tx>
                <c:spPr>
                  <a:ln w="25400" cap="rnd">
                    <a:solidFill>
                      <a:schemeClr val="bg2">
                        <a:lumMod val="75000"/>
                      </a:schemeClr>
                    </a:solidFill>
                    <a:prstDash val="solid"/>
                    <a:round/>
                  </a:ln>
                  <a:effectLst/>
                </c:spPr>
                <c:marker>
                  <c:symbol val="triangle"/>
                  <c:size val="7"/>
                  <c:spPr>
                    <a:solidFill>
                      <a:schemeClr val="bg2">
                        <a:lumMod val="75000"/>
                      </a:schemeClr>
                    </a:solidFill>
                    <a:ln w="9525">
                      <a:solidFill>
                        <a:schemeClr val="bg2">
                          <a:lumMod val="50000"/>
                        </a:schemeClr>
                      </a:solidFill>
                    </a:ln>
                    <a:effectLst/>
                  </c:spPr>
                </c:marker>
                <c:xVal>
                  <c:numRef>
                    <c:extLst xmlns:c15="http://schemas.microsoft.com/office/drawing/2012/chart">
                      <c:ext xmlns:c15="http://schemas.microsoft.com/office/drawing/2012/chart" uri="{02D57815-91ED-43cb-92C2-25804820EDAC}">
                        <c15:formulaRef>
                          <c15:sqref>'Effluent Conc Fig 3-9'!$B$4:$E$4</c15:sqref>
                        </c15:formulaRef>
                      </c:ext>
                    </c:extLst>
                    <c:numCache>
                      <c:formatCode>d\-mmm</c:formatCode>
                      <c:ptCount val="4"/>
                      <c:pt idx="0">
                        <c:v>42223</c:v>
                      </c:pt>
                      <c:pt idx="1">
                        <c:v>42227</c:v>
                      </c:pt>
                      <c:pt idx="2">
                        <c:v>42231</c:v>
                      </c:pt>
                      <c:pt idx="3">
                        <c:v>42268</c:v>
                      </c:pt>
                    </c:numCache>
                  </c:numRef>
                </c:xVal>
                <c:yVal>
                  <c:numRef>
                    <c:extLst xmlns:c15="http://schemas.microsoft.com/office/drawing/2012/chart">
                      <c:ext xmlns:c15="http://schemas.microsoft.com/office/drawing/2012/chart" uri="{02D57815-91ED-43cb-92C2-25804820EDAC}">
                        <c15:formulaRef>
                          <c15:sqref>'Effluent Conc Fig 3-9'!$B$28:$E$28</c15:sqref>
                        </c15:formulaRef>
                      </c:ext>
                    </c:extLst>
                    <c:numCache>
                      <c:formatCode>0</c:formatCode>
                      <c:ptCount val="4"/>
                      <c:pt idx="0">
                        <c:v>28</c:v>
                      </c:pt>
                      <c:pt idx="1">
                        <c:v>28</c:v>
                      </c:pt>
                      <c:pt idx="2" formatCode="General">
                        <c:v>20</c:v>
                      </c:pt>
                      <c:pt idx="3" formatCode="General">
                        <c:v>26</c:v>
                      </c:pt>
                    </c:numCache>
                  </c:numRef>
                </c:yVal>
                <c:smooth val="0"/>
                <c:extLst xmlns:c15="http://schemas.microsoft.com/office/drawing/2012/chart">
                  <c:ext xmlns:c16="http://schemas.microsoft.com/office/drawing/2014/chart" uri="{C3380CC4-5D6E-409C-BE32-E72D297353CC}">
                    <c16:uniqueId val="{00000008-A235-4A0E-91C2-C0355EF65C51}"/>
                  </c:ext>
                </c:extLst>
              </c15:ser>
            </c15:filteredScatterSeries>
            <c15:filteredScatterSeries>
              <c15:ser>
                <c:idx val="5"/>
                <c:order val="3"/>
                <c:tx>
                  <c:strRef>
                    <c:extLst xmlns:c15="http://schemas.microsoft.com/office/drawing/2012/chart">
                      <c:ext xmlns:c15="http://schemas.microsoft.com/office/drawing/2012/chart" uri="{02D57815-91ED-43cb-92C2-25804820EDAC}">
                        <c15:formulaRef>
                          <c15:sqref>'Effluent Conc Fig 3-9'!$A$14</c15:sqref>
                        </c15:formulaRef>
                      </c:ext>
                    </c:extLst>
                    <c:strCache>
                      <c:ptCount val="1"/>
                      <c:pt idx="0">
                        <c:v>Copper</c:v>
                      </c:pt>
                    </c:strCache>
                  </c:strRef>
                </c:tx>
                <c:spPr>
                  <a:ln w="25400" cap="rnd">
                    <a:solidFill>
                      <a:schemeClr val="accent2">
                        <a:lumMod val="75000"/>
                      </a:schemeClr>
                    </a:solidFill>
                    <a:prstDash val="solid"/>
                    <a:round/>
                  </a:ln>
                  <a:effectLst/>
                </c:spPr>
                <c:marker>
                  <c:symbol val="triangle"/>
                  <c:size val="7"/>
                  <c:spPr>
                    <a:solidFill>
                      <a:schemeClr val="accent2">
                        <a:lumMod val="60000"/>
                        <a:lumOff val="40000"/>
                      </a:schemeClr>
                    </a:solidFill>
                    <a:ln w="9525">
                      <a:solidFill>
                        <a:schemeClr val="accent2">
                          <a:lumMod val="50000"/>
                        </a:schemeClr>
                      </a:solidFill>
                    </a:ln>
                    <a:effectLst/>
                  </c:spPr>
                </c:marker>
                <c:xVal>
                  <c:numRef>
                    <c:extLst xmlns:c15="http://schemas.microsoft.com/office/drawing/2012/chart">
                      <c:ext xmlns:c15="http://schemas.microsoft.com/office/drawing/2012/chart" uri="{02D57815-91ED-43cb-92C2-25804820EDAC}">
                        <c15:formulaRef>
                          <c15:sqref>'Effluent Conc Fig 3-9'!$B$4:$E$4</c15:sqref>
                        </c15:formulaRef>
                      </c:ext>
                    </c:extLst>
                    <c:numCache>
                      <c:formatCode>d\-mmm</c:formatCode>
                      <c:ptCount val="4"/>
                      <c:pt idx="0">
                        <c:v>42223</c:v>
                      </c:pt>
                      <c:pt idx="1">
                        <c:v>42227</c:v>
                      </c:pt>
                      <c:pt idx="2">
                        <c:v>42231</c:v>
                      </c:pt>
                      <c:pt idx="3">
                        <c:v>42268</c:v>
                      </c:pt>
                    </c:numCache>
                  </c:numRef>
                </c:xVal>
                <c:yVal>
                  <c:numRef>
                    <c:extLst xmlns:c15="http://schemas.microsoft.com/office/drawing/2012/chart">
                      <c:ext xmlns:c15="http://schemas.microsoft.com/office/drawing/2012/chart" uri="{02D57815-91ED-43cb-92C2-25804820EDAC}">
                        <c15:formulaRef>
                          <c15:sqref>'Effluent Conc Fig 3-9'!$B$14:$E$14</c15:sqref>
                        </c15:formulaRef>
                      </c:ext>
                    </c:extLst>
                    <c:numCache>
                      <c:formatCode>0.0</c:formatCode>
                      <c:ptCount val="4"/>
                      <c:pt idx="0">
                        <c:v>6</c:v>
                      </c:pt>
                      <c:pt idx="1">
                        <c:v>7.2</c:v>
                      </c:pt>
                      <c:pt idx="2" formatCode="General">
                        <c:v>4.5999999999999996</c:v>
                      </c:pt>
                      <c:pt idx="3" formatCode="General">
                        <c:v>7.8</c:v>
                      </c:pt>
                    </c:numCache>
                  </c:numRef>
                </c:yVal>
                <c:smooth val="0"/>
                <c:extLst xmlns:c15="http://schemas.microsoft.com/office/drawing/2012/chart">
                  <c:ext xmlns:c16="http://schemas.microsoft.com/office/drawing/2014/chart" uri="{C3380CC4-5D6E-409C-BE32-E72D297353CC}">
                    <c16:uniqueId val="{00000009-A235-4A0E-91C2-C0355EF65C51}"/>
                  </c:ext>
                </c:extLst>
              </c15:ser>
            </c15:filteredScatterSeries>
            <c15:filteredScatterSeries>
              <c15:ser>
                <c:idx val="9"/>
                <c:order val="9"/>
                <c:tx>
                  <c:strRef>
                    <c:extLst xmlns:c15="http://schemas.microsoft.com/office/drawing/2012/chart">
                      <c:ext xmlns:c15="http://schemas.microsoft.com/office/drawing/2012/chart" uri="{02D57815-91ED-43cb-92C2-25804820EDAC}">
                        <c15:formulaRef>
                          <c15:sqref>'Effluent Conc Fig 3-9'!$A$23</c15:sqref>
                        </c15:formulaRef>
                      </c:ext>
                    </c:extLst>
                    <c:strCache>
                      <c:ptCount val="1"/>
                      <c:pt idx="0">
                        <c:v>Selenium</c:v>
                      </c:pt>
                    </c:strCache>
                  </c:strRef>
                </c:tx>
                <c:spPr>
                  <a:ln w="28575" cap="rnd">
                    <a:solidFill>
                      <a:schemeClr val="accent4">
                        <a:lumMod val="60000"/>
                      </a:schemeClr>
                    </a:solidFill>
                    <a:prstDash val="sysDot"/>
                    <a:round/>
                  </a:ln>
                  <a:effectLst/>
                </c:spPr>
                <c:marker>
                  <c:symbol val="square"/>
                  <c:size val="5"/>
                  <c:spPr>
                    <a:solidFill>
                      <a:schemeClr val="accent4">
                        <a:lumMod val="60000"/>
                      </a:schemeClr>
                    </a:solidFill>
                    <a:ln w="9525">
                      <a:solidFill>
                        <a:schemeClr val="accent4">
                          <a:lumMod val="60000"/>
                        </a:schemeClr>
                      </a:solidFill>
                    </a:ln>
                    <a:effectLst/>
                  </c:spPr>
                </c:marker>
                <c:xVal>
                  <c:numRef>
                    <c:extLst xmlns:c15="http://schemas.microsoft.com/office/drawing/2012/chart">
                      <c:ext xmlns:c15="http://schemas.microsoft.com/office/drawing/2012/chart" uri="{02D57815-91ED-43cb-92C2-25804820EDAC}">
                        <c15:formulaRef>
                          <c15:sqref>'Effluent Conc Fig 3-9'!$B$4:$E$4</c15:sqref>
                        </c15:formulaRef>
                      </c:ext>
                    </c:extLst>
                    <c:numCache>
                      <c:formatCode>d\-mmm</c:formatCode>
                      <c:ptCount val="4"/>
                      <c:pt idx="0">
                        <c:v>42223</c:v>
                      </c:pt>
                      <c:pt idx="1">
                        <c:v>42227</c:v>
                      </c:pt>
                      <c:pt idx="2">
                        <c:v>42231</c:v>
                      </c:pt>
                      <c:pt idx="3">
                        <c:v>42268</c:v>
                      </c:pt>
                    </c:numCache>
                  </c:numRef>
                </c:xVal>
                <c:yVal>
                  <c:numRef>
                    <c:extLst xmlns:c15="http://schemas.microsoft.com/office/drawing/2012/chart">
                      <c:ext xmlns:c15="http://schemas.microsoft.com/office/drawing/2012/chart" uri="{02D57815-91ED-43cb-92C2-25804820EDAC}">
                        <c15:formulaRef>
                          <c15:sqref>'Effluent Conc Fig 3-9'!$B$23:$E$23</c15:sqref>
                        </c15:formulaRef>
                      </c:ext>
                    </c:extLst>
                    <c:numCache>
                      <c:formatCode>0.000</c:formatCode>
                      <c:ptCount val="4"/>
                      <c:pt idx="0">
                        <c:v>2E-3</c:v>
                      </c:pt>
                      <c:pt idx="1">
                        <c:v>1.1999999999999999E-3</c:v>
                      </c:pt>
                      <c:pt idx="2">
                        <c:v>4.7000000000000002E-3</c:v>
                      </c:pt>
                      <c:pt idx="3">
                        <c:v>9.9000000000000008E-3</c:v>
                      </c:pt>
                    </c:numCache>
                  </c:numRef>
                </c:yVal>
                <c:smooth val="0"/>
                <c:extLst xmlns:c15="http://schemas.microsoft.com/office/drawing/2012/chart">
                  <c:ext xmlns:c16="http://schemas.microsoft.com/office/drawing/2014/chart" uri="{C3380CC4-5D6E-409C-BE32-E72D297353CC}">
                    <c16:uniqueId val="{0000000A-A235-4A0E-91C2-C0355EF65C51}"/>
                  </c:ext>
                </c:extLst>
              </c15:ser>
            </c15:filteredScatterSeries>
            <c15:filteredScatterSeries>
              <c15:ser>
                <c:idx val="2"/>
                <c:order val="10"/>
                <c:tx>
                  <c:strRef>
                    <c:extLst xmlns:c15="http://schemas.microsoft.com/office/drawing/2012/chart">
                      <c:ext xmlns:c15="http://schemas.microsoft.com/office/drawing/2012/chart" uri="{02D57815-91ED-43cb-92C2-25804820EDAC}">
                        <c15:formulaRef>
                          <c15:sqref>'Effluent Conc Fig 3-9'!$A$8</c15:sqref>
                        </c15:formulaRef>
                      </c:ext>
                    </c:extLst>
                    <c:strCache>
                      <c:ptCount val="1"/>
                      <c:pt idx="0">
                        <c:v>Barium</c:v>
                      </c:pt>
                    </c:strCache>
                  </c:strRef>
                </c:tx>
                <c:spPr>
                  <a:ln w="28575" cap="rnd">
                    <a:solidFill>
                      <a:schemeClr val="accent5">
                        <a:lumMod val="60000"/>
                        <a:lumOff val="40000"/>
                      </a:schemeClr>
                    </a:solidFill>
                    <a:prstDash val="sysDot"/>
                    <a:round/>
                  </a:ln>
                  <a:effectLst/>
                </c:spPr>
                <c:marker>
                  <c:symbol val="circle"/>
                  <c:size val="5"/>
                  <c:spPr>
                    <a:solidFill>
                      <a:schemeClr val="accent5">
                        <a:lumMod val="60000"/>
                        <a:lumOff val="40000"/>
                      </a:schemeClr>
                    </a:solidFill>
                    <a:ln w="9525">
                      <a:solidFill>
                        <a:srgbClr val="0033CC"/>
                      </a:solidFill>
                    </a:ln>
                    <a:effectLst/>
                  </c:spPr>
                </c:marker>
                <c:xVal>
                  <c:numRef>
                    <c:extLst xmlns:c15="http://schemas.microsoft.com/office/drawing/2012/chart">
                      <c:ext xmlns:c15="http://schemas.microsoft.com/office/drawing/2012/chart" uri="{02D57815-91ED-43cb-92C2-25804820EDAC}">
                        <c15:formulaRef>
                          <c15:sqref>'Effluent Conc Fig 3-9'!$B$4:$E$4</c15:sqref>
                        </c15:formulaRef>
                      </c:ext>
                    </c:extLst>
                    <c:numCache>
                      <c:formatCode>d\-mmm</c:formatCode>
                      <c:ptCount val="4"/>
                      <c:pt idx="0">
                        <c:v>42223</c:v>
                      </c:pt>
                      <c:pt idx="1">
                        <c:v>42227</c:v>
                      </c:pt>
                      <c:pt idx="2">
                        <c:v>42231</c:v>
                      </c:pt>
                      <c:pt idx="3">
                        <c:v>42268</c:v>
                      </c:pt>
                    </c:numCache>
                  </c:numRef>
                </c:xVal>
                <c:yVal>
                  <c:numRef>
                    <c:extLst xmlns:c15="http://schemas.microsoft.com/office/drawing/2012/chart">
                      <c:ext xmlns:c15="http://schemas.microsoft.com/office/drawing/2012/chart" uri="{02D57815-91ED-43cb-92C2-25804820EDAC}">
                        <c15:formulaRef>
                          <c15:sqref>'Effluent Conc Fig 3-9'!$B$8:$E$8</c15:sqref>
                        </c15:formulaRef>
                      </c:ext>
                    </c:extLst>
                    <c:numCache>
                      <c:formatCode>0.000</c:formatCode>
                      <c:ptCount val="4"/>
                      <c:pt idx="0">
                        <c:v>2.1000000000000001E-2</c:v>
                      </c:pt>
                      <c:pt idx="2">
                        <c:v>8.6E-3</c:v>
                      </c:pt>
                      <c:pt idx="3">
                        <c:v>1.6999999999999999E-3</c:v>
                      </c:pt>
                    </c:numCache>
                  </c:numRef>
                </c:yVal>
                <c:smooth val="0"/>
                <c:extLst xmlns:c15="http://schemas.microsoft.com/office/drawing/2012/chart">
                  <c:ext xmlns:c16="http://schemas.microsoft.com/office/drawing/2014/chart" uri="{C3380CC4-5D6E-409C-BE32-E72D297353CC}">
                    <c16:uniqueId val="{0000000B-A235-4A0E-91C2-C0355EF65C51}"/>
                  </c:ext>
                </c:extLst>
              </c15:ser>
            </c15:filteredScatterSeries>
          </c:ext>
        </c:extLst>
      </c:scatterChart>
      <c:valAx>
        <c:axId val="406827024"/>
        <c:scaling>
          <c:orientation val="minMax"/>
          <c:max val="42270"/>
          <c:min val="42221"/>
        </c:scaling>
        <c:delete val="0"/>
        <c:axPos val="b"/>
        <c:majorGridlines>
          <c:spPr>
            <a:ln w="9525" cap="flat" cmpd="sng" algn="ctr">
              <a:noFill/>
              <a:round/>
            </a:ln>
            <a:effectLst/>
          </c:spPr>
        </c:majorGridlines>
        <c:numFmt formatCode="d\-mmm" sourceLinked="1"/>
        <c:majorTickMark val="out"/>
        <c:minorTickMark val="out"/>
        <c:tickLblPos val="nextTo"/>
        <c:spPr>
          <a:noFill/>
          <a:ln w="9525" cap="flat" cmpd="sng" algn="ctr">
            <a:solidFill>
              <a:schemeClr val="tx1">
                <a:lumMod val="50000"/>
                <a:lumOff val="50000"/>
              </a:schemeClr>
            </a:solidFill>
            <a:round/>
          </a:ln>
          <a:effectLst/>
        </c:spPr>
        <c:txPr>
          <a:bodyPr rot="-5400000" spcFirstLastPara="1" vertOverflow="ellipsis" wrap="square" anchor="ctr" anchorCtr="1"/>
          <a:lstStyle/>
          <a:p>
            <a:pPr>
              <a:defRPr sz="1000" b="1" i="0" u="none" strike="noStrike" kern="1200" baseline="0">
                <a:solidFill>
                  <a:sysClr val="windowText" lastClr="000000"/>
                </a:solidFill>
                <a:latin typeface="Gill Sans MT" panose="020B0502020104020203" pitchFamily="34" charset="0"/>
                <a:ea typeface="+mn-ea"/>
                <a:cs typeface="+mn-cs"/>
              </a:defRPr>
            </a:pPr>
            <a:endParaRPr lang="en-US"/>
          </a:p>
        </c:txPr>
        <c:crossAx val="406827416"/>
        <c:crossesAt val="0"/>
        <c:crossBetween val="midCat"/>
        <c:majorUnit val="7"/>
        <c:minorUnit val="1"/>
      </c:valAx>
      <c:valAx>
        <c:axId val="406827416"/>
        <c:scaling>
          <c:orientation val="minMax"/>
        </c:scaling>
        <c:delete val="0"/>
        <c:axPos val="l"/>
        <c:majorGridlines>
          <c:spPr>
            <a:ln w="9525" cap="flat" cmpd="sng" algn="ctr">
              <a:solidFill>
                <a:schemeClr val="bg1">
                  <a:lumMod val="75000"/>
                </a:schemeClr>
              </a:solidFill>
              <a:round/>
            </a:ln>
            <a:effectLst/>
          </c:spPr>
        </c:majorGridlines>
        <c:minorGridlines>
          <c:spPr>
            <a:ln w="9525" cap="flat" cmpd="sng" algn="ctr">
              <a:noFill/>
              <a:round/>
            </a:ln>
            <a:effectLst/>
          </c:spPr>
        </c:min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r>
                  <a:rPr lang="en-US" sz="1100"/>
                  <a:t>Concentration (mg/L)</a:t>
                </a:r>
              </a:p>
              <a:p>
                <a:pPr>
                  <a:defRPr/>
                </a:pPr>
                <a:endParaRPr lang="en-US" sz="1100"/>
              </a:p>
            </c:rich>
          </c:tx>
          <c:layout>
            <c:manualLayout>
              <c:xMode val="edge"/>
              <c:yMode val="edge"/>
              <c:x val="2.1964071753247882E-2"/>
              <c:y val="0.2394666665053035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Gill Sans MT" panose="020B0502020104020203" pitchFamily="34" charset="0"/>
                  <a:ea typeface="+mn-ea"/>
                  <a:cs typeface="+mn-cs"/>
                </a:defRPr>
              </a:pPr>
              <a:endParaRPr lang="en-US"/>
            </a:p>
          </c:txPr>
        </c:title>
        <c:numFmt formatCode="0.00" sourceLinked="0"/>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Gill Sans MT" panose="020B0502020104020203" pitchFamily="34" charset="0"/>
                <a:ea typeface="+mn-ea"/>
                <a:cs typeface="+mn-cs"/>
              </a:defRPr>
            </a:pPr>
            <a:endParaRPr lang="en-US"/>
          </a:p>
        </c:txPr>
        <c:crossAx val="406827024"/>
        <c:crosses val="autoZero"/>
        <c:crossBetween val="midCat"/>
        <c:majorUnit val="5.000000000000001E-2"/>
      </c:valAx>
      <c:spPr>
        <a:noFill/>
        <a:ln>
          <a:solidFill>
            <a:schemeClr val="tx1">
              <a:lumMod val="50000"/>
              <a:lumOff val="50000"/>
            </a:schemeClr>
          </a:solidFill>
        </a:ln>
        <a:effectLst/>
      </c:spPr>
    </c:plotArea>
    <c:legend>
      <c:legendPos val="r"/>
      <c:layout>
        <c:manualLayout>
          <c:xMode val="edge"/>
          <c:yMode val="edge"/>
          <c:x val="0.74051384771639739"/>
          <c:y val="0.31104111311537608"/>
          <c:w val="0.22779835065121559"/>
          <c:h val="0.40414012535922361"/>
        </c:manualLayout>
      </c:layout>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Gill Sans MT" panose="020B0502020104020203" pitchFamily="34" charset="0"/>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Gill Sans MT" panose="020B0502020104020203" pitchFamily="34" charset="0"/>
        </a:defRPr>
      </a:pPr>
      <a:endParaRPr lang="en-US"/>
    </a:p>
  </c:txPr>
  <c:printSettings>
    <c:headerFooter/>
    <c:pageMargins b="0.75" l="0.7" r="0.7" t="0.75" header="0.3" footer="0.3"/>
    <c:pageSetup/>
  </c:printSettings>
  <c:userShapes r:id="rId3"/>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r>
              <a:rPr lang="en-US" sz="1050"/>
              <a:t>Dissolved:Total Ratio in Gold King Mine Pool</a:t>
            </a:r>
            <a:r>
              <a:rPr lang="en-US" sz="1050" baseline="0"/>
              <a:t>-Post Release</a:t>
            </a:r>
            <a:endParaRPr lang="en-US" sz="1050"/>
          </a:p>
        </c:rich>
      </c:tx>
      <c:layout>
        <c:manualLayout>
          <c:xMode val="edge"/>
          <c:yMode val="edge"/>
          <c:x val="8.7993590778373654E-2"/>
          <c:y val="2.7200494519603661E-2"/>
        </c:manualLayout>
      </c:layout>
      <c:overlay val="0"/>
      <c:spPr>
        <a:noFill/>
        <a:ln>
          <a:noFill/>
        </a:ln>
        <a:effectLst/>
      </c:spPr>
      <c:txPr>
        <a:bodyPr rot="0" spcFirstLastPara="1" vertOverflow="ellipsis" vert="horz" wrap="square" anchor="ctr" anchorCtr="1"/>
        <a:lstStyle/>
        <a:p>
          <a:pPr>
            <a:defRPr sz="105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57287799161779"/>
          <c:y val="0.11947121662663386"/>
          <c:w val="0.56943051126795896"/>
          <c:h val="0.73801668861655811"/>
        </c:manualLayout>
      </c:layout>
      <c:scatterChart>
        <c:scatterStyle val="smoothMarker"/>
        <c:varyColors val="0"/>
        <c:ser>
          <c:idx val="0"/>
          <c:order val="0"/>
          <c:tx>
            <c:strRef>
              <c:f>'Ratio Diss to Tot Fig 3-10 '!$B$35</c:f>
              <c:strCache>
                <c:ptCount val="1"/>
                <c:pt idx="0">
                  <c:v>Aluminum</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'Ratio Diss to Tot Fig 3-10 '!$C$34:$E$34</c:f>
              <c:numCache>
                <c:formatCode>d\-mmm</c:formatCode>
                <c:ptCount val="3"/>
                <c:pt idx="0">
                  <c:v>42589</c:v>
                </c:pt>
                <c:pt idx="1">
                  <c:v>42593</c:v>
                </c:pt>
                <c:pt idx="2">
                  <c:v>42597</c:v>
                </c:pt>
              </c:numCache>
            </c:numRef>
          </c:xVal>
          <c:yVal>
            <c:numRef>
              <c:f>'Ratio Diss to Tot Fig 3-10 '!$C$35:$E$35</c:f>
              <c:numCache>
                <c:formatCode>0.00</c:formatCode>
                <c:ptCount val="3"/>
                <c:pt idx="0">
                  <c:v>0.75</c:v>
                </c:pt>
                <c:pt idx="1">
                  <c:v>1.06</c:v>
                </c:pt>
                <c:pt idx="2">
                  <c:v>1.0303030303030303</c:v>
                </c:pt>
              </c:numCache>
            </c:numRef>
          </c:yVal>
          <c:smooth val="1"/>
          <c:extLst>
            <c:ext xmlns:c16="http://schemas.microsoft.com/office/drawing/2014/chart" uri="{C3380CC4-5D6E-409C-BE32-E72D297353CC}">
              <c16:uniqueId val="{00000000-26F5-4BAA-9F05-CCBD98B9906A}"/>
            </c:ext>
          </c:extLst>
        </c:ser>
        <c:ser>
          <c:idx val="1"/>
          <c:order val="1"/>
          <c:tx>
            <c:strRef>
              <c:f>'Ratio Diss to Tot Fig 3-10 '!$B$36</c:f>
              <c:strCache>
                <c:ptCount val="1"/>
                <c:pt idx="0">
                  <c:v>Arsenic</c:v>
                </c:pt>
              </c:strCache>
            </c:strRef>
          </c:tx>
          <c:spPr>
            <a:ln w="19050" cap="rnd">
              <a:solidFill>
                <a:schemeClr val="accent2"/>
              </a:solidFill>
              <a:round/>
            </a:ln>
            <a:effectLst/>
          </c:spPr>
          <c:marker>
            <c:symbol val="diamond"/>
            <c:size val="6"/>
            <c:spPr>
              <a:solidFill>
                <a:schemeClr val="accent2"/>
              </a:solidFill>
              <a:ln w="9525">
                <a:solidFill>
                  <a:schemeClr val="accent2"/>
                </a:solidFill>
              </a:ln>
              <a:effectLst/>
            </c:spPr>
          </c:marker>
          <c:xVal>
            <c:numRef>
              <c:f>'Ratio Diss to Tot Fig 3-10 '!$C$34:$E$34</c:f>
              <c:numCache>
                <c:formatCode>d\-mmm</c:formatCode>
                <c:ptCount val="3"/>
                <c:pt idx="0">
                  <c:v>42589</c:v>
                </c:pt>
                <c:pt idx="1">
                  <c:v>42593</c:v>
                </c:pt>
                <c:pt idx="2">
                  <c:v>42597</c:v>
                </c:pt>
              </c:numCache>
            </c:numRef>
          </c:xVal>
          <c:yVal>
            <c:numRef>
              <c:f>'Ratio Diss to Tot Fig 3-10 '!$C$36:$E$36</c:f>
              <c:numCache>
                <c:formatCode>0.00</c:formatCode>
                <c:ptCount val="3"/>
                <c:pt idx="0">
                  <c:v>1.0348837209302325E-2</c:v>
                </c:pt>
                <c:pt idx="1">
                  <c:v>0.43283582089552236</c:v>
                </c:pt>
                <c:pt idx="2">
                  <c:v>0.73333333333333328</c:v>
                </c:pt>
              </c:numCache>
            </c:numRef>
          </c:yVal>
          <c:smooth val="1"/>
          <c:extLst>
            <c:ext xmlns:c16="http://schemas.microsoft.com/office/drawing/2014/chart" uri="{C3380CC4-5D6E-409C-BE32-E72D297353CC}">
              <c16:uniqueId val="{00000001-26F5-4BAA-9F05-CCBD98B9906A}"/>
            </c:ext>
          </c:extLst>
        </c:ser>
        <c:ser>
          <c:idx val="2"/>
          <c:order val="2"/>
          <c:tx>
            <c:strRef>
              <c:f>'Ratio Diss to Tot Fig 3-10 '!$B$37</c:f>
              <c:strCache>
                <c:ptCount val="1"/>
                <c:pt idx="0">
                  <c:v>Beryllium</c:v>
                </c:pt>
              </c:strCache>
            </c:strRef>
          </c:tx>
          <c:spPr>
            <a:ln w="19050" cap="rnd">
              <a:solidFill>
                <a:schemeClr val="accent3"/>
              </a:solidFill>
              <a:round/>
            </a:ln>
            <a:effectLst/>
          </c:spPr>
          <c:marker>
            <c:symbol val="circle"/>
            <c:size val="5"/>
            <c:spPr>
              <a:solidFill>
                <a:schemeClr val="accent3"/>
              </a:solidFill>
              <a:ln w="9525">
                <a:solidFill>
                  <a:schemeClr val="accent3"/>
                </a:solidFill>
              </a:ln>
              <a:effectLst/>
            </c:spPr>
          </c:marker>
          <c:xVal>
            <c:numRef>
              <c:f>'Ratio Diss to Tot Fig 3-10 '!$C$34:$E$34</c:f>
              <c:numCache>
                <c:formatCode>d\-mmm</c:formatCode>
                <c:ptCount val="3"/>
                <c:pt idx="0">
                  <c:v>42589</c:v>
                </c:pt>
                <c:pt idx="1">
                  <c:v>42593</c:v>
                </c:pt>
                <c:pt idx="2">
                  <c:v>42597</c:v>
                </c:pt>
              </c:numCache>
            </c:numRef>
          </c:xVal>
          <c:yVal>
            <c:numRef>
              <c:f>'Ratio Diss to Tot Fig 3-10 '!$C$37:$E$37</c:f>
              <c:numCache>
                <c:formatCode>0.00</c:formatCode>
                <c:ptCount val="3"/>
                <c:pt idx="0">
                  <c:v>1</c:v>
                </c:pt>
                <c:pt idx="1">
                  <c:v>1</c:v>
                </c:pt>
                <c:pt idx="2">
                  <c:v>1</c:v>
                </c:pt>
              </c:numCache>
            </c:numRef>
          </c:yVal>
          <c:smooth val="1"/>
          <c:extLst>
            <c:ext xmlns:c16="http://schemas.microsoft.com/office/drawing/2014/chart" uri="{C3380CC4-5D6E-409C-BE32-E72D297353CC}">
              <c16:uniqueId val="{00000002-26F5-4BAA-9F05-CCBD98B9906A}"/>
            </c:ext>
          </c:extLst>
        </c:ser>
        <c:ser>
          <c:idx val="3"/>
          <c:order val="3"/>
          <c:tx>
            <c:strRef>
              <c:f>'Ratio Diss to Tot Fig 3-10 '!$B$38</c:f>
              <c:strCache>
                <c:ptCount val="1"/>
                <c:pt idx="0">
                  <c:v>Cadmium</c:v>
                </c:pt>
              </c:strCache>
            </c:strRef>
          </c:tx>
          <c:spPr>
            <a:ln w="19050" cap="rnd">
              <a:solidFill>
                <a:schemeClr val="accent4"/>
              </a:solidFill>
              <a:round/>
            </a:ln>
            <a:effectLst/>
          </c:spPr>
          <c:marker>
            <c:symbol val="circle"/>
            <c:size val="5"/>
            <c:spPr>
              <a:solidFill>
                <a:schemeClr val="accent4"/>
              </a:solidFill>
              <a:ln w="9525">
                <a:solidFill>
                  <a:schemeClr val="accent4"/>
                </a:solidFill>
              </a:ln>
              <a:effectLst/>
            </c:spPr>
          </c:marker>
          <c:xVal>
            <c:numRef>
              <c:f>'Ratio Diss to Tot Fig 3-10 '!$C$34:$E$34</c:f>
              <c:numCache>
                <c:formatCode>d\-mmm</c:formatCode>
                <c:ptCount val="3"/>
                <c:pt idx="0">
                  <c:v>42589</c:v>
                </c:pt>
                <c:pt idx="1">
                  <c:v>42593</c:v>
                </c:pt>
                <c:pt idx="2">
                  <c:v>42597</c:v>
                </c:pt>
              </c:numCache>
            </c:numRef>
          </c:xVal>
          <c:yVal>
            <c:numRef>
              <c:f>'Ratio Diss to Tot Fig 3-10 '!$C$38:$E$38</c:f>
              <c:numCache>
                <c:formatCode>0.00</c:formatCode>
                <c:ptCount val="3"/>
                <c:pt idx="0">
                  <c:v>0.89</c:v>
                </c:pt>
                <c:pt idx="1">
                  <c:v>0.84523809523809523</c:v>
                </c:pt>
                <c:pt idx="2">
                  <c:v>0.96470588235294119</c:v>
                </c:pt>
              </c:numCache>
            </c:numRef>
          </c:yVal>
          <c:smooth val="1"/>
          <c:extLst>
            <c:ext xmlns:c16="http://schemas.microsoft.com/office/drawing/2014/chart" uri="{C3380CC4-5D6E-409C-BE32-E72D297353CC}">
              <c16:uniqueId val="{00000003-26F5-4BAA-9F05-CCBD98B9906A}"/>
            </c:ext>
          </c:extLst>
        </c:ser>
        <c:ser>
          <c:idx val="4"/>
          <c:order val="4"/>
          <c:tx>
            <c:strRef>
              <c:f>'Ratio Diss to Tot Fig 3-10 '!$B$39</c:f>
              <c:strCache>
                <c:ptCount val="1"/>
                <c:pt idx="0">
                  <c:v>Cobalt</c:v>
                </c:pt>
              </c:strCache>
            </c:strRef>
          </c:tx>
          <c:spPr>
            <a:ln w="19050" cap="rnd">
              <a:solidFill>
                <a:schemeClr val="accent5"/>
              </a:solidFill>
              <a:round/>
            </a:ln>
            <a:effectLst/>
          </c:spPr>
          <c:marker>
            <c:symbol val="circle"/>
            <c:size val="5"/>
            <c:spPr>
              <a:solidFill>
                <a:schemeClr val="accent5"/>
              </a:solidFill>
              <a:ln w="9525">
                <a:solidFill>
                  <a:schemeClr val="accent5"/>
                </a:solidFill>
              </a:ln>
              <a:effectLst/>
            </c:spPr>
          </c:marker>
          <c:xVal>
            <c:numRef>
              <c:f>'Ratio Diss to Tot Fig 3-10 '!$C$34:$E$34</c:f>
              <c:numCache>
                <c:formatCode>d\-mmm</c:formatCode>
                <c:ptCount val="3"/>
                <c:pt idx="0">
                  <c:v>42589</c:v>
                </c:pt>
                <c:pt idx="1">
                  <c:v>42593</c:v>
                </c:pt>
                <c:pt idx="2">
                  <c:v>42597</c:v>
                </c:pt>
              </c:numCache>
            </c:numRef>
          </c:xVal>
          <c:yVal>
            <c:numRef>
              <c:f>'Ratio Diss to Tot Fig 3-10 '!$C$39:$E$39</c:f>
              <c:numCache>
                <c:formatCode>0.00</c:formatCode>
                <c:ptCount val="3"/>
                <c:pt idx="0">
                  <c:v>0.76923076923076927</c:v>
                </c:pt>
                <c:pt idx="1">
                  <c:v>1</c:v>
                </c:pt>
                <c:pt idx="2">
                  <c:v>1</c:v>
                </c:pt>
              </c:numCache>
            </c:numRef>
          </c:yVal>
          <c:smooth val="1"/>
          <c:extLst>
            <c:ext xmlns:c16="http://schemas.microsoft.com/office/drawing/2014/chart" uri="{C3380CC4-5D6E-409C-BE32-E72D297353CC}">
              <c16:uniqueId val="{00000004-26F5-4BAA-9F05-CCBD98B9906A}"/>
            </c:ext>
          </c:extLst>
        </c:ser>
        <c:ser>
          <c:idx val="5"/>
          <c:order val="5"/>
          <c:tx>
            <c:strRef>
              <c:f>'Ratio Diss to Tot Fig 3-10 '!$B$40</c:f>
              <c:strCache>
                <c:ptCount val="1"/>
                <c:pt idx="0">
                  <c:v>Copper</c:v>
                </c:pt>
              </c:strCache>
            </c:strRef>
          </c:tx>
          <c:spPr>
            <a:ln w="19050" cap="rnd">
              <a:solidFill>
                <a:schemeClr val="accent6"/>
              </a:solidFill>
              <a:round/>
            </a:ln>
            <a:effectLst/>
          </c:spPr>
          <c:marker>
            <c:symbol val="circle"/>
            <c:size val="5"/>
            <c:spPr>
              <a:solidFill>
                <a:schemeClr val="accent6"/>
              </a:solidFill>
              <a:ln w="9525">
                <a:solidFill>
                  <a:schemeClr val="accent6"/>
                </a:solidFill>
              </a:ln>
              <a:effectLst/>
            </c:spPr>
          </c:marker>
          <c:xVal>
            <c:numRef>
              <c:f>'Ratio Diss to Tot Fig 3-10 '!$C$34:$E$34</c:f>
              <c:numCache>
                <c:formatCode>d\-mmm</c:formatCode>
                <c:ptCount val="3"/>
                <c:pt idx="0">
                  <c:v>42589</c:v>
                </c:pt>
                <c:pt idx="1">
                  <c:v>42593</c:v>
                </c:pt>
                <c:pt idx="2">
                  <c:v>42597</c:v>
                </c:pt>
              </c:numCache>
            </c:numRef>
          </c:xVal>
          <c:yVal>
            <c:numRef>
              <c:f>'Ratio Diss to Tot Fig 3-10 '!$C$40:$E$40</c:f>
              <c:numCache>
                <c:formatCode>0.00</c:formatCode>
                <c:ptCount val="3"/>
                <c:pt idx="0">
                  <c:v>0.85</c:v>
                </c:pt>
                <c:pt idx="1">
                  <c:v>1</c:v>
                </c:pt>
                <c:pt idx="2">
                  <c:v>1</c:v>
                </c:pt>
              </c:numCache>
            </c:numRef>
          </c:yVal>
          <c:smooth val="1"/>
          <c:extLst>
            <c:ext xmlns:c16="http://schemas.microsoft.com/office/drawing/2014/chart" uri="{C3380CC4-5D6E-409C-BE32-E72D297353CC}">
              <c16:uniqueId val="{00000005-26F5-4BAA-9F05-CCBD98B9906A}"/>
            </c:ext>
          </c:extLst>
        </c:ser>
        <c:ser>
          <c:idx val="6"/>
          <c:order val="6"/>
          <c:tx>
            <c:strRef>
              <c:f>'Ratio Diss to Tot Fig 3-10 '!$B$41</c:f>
              <c:strCache>
                <c:ptCount val="1"/>
                <c:pt idx="0">
                  <c:v>Lead</c:v>
                </c:pt>
              </c:strCache>
            </c:strRef>
          </c:tx>
          <c:spPr>
            <a:ln w="19050" cap="rnd">
              <a:solidFill>
                <a:schemeClr val="accent1">
                  <a:lumMod val="60000"/>
                </a:schemeClr>
              </a:solidFill>
              <a:round/>
            </a:ln>
            <a:effectLst/>
          </c:spPr>
          <c:marker>
            <c:symbol val="triangle"/>
            <c:size val="5"/>
            <c:spPr>
              <a:solidFill>
                <a:schemeClr val="accent1">
                  <a:lumMod val="60000"/>
                </a:schemeClr>
              </a:solidFill>
              <a:ln w="9525">
                <a:solidFill>
                  <a:schemeClr val="accent1">
                    <a:lumMod val="60000"/>
                  </a:schemeClr>
                </a:solidFill>
              </a:ln>
              <a:effectLst/>
            </c:spPr>
          </c:marker>
          <c:xVal>
            <c:numRef>
              <c:f>'Ratio Diss to Tot Fig 3-10 '!$C$34:$E$34</c:f>
              <c:numCache>
                <c:formatCode>d\-mmm</c:formatCode>
                <c:ptCount val="3"/>
                <c:pt idx="0">
                  <c:v>42589</c:v>
                </c:pt>
                <c:pt idx="1">
                  <c:v>42593</c:v>
                </c:pt>
                <c:pt idx="2">
                  <c:v>42597</c:v>
                </c:pt>
              </c:numCache>
            </c:numRef>
          </c:xVal>
          <c:yVal>
            <c:numRef>
              <c:f>'Ratio Diss to Tot Fig 3-10 '!$C$41:$E$41</c:f>
              <c:numCache>
                <c:formatCode>0.00</c:formatCode>
                <c:ptCount val="3"/>
                <c:pt idx="0">
                  <c:v>5.8750000000000004E-2</c:v>
                </c:pt>
                <c:pt idx="1">
                  <c:v>0.85416666666666663</c:v>
                </c:pt>
                <c:pt idx="2">
                  <c:v>1</c:v>
                </c:pt>
              </c:numCache>
            </c:numRef>
          </c:yVal>
          <c:smooth val="1"/>
          <c:extLst>
            <c:ext xmlns:c16="http://schemas.microsoft.com/office/drawing/2014/chart" uri="{C3380CC4-5D6E-409C-BE32-E72D297353CC}">
              <c16:uniqueId val="{00000006-26F5-4BAA-9F05-CCBD98B9906A}"/>
            </c:ext>
          </c:extLst>
        </c:ser>
        <c:ser>
          <c:idx val="7"/>
          <c:order val="7"/>
          <c:tx>
            <c:strRef>
              <c:f>'Ratio Diss to Tot Fig 3-10 '!$B$42</c:f>
              <c:strCache>
                <c:ptCount val="1"/>
                <c:pt idx="0">
                  <c:v>Manganese</c:v>
                </c:pt>
              </c:strCache>
            </c:strRef>
          </c:tx>
          <c:spPr>
            <a:ln w="19050" cap="rnd">
              <a:solidFill>
                <a:schemeClr val="accent2">
                  <a:lumMod val="60000"/>
                </a:schemeClr>
              </a:solidFill>
              <a:round/>
            </a:ln>
            <a:effectLst/>
          </c:spPr>
          <c:marker>
            <c:symbol val="circle"/>
            <c:size val="5"/>
            <c:spPr>
              <a:solidFill>
                <a:schemeClr val="accent2">
                  <a:lumMod val="60000"/>
                </a:schemeClr>
              </a:solidFill>
              <a:ln w="9525">
                <a:solidFill>
                  <a:schemeClr val="accent2">
                    <a:lumMod val="60000"/>
                  </a:schemeClr>
                </a:solidFill>
              </a:ln>
              <a:effectLst/>
            </c:spPr>
          </c:marker>
          <c:xVal>
            <c:numRef>
              <c:f>'Ratio Diss to Tot Fig 3-10 '!$C$34:$E$34</c:f>
              <c:numCache>
                <c:formatCode>d\-mmm</c:formatCode>
                <c:ptCount val="3"/>
                <c:pt idx="0">
                  <c:v>42589</c:v>
                </c:pt>
                <c:pt idx="1">
                  <c:v>42593</c:v>
                </c:pt>
                <c:pt idx="2">
                  <c:v>42597</c:v>
                </c:pt>
              </c:numCache>
            </c:numRef>
          </c:xVal>
          <c:yVal>
            <c:numRef>
              <c:f>'Ratio Diss to Tot Fig 3-10 '!$C$42:$E$42</c:f>
              <c:numCache>
                <c:formatCode>0.00</c:formatCode>
                <c:ptCount val="3"/>
                <c:pt idx="0">
                  <c:v>0.76470588235294112</c:v>
                </c:pt>
                <c:pt idx="1">
                  <c:v>0.93939393939393945</c:v>
                </c:pt>
                <c:pt idx="2">
                  <c:v>1</c:v>
                </c:pt>
              </c:numCache>
            </c:numRef>
          </c:yVal>
          <c:smooth val="1"/>
          <c:extLst>
            <c:ext xmlns:c16="http://schemas.microsoft.com/office/drawing/2014/chart" uri="{C3380CC4-5D6E-409C-BE32-E72D297353CC}">
              <c16:uniqueId val="{00000007-26F5-4BAA-9F05-CCBD98B9906A}"/>
            </c:ext>
          </c:extLst>
        </c:ser>
        <c:ser>
          <c:idx val="8"/>
          <c:order val="8"/>
          <c:tx>
            <c:strRef>
              <c:f>'Ratio Diss to Tot Fig 3-10 '!$B$43</c:f>
              <c:strCache>
                <c:ptCount val="1"/>
                <c:pt idx="0">
                  <c:v>Nickel</c:v>
                </c:pt>
              </c:strCache>
            </c:strRef>
          </c:tx>
          <c:spPr>
            <a:ln w="19050"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xVal>
            <c:numRef>
              <c:f>'Ratio Diss to Tot Fig 3-10 '!$C$34:$E$34</c:f>
              <c:numCache>
                <c:formatCode>d\-mmm</c:formatCode>
                <c:ptCount val="3"/>
                <c:pt idx="0">
                  <c:v>42589</c:v>
                </c:pt>
                <c:pt idx="1">
                  <c:v>42593</c:v>
                </c:pt>
                <c:pt idx="2">
                  <c:v>42597</c:v>
                </c:pt>
              </c:numCache>
            </c:numRef>
          </c:xVal>
          <c:yVal>
            <c:numRef>
              <c:f>'Ratio Diss to Tot Fig 3-10 '!$C$43:$E$43</c:f>
              <c:numCache>
                <c:formatCode>0.00</c:formatCode>
                <c:ptCount val="3"/>
                <c:pt idx="0">
                  <c:v>0.8</c:v>
                </c:pt>
                <c:pt idx="1">
                  <c:v>0.95454545454545459</c:v>
                </c:pt>
                <c:pt idx="2">
                  <c:v>0.95833333333333337</c:v>
                </c:pt>
              </c:numCache>
            </c:numRef>
          </c:yVal>
          <c:smooth val="1"/>
          <c:extLst>
            <c:ext xmlns:c16="http://schemas.microsoft.com/office/drawing/2014/chart" uri="{C3380CC4-5D6E-409C-BE32-E72D297353CC}">
              <c16:uniqueId val="{00000008-26F5-4BAA-9F05-CCBD98B9906A}"/>
            </c:ext>
          </c:extLst>
        </c:ser>
        <c:ser>
          <c:idx val="9"/>
          <c:order val="9"/>
          <c:tx>
            <c:strRef>
              <c:f>'Ratio Diss to Tot Fig 3-10 '!$B$44</c:f>
              <c:strCache>
                <c:ptCount val="1"/>
                <c:pt idx="0">
                  <c:v>Selenium</c:v>
                </c:pt>
              </c:strCache>
            </c:strRef>
          </c:tx>
          <c:spPr>
            <a:ln w="19050"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xVal>
            <c:numRef>
              <c:f>'Ratio Diss to Tot Fig 3-10 '!$C$34:$E$34</c:f>
              <c:numCache>
                <c:formatCode>d\-mmm</c:formatCode>
                <c:ptCount val="3"/>
                <c:pt idx="0">
                  <c:v>42589</c:v>
                </c:pt>
                <c:pt idx="1">
                  <c:v>42593</c:v>
                </c:pt>
                <c:pt idx="2">
                  <c:v>42597</c:v>
                </c:pt>
              </c:numCache>
            </c:numRef>
          </c:xVal>
          <c:yVal>
            <c:numRef>
              <c:f>'Ratio Diss to Tot Fig 3-10 '!$C$44:$E$44</c:f>
              <c:numCache>
                <c:formatCode>0.00</c:formatCode>
                <c:ptCount val="3"/>
                <c:pt idx="0">
                  <c:v>0.245</c:v>
                </c:pt>
                <c:pt idx="1">
                  <c:v>0.45833333333333337</c:v>
                </c:pt>
                <c:pt idx="2">
                  <c:v>1.4242424242424243</c:v>
                </c:pt>
              </c:numCache>
            </c:numRef>
          </c:yVal>
          <c:smooth val="1"/>
          <c:extLst>
            <c:ext xmlns:c16="http://schemas.microsoft.com/office/drawing/2014/chart" uri="{C3380CC4-5D6E-409C-BE32-E72D297353CC}">
              <c16:uniqueId val="{00000009-26F5-4BAA-9F05-CCBD98B9906A}"/>
            </c:ext>
          </c:extLst>
        </c:ser>
        <c:ser>
          <c:idx val="10"/>
          <c:order val="10"/>
          <c:tx>
            <c:strRef>
              <c:f>'Ratio Diss to Tot Fig 3-10 '!$B$45</c:f>
              <c:strCache>
                <c:ptCount val="1"/>
                <c:pt idx="0">
                  <c:v>Zinc</c:v>
                </c:pt>
              </c:strCache>
            </c:strRef>
          </c:tx>
          <c:spPr>
            <a:ln w="19050" cap="rnd">
              <a:solidFill>
                <a:schemeClr val="accent5">
                  <a:lumMod val="60000"/>
                </a:schemeClr>
              </a:solidFill>
              <a:prstDash val="sysDash"/>
              <a:round/>
            </a:ln>
            <a:effectLst/>
          </c:spPr>
          <c:marker>
            <c:symbol val="triangle"/>
            <c:size val="5"/>
            <c:spPr>
              <a:solidFill>
                <a:schemeClr val="accent5">
                  <a:lumMod val="60000"/>
                </a:schemeClr>
              </a:solidFill>
              <a:ln w="9525">
                <a:solidFill>
                  <a:schemeClr val="accent5">
                    <a:lumMod val="60000"/>
                  </a:schemeClr>
                </a:solidFill>
                <a:prstDash val="sysDash"/>
              </a:ln>
              <a:effectLst/>
            </c:spPr>
          </c:marker>
          <c:xVal>
            <c:numRef>
              <c:f>'Ratio Diss to Tot Fig 3-10 '!$C$34:$E$34</c:f>
              <c:numCache>
                <c:formatCode>d\-mmm</c:formatCode>
                <c:ptCount val="3"/>
                <c:pt idx="0">
                  <c:v>42589</c:v>
                </c:pt>
                <c:pt idx="1">
                  <c:v>42593</c:v>
                </c:pt>
                <c:pt idx="2">
                  <c:v>42597</c:v>
                </c:pt>
              </c:numCache>
            </c:numRef>
          </c:xVal>
          <c:yVal>
            <c:numRef>
              <c:f>'Ratio Diss to Tot Fig 3-10 '!$C$45:$E$45</c:f>
              <c:numCache>
                <c:formatCode>0.00</c:formatCode>
                <c:ptCount val="3"/>
                <c:pt idx="0">
                  <c:v>0.8214285714285714</c:v>
                </c:pt>
                <c:pt idx="1">
                  <c:v>0.9642857142857143</c:v>
                </c:pt>
                <c:pt idx="2">
                  <c:v>1</c:v>
                </c:pt>
              </c:numCache>
            </c:numRef>
          </c:yVal>
          <c:smooth val="1"/>
          <c:extLst>
            <c:ext xmlns:c16="http://schemas.microsoft.com/office/drawing/2014/chart" uri="{C3380CC4-5D6E-409C-BE32-E72D297353CC}">
              <c16:uniqueId val="{0000000A-26F5-4BAA-9F05-CCBD98B9906A}"/>
            </c:ext>
          </c:extLst>
        </c:ser>
        <c:dLbls>
          <c:showLegendKey val="0"/>
          <c:showVal val="0"/>
          <c:showCatName val="0"/>
          <c:showSerName val="0"/>
          <c:showPercent val="0"/>
          <c:showBubbleSize val="0"/>
        </c:dLbls>
        <c:axId val="866525088"/>
        <c:axId val="866527048"/>
      </c:scatterChart>
      <c:valAx>
        <c:axId val="866525088"/>
        <c:scaling>
          <c:orientation val="minMax"/>
          <c:max val="42600"/>
          <c:min val="42587"/>
        </c:scaling>
        <c:delete val="0"/>
        <c:axPos val="b"/>
        <c:majorGridlines>
          <c:spPr>
            <a:ln w="9525" cap="flat" cmpd="sng" algn="ctr">
              <a:noFill/>
              <a:round/>
            </a:ln>
            <a:effectLst/>
          </c:spPr>
        </c:majorGridlines>
        <c:numFmt formatCode="d\-mmm" sourceLinked="1"/>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866527048"/>
        <c:crosses val="autoZero"/>
        <c:crossBetween val="midCat"/>
        <c:majorUnit val="3"/>
        <c:minorUnit val="1"/>
      </c:valAx>
      <c:valAx>
        <c:axId val="866527048"/>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Ratio Dissolved:Total Metals</a:t>
                </a:r>
                <a:r>
                  <a:rPr lang="en-US" sz="1100" baseline="0"/>
                  <a:t> </a:t>
                </a:r>
                <a:endParaRPr lang="en-US" sz="1100"/>
              </a:p>
            </c:rich>
          </c:tx>
          <c:layout>
            <c:manualLayout>
              <c:xMode val="edge"/>
              <c:yMode val="edge"/>
              <c:x val="9.6972958106888146E-3"/>
              <c:y val="0.2184665731138364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866525088"/>
        <c:crosses val="autoZero"/>
        <c:crossBetween val="midCat"/>
        <c:minorUnit val="0.1"/>
      </c:valAx>
      <c:spPr>
        <a:noFill/>
        <a:ln>
          <a:solidFill>
            <a:schemeClr val="tx1">
              <a:lumMod val="50000"/>
              <a:lumOff val="50000"/>
            </a:schemeClr>
          </a:solidFill>
        </a:ln>
        <a:effectLst/>
      </c:spPr>
    </c:plotArea>
    <c:legend>
      <c:legendPos val="b"/>
      <c:layout>
        <c:manualLayout>
          <c:xMode val="edge"/>
          <c:yMode val="edge"/>
          <c:x val="0.71798396498843109"/>
          <c:y val="0.18127631173350695"/>
          <c:w val="0.26253343616785946"/>
          <c:h val="0.60439225610333669"/>
        </c:manualLayout>
      </c:layout>
      <c:overlay val="0"/>
      <c:spPr>
        <a:noFill/>
        <a:ln>
          <a:noFill/>
        </a:ln>
        <a:effectLst/>
      </c:spPr>
      <c:txPr>
        <a:bodyPr rot="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200" b="1" i="0" u="none" strike="noStrike" kern="1200" spc="0" baseline="0">
                <a:solidFill>
                  <a:sysClr val="windowText" lastClr="000000"/>
                </a:solidFill>
                <a:latin typeface="+mn-lt"/>
                <a:ea typeface="+mn-ea"/>
                <a:cs typeface="+mn-cs"/>
              </a:defRPr>
            </a:pPr>
            <a:r>
              <a:rPr lang="en-US" sz="1200"/>
              <a:t>Dissolved Metals Concentrations of GKM MIne Pool Post-Release</a:t>
            </a:r>
          </a:p>
        </c:rich>
      </c:tx>
      <c:overlay val="0"/>
      <c:spPr>
        <a:noFill/>
        <a:ln>
          <a:noFill/>
        </a:ln>
        <a:effectLst/>
      </c:spPr>
      <c:txPr>
        <a:bodyPr rot="0" spcFirstLastPara="1" vertOverflow="ellipsis" vert="horz" wrap="square" anchor="ctr" anchorCtr="1"/>
        <a:lstStyle/>
        <a:p>
          <a:pPr algn="ctr" rtl="0">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1655295767967748"/>
          <c:y val="0.12307888597258676"/>
          <c:w val="0.86098660332083299"/>
          <c:h val="0.63345461661702862"/>
        </c:manualLayout>
      </c:layout>
      <c:barChart>
        <c:barDir val="col"/>
        <c:grouping val="clustered"/>
        <c:varyColors val="0"/>
        <c:ser>
          <c:idx val="0"/>
          <c:order val="0"/>
          <c:tx>
            <c:strRef>
              <c:f>'Effluent Conc Fig 3-11'!$E$26</c:f>
              <c:strCache>
                <c:ptCount val="1"/>
                <c:pt idx="0">
                  <c:v>7-Aug</c:v>
                </c:pt>
              </c:strCache>
            </c:strRef>
          </c:tx>
          <c:spPr>
            <a:solidFill>
              <a:schemeClr val="accent1">
                <a:lumMod val="75000"/>
              </a:schemeClr>
            </a:solidFill>
            <a:ln>
              <a:noFill/>
            </a:ln>
            <a:effectLst/>
          </c:spPr>
          <c:invertIfNegative val="0"/>
          <c:cat>
            <c:strRef>
              <c:extLst>
                <c:ext xmlns:c15="http://schemas.microsoft.com/office/drawing/2012/chart" uri="{02D57815-91ED-43cb-92C2-25804820EDAC}">
                  <c15:fullRef>
                    <c15:sqref>'Effluent Conc Fig 3-11'!$D$27:$D$31</c15:sqref>
                  </c15:fullRef>
                </c:ext>
              </c:extLst>
              <c:f>('Effluent Conc Fig 3-11'!$D$27,'Effluent Conc Fig 3-11'!$D$29:$D$31)</c:f>
              <c:strCache>
                <c:ptCount val="4"/>
                <c:pt idx="0">
                  <c:v>Aluminum</c:v>
                </c:pt>
                <c:pt idx="1">
                  <c:v>Manganese</c:v>
                </c:pt>
                <c:pt idx="2">
                  <c:v>Zinc</c:v>
                </c:pt>
                <c:pt idx="3">
                  <c:v>Copper</c:v>
                </c:pt>
              </c:strCache>
            </c:strRef>
          </c:cat>
          <c:val>
            <c:numRef>
              <c:extLst>
                <c:ext xmlns:c15="http://schemas.microsoft.com/office/drawing/2012/chart" uri="{02D57815-91ED-43cb-92C2-25804820EDAC}">
                  <c15:fullRef>
                    <c15:sqref>'Effluent Conc Fig 3-11'!$E$27:$E$31</c15:sqref>
                  </c15:fullRef>
                </c:ext>
              </c:extLst>
              <c:f>('Effluent Conc Fig 3-11'!$E$27,'Effluent Conc Fig 3-11'!$E$29:$E$31)</c:f>
              <c:numCache>
                <c:formatCode>0</c:formatCode>
                <c:ptCount val="4"/>
                <c:pt idx="0">
                  <c:v>24</c:v>
                </c:pt>
                <c:pt idx="1">
                  <c:v>29</c:v>
                </c:pt>
                <c:pt idx="2">
                  <c:v>23</c:v>
                </c:pt>
                <c:pt idx="3">
                  <c:v>5.0999999999999996</c:v>
                </c:pt>
              </c:numCache>
            </c:numRef>
          </c:val>
          <c:extLst>
            <c:ext xmlns:c16="http://schemas.microsoft.com/office/drawing/2014/chart" uri="{C3380CC4-5D6E-409C-BE32-E72D297353CC}">
              <c16:uniqueId val="{00000000-8E79-4DB4-9023-6C0386FBED89}"/>
            </c:ext>
          </c:extLst>
        </c:ser>
        <c:ser>
          <c:idx val="1"/>
          <c:order val="1"/>
          <c:tx>
            <c:strRef>
              <c:f>'Effluent Conc Fig 3-11'!$F$26</c:f>
              <c:strCache>
                <c:ptCount val="1"/>
                <c:pt idx="0">
                  <c:v>11-Aug</c:v>
                </c:pt>
              </c:strCache>
            </c:strRef>
          </c:tx>
          <c:spPr>
            <a:solidFill>
              <a:schemeClr val="accent1">
                <a:lumMod val="60000"/>
                <a:lumOff val="40000"/>
              </a:schemeClr>
            </a:solidFill>
            <a:ln>
              <a:noFill/>
            </a:ln>
            <a:effectLst/>
          </c:spPr>
          <c:invertIfNegative val="0"/>
          <c:cat>
            <c:strRef>
              <c:extLst>
                <c:ext xmlns:c15="http://schemas.microsoft.com/office/drawing/2012/chart" uri="{02D57815-91ED-43cb-92C2-25804820EDAC}">
                  <c15:fullRef>
                    <c15:sqref>'Effluent Conc Fig 3-11'!$D$27:$D$31</c15:sqref>
                  </c15:fullRef>
                </c:ext>
              </c:extLst>
              <c:f>('Effluent Conc Fig 3-11'!$D$27,'Effluent Conc Fig 3-11'!$D$29:$D$31)</c:f>
              <c:strCache>
                <c:ptCount val="4"/>
                <c:pt idx="0">
                  <c:v>Aluminum</c:v>
                </c:pt>
                <c:pt idx="1">
                  <c:v>Manganese</c:v>
                </c:pt>
                <c:pt idx="2">
                  <c:v>Zinc</c:v>
                </c:pt>
                <c:pt idx="3">
                  <c:v>Copper</c:v>
                </c:pt>
              </c:strCache>
            </c:strRef>
          </c:cat>
          <c:val>
            <c:numRef>
              <c:extLst>
                <c:ext xmlns:c15="http://schemas.microsoft.com/office/drawing/2012/chart" uri="{02D57815-91ED-43cb-92C2-25804820EDAC}">
                  <c15:fullRef>
                    <c15:sqref>'Effluent Conc Fig 3-11'!$F$27:$F$31</c15:sqref>
                  </c15:fullRef>
                </c:ext>
              </c:extLst>
              <c:f>('Effluent Conc Fig 3-11'!$F$27,'Effluent Conc Fig 3-11'!$F$29:$F$31)</c:f>
              <c:numCache>
                <c:formatCode>0</c:formatCode>
                <c:ptCount val="4"/>
                <c:pt idx="0">
                  <c:v>33</c:v>
                </c:pt>
                <c:pt idx="1">
                  <c:v>31</c:v>
                </c:pt>
                <c:pt idx="2">
                  <c:v>27</c:v>
                </c:pt>
                <c:pt idx="3">
                  <c:v>8.1</c:v>
                </c:pt>
              </c:numCache>
            </c:numRef>
          </c:val>
          <c:extLst>
            <c:ext xmlns:c16="http://schemas.microsoft.com/office/drawing/2014/chart" uri="{C3380CC4-5D6E-409C-BE32-E72D297353CC}">
              <c16:uniqueId val="{00000001-8E79-4DB4-9023-6C0386FBED89}"/>
            </c:ext>
          </c:extLst>
        </c:ser>
        <c:ser>
          <c:idx val="2"/>
          <c:order val="2"/>
          <c:tx>
            <c:strRef>
              <c:f>'Effluent Conc Fig 3-11'!$G$26</c:f>
              <c:strCache>
                <c:ptCount val="1"/>
                <c:pt idx="0">
                  <c:v>15-Aug</c:v>
                </c:pt>
              </c:strCache>
            </c:strRef>
          </c:tx>
          <c:spPr>
            <a:solidFill>
              <a:schemeClr val="accent1">
                <a:lumMod val="40000"/>
                <a:lumOff val="60000"/>
              </a:schemeClr>
            </a:solidFill>
            <a:ln>
              <a:noFill/>
            </a:ln>
            <a:effectLst/>
          </c:spPr>
          <c:invertIfNegative val="0"/>
          <c:cat>
            <c:strRef>
              <c:extLst>
                <c:ext xmlns:c15="http://schemas.microsoft.com/office/drawing/2012/chart" uri="{02D57815-91ED-43cb-92C2-25804820EDAC}">
                  <c15:fullRef>
                    <c15:sqref>'Effluent Conc Fig 3-11'!$D$27:$D$31</c15:sqref>
                  </c15:fullRef>
                </c:ext>
              </c:extLst>
              <c:f>('Effluent Conc Fig 3-11'!$D$27,'Effluent Conc Fig 3-11'!$D$29:$D$31)</c:f>
              <c:strCache>
                <c:ptCount val="4"/>
                <c:pt idx="0">
                  <c:v>Aluminum</c:v>
                </c:pt>
                <c:pt idx="1">
                  <c:v>Manganese</c:v>
                </c:pt>
                <c:pt idx="2">
                  <c:v>Zinc</c:v>
                </c:pt>
                <c:pt idx="3">
                  <c:v>Copper</c:v>
                </c:pt>
              </c:strCache>
            </c:strRef>
          </c:cat>
          <c:val>
            <c:numRef>
              <c:extLst>
                <c:ext xmlns:c15="http://schemas.microsoft.com/office/drawing/2012/chart" uri="{02D57815-91ED-43cb-92C2-25804820EDAC}">
                  <c15:fullRef>
                    <c15:sqref>'Effluent Conc Fig 3-11'!$G$27:$G$31</c15:sqref>
                  </c15:fullRef>
                </c:ext>
              </c:extLst>
              <c:f>('Effluent Conc Fig 3-11'!$G$27,'Effluent Conc Fig 3-11'!$G$29:$G$31)</c:f>
              <c:numCache>
                <c:formatCode>0</c:formatCode>
                <c:ptCount val="4"/>
                <c:pt idx="0">
                  <c:v>34</c:v>
                </c:pt>
                <c:pt idx="1">
                  <c:v>36</c:v>
                </c:pt>
                <c:pt idx="2">
                  <c:v>20</c:v>
                </c:pt>
                <c:pt idx="3">
                  <c:v>4.5999999999999996</c:v>
                </c:pt>
              </c:numCache>
            </c:numRef>
          </c:val>
          <c:extLst>
            <c:ext xmlns:c16="http://schemas.microsoft.com/office/drawing/2014/chart" uri="{C3380CC4-5D6E-409C-BE32-E72D297353CC}">
              <c16:uniqueId val="{00000002-8E79-4DB4-9023-6C0386FBED89}"/>
            </c:ext>
          </c:extLst>
        </c:ser>
        <c:ser>
          <c:idx val="3"/>
          <c:order val="3"/>
          <c:tx>
            <c:strRef>
              <c:f>'Effluent Conc Fig 3-11'!$H$26</c:f>
              <c:strCache>
                <c:ptCount val="1"/>
                <c:pt idx="0">
                  <c:v>Average </c:v>
                </c:pt>
              </c:strCache>
            </c:strRef>
          </c:tx>
          <c:spPr>
            <a:solidFill>
              <a:srgbClr val="D5782B"/>
            </a:solidFill>
            <a:ln>
              <a:noFill/>
            </a:ln>
            <a:effectLst/>
          </c:spPr>
          <c:invertIfNegative val="0"/>
          <c:cat>
            <c:strRef>
              <c:extLst>
                <c:ext xmlns:c15="http://schemas.microsoft.com/office/drawing/2012/chart" uri="{02D57815-91ED-43cb-92C2-25804820EDAC}">
                  <c15:fullRef>
                    <c15:sqref>'Effluent Conc Fig 3-11'!$D$27:$D$31</c15:sqref>
                  </c15:fullRef>
                </c:ext>
              </c:extLst>
              <c:f>('Effluent Conc Fig 3-11'!$D$27,'Effluent Conc Fig 3-11'!$D$29:$D$31)</c:f>
              <c:strCache>
                <c:ptCount val="4"/>
                <c:pt idx="0">
                  <c:v>Aluminum</c:v>
                </c:pt>
                <c:pt idx="1">
                  <c:v>Manganese</c:v>
                </c:pt>
                <c:pt idx="2">
                  <c:v>Zinc</c:v>
                </c:pt>
                <c:pt idx="3">
                  <c:v>Copper</c:v>
                </c:pt>
              </c:strCache>
            </c:strRef>
          </c:cat>
          <c:val>
            <c:numRef>
              <c:extLst>
                <c:ext xmlns:c15="http://schemas.microsoft.com/office/drawing/2012/chart" uri="{02D57815-91ED-43cb-92C2-25804820EDAC}">
                  <c15:fullRef>
                    <c15:sqref>'Effluent Conc Fig 3-11'!$H$27:$H$31</c15:sqref>
                  </c15:fullRef>
                </c:ext>
              </c:extLst>
              <c:f>('Effluent Conc Fig 3-11'!$H$27,'Effluent Conc Fig 3-11'!$H$29:$H$31)</c:f>
              <c:numCache>
                <c:formatCode>0</c:formatCode>
                <c:ptCount val="4"/>
                <c:pt idx="0">
                  <c:v>30.333333333333332</c:v>
                </c:pt>
                <c:pt idx="1">
                  <c:v>32</c:v>
                </c:pt>
                <c:pt idx="2">
                  <c:v>23.333333333333332</c:v>
                </c:pt>
                <c:pt idx="3">
                  <c:v>5.9333333333333327</c:v>
                </c:pt>
              </c:numCache>
            </c:numRef>
          </c:val>
          <c:extLst>
            <c:ext xmlns:c16="http://schemas.microsoft.com/office/drawing/2014/chart" uri="{C3380CC4-5D6E-409C-BE32-E72D297353CC}">
              <c16:uniqueId val="{00000003-8E79-4DB4-9023-6C0386FBED89}"/>
            </c:ext>
          </c:extLst>
        </c:ser>
        <c:ser>
          <c:idx val="4"/>
          <c:order val="4"/>
          <c:tx>
            <c:strRef>
              <c:f>'Effluent Conc Fig 3-11'!$I$26</c:f>
              <c:strCache>
                <c:ptCount val="1"/>
                <c:pt idx="0">
                  <c:v>Selected Effluent</c:v>
                </c:pt>
              </c:strCache>
            </c:strRef>
          </c:tx>
          <c:spPr>
            <a:solidFill>
              <a:schemeClr val="accent2">
                <a:lumMod val="60000"/>
                <a:lumOff val="40000"/>
              </a:schemeClr>
            </a:solidFill>
            <a:ln>
              <a:noFill/>
            </a:ln>
            <a:effectLst/>
          </c:spPr>
          <c:invertIfNegative val="0"/>
          <c:cat>
            <c:strRef>
              <c:extLst>
                <c:ext xmlns:c15="http://schemas.microsoft.com/office/drawing/2012/chart" uri="{02D57815-91ED-43cb-92C2-25804820EDAC}">
                  <c15:fullRef>
                    <c15:sqref>'Effluent Conc Fig 3-11'!$D$27:$D$31</c15:sqref>
                  </c15:fullRef>
                </c:ext>
              </c:extLst>
              <c:f>('Effluent Conc Fig 3-11'!$D$27,'Effluent Conc Fig 3-11'!$D$29:$D$31)</c:f>
              <c:strCache>
                <c:ptCount val="4"/>
                <c:pt idx="0">
                  <c:v>Aluminum</c:v>
                </c:pt>
                <c:pt idx="1">
                  <c:v>Manganese</c:v>
                </c:pt>
                <c:pt idx="2">
                  <c:v>Zinc</c:v>
                </c:pt>
                <c:pt idx="3">
                  <c:v>Copper</c:v>
                </c:pt>
              </c:strCache>
            </c:strRef>
          </c:cat>
          <c:val>
            <c:numRef>
              <c:extLst>
                <c:ext xmlns:c15="http://schemas.microsoft.com/office/drawing/2012/chart" uri="{02D57815-91ED-43cb-92C2-25804820EDAC}">
                  <c15:fullRef>
                    <c15:sqref>'Effluent Conc Fig 3-11'!$I$27:$I$31</c15:sqref>
                  </c15:fullRef>
                </c:ext>
              </c:extLst>
              <c:f>('Effluent Conc Fig 3-11'!$I$27,'Effluent Conc Fig 3-11'!$I$29:$I$31)</c:f>
              <c:numCache>
                <c:formatCode>0</c:formatCode>
                <c:ptCount val="4"/>
                <c:pt idx="0">
                  <c:v>33</c:v>
                </c:pt>
                <c:pt idx="1">
                  <c:v>36</c:v>
                </c:pt>
                <c:pt idx="2">
                  <c:v>26</c:v>
                </c:pt>
                <c:pt idx="3">
                  <c:v>7</c:v>
                </c:pt>
              </c:numCache>
            </c:numRef>
          </c:val>
          <c:extLst>
            <c:ext xmlns:c16="http://schemas.microsoft.com/office/drawing/2014/chart" uri="{C3380CC4-5D6E-409C-BE32-E72D297353CC}">
              <c16:uniqueId val="{00000004-8E79-4DB4-9023-6C0386FBED89}"/>
            </c:ext>
          </c:extLst>
        </c:ser>
        <c:ser>
          <c:idx val="5"/>
          <c:order val="5"/>
          <c:tx>
            <c:strRef>
              <c:f>'Effluent Conc Fig 3-11'!$J$6</c:f>
              <c:strCache>
                <c:ptCount val="1"/>
                <c:pt idx="0">
                  <c:v>Cement Creek  Aug 5 16:00</c:v>
                </c:pt>
              </c:strCache>
            </c:strRef>
          </c:tx>
          <c:spPr>
            <a:solidFill>
              <a:schemeClr val="tx1">
                <a:lumMod val="65000"/>
                <a:lumOff val="35000"/>
              </a:schemeClr>
            </a:solidFill>
            <a:ln>
              <a:noFill/>
            </a:ln>
            <a:effectLst/>
          </c:spPr>
          <c:invertIfNegative val="0"/>
          <c:cat>
            <c:strRef>
              <c:extLst>
                <c:ext xmlns:c15="http://schemas.microsoft.com/office/drawing/2012/chart" uri="{02D57815-91ED-43cb-92C2-25804820EDAC}">
                  <c15:fullRef>
                    <c15:sqref>'Effluent Conc Fig 3-11'!$D$27:$D$31</c15:sqref>
                  </c15:fullRef>
                </c:ext>
              </c:extLst>
              <c:f>('Effluent Conc Fig 3-11'!$D$27,'Effluent Conc Fig 3-11'!$D$29:$D$31)</c:f>
              <c:strCache>
                <c:ptCount val="4"/>
                <c:pt idx="0">
                  <c:v>Aluminum</c:v>
                </c:pt>
                <c:pt idx="1">
                  <c:v>Manganese</c:v>
                </c:pt>
                <c:pt idx="2">
                  <c:v>Zinc</c:v>
                </c:pt>
                <c:pt idx="3">
                  <c:v>Copper</c:v>
                </c:pt>
              </c:strCache>
            </c:strRef>
          </c:cat>
          <c:val>
            <c:numRef>
              <c:extLst>
                <c:ext xmlns:c15="http://schemas.microsoft.com/office/drawing/2012/chart" uri="{02D57815-91ED-43cb-92C2-25804820EDAC}">
                  <c15:fullRef>
                    <c15:sqref>'Effluent Conc Fig 3-11'!$J$27:$J$31</c15:sqref>
                  </c15:fullRef>
                </c:ext>
              </c:extLst>
              <c:f>('Effluent Conc Fig 3-11'!$J$27,'Effluent Conc Fig 3-11'!$J$29:$J$31)</c:f>
              <c:numCache>
                <c:formatCode>0</c:formatCode>
                <c:ptCount val="4"/>
                <c:pt idx="0">
                  <c:v>89.5</c:v>
                </c:pt>
                <c:pt idx="1">
                  <c:v>27.1</c:v>
                </c:pt>
                <c:pt idx="2">
                  <c:v>21.3</c:v>
                </c:pt>
                <c:pt idx="3">
                  <c:v>10.3</c:v>
                </c:pt>
              </c:numCache>
            </c:numRef>
          </c:val>
          <c:extLst>
            <c:ext xmlns:c16="http://schemas.microsoft.com/office/drawing/2014/chart" uri="{C3380CC4-5D6E-409C-BE32-E72D297353CC}">
              <c16:uniqueId val="{00000005-8E79-4DB4-9023-6C0386FBED89}"/>
            </c:ext>
          </c:extLst>
        </c:ser>
        <c:dLbls>
          <c:showLegendKey val="0"/>
          <c:showVal val="0"/>
          <c:showCatName val="0"/>
          <c:showSerName val="0"/>
          <c:showPercent val="0"/>
          <c:showBubbleSize val="0"/>
        </c:dLbls>
        <c:gapWidth val="219"/>
        <c:overlap val="-27"/>
        <c:axId val="866527440"/>
        <c:axId val="866521168"/>
      </c:barChart>
      <c:catAx>
        <c:axId val="8665274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866521168"/>
        <c:crosses val="autoZero"/>
        <c:auto val="1"/>
        <c:lblAlgn val="ctr"/>
        <c:lblOffset val="100"/>
        <c:noMultiLvlLbl val="0"/>
      </c:catAx>
      <c:valAx>
        <c:axId val="8665211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 Concentration (mg/L)</a:t>
                </a:r>
              </a:p>
            </c:rich>
          </c:tx>
          <c:layout>
            <c:manualLayout>
              <c:xMode val="edge"/>
              <c:yMode val="edge"/>
              <c:x val="2.7330458847155844E-2"/>
              <c:y val="0.2184450180706173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66527440"/>
        <c:crosses val="autoZero"/>
        <c:crossBetween val="between"/>
      </c:valAx>
      <c:spPr>
        <a:noFill/>
        <a:ln>
          <a:noFill/>
        </a:ln>
        <a:effectLst/>
      </c:spPr>
    </c:plotArea>
    <c:legend>
      <c:legendPos val="b"/>
      <c:layout>
        <c:manualLayout>
          <c:xMode val="edge"/>
          <c:yMode val="edge"/>
          <c:x val="0.13158658010764723"/>
          <c:y val="0.87085367344188591"/>
          <c:w val="0.69879618634786322"/>
          <c:h val="8.2661017226544162E-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spc="0" baseline="0">
                <a:solidFill>
                  <a:sysClr val="windowText" lastClr="000000"/>
                </a:solidFill>
                <a:latin typeface="+mn-lt"/>
                <a:ea typeface="+mn-ea"/>
                <a:cs typeface="+mn-cs"/>
              </a:defRPr>
            </a:pPr>
            <a:r>
              <a:rPr lang="en-US" sz="1200" b="1" i="0" baseline="0">
                <a:effectLst/>
              </a:rPr>
              <a:t>Dissolved Metals Concentrations of GKM MIne Pool Post-Release</a:t>
            </a:r>
            <a:endParaRPr lang="en-US" sz="12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1655295767967748"/>
          <c:y val="0.12307888597258676"/>
          <c:w val="0.86098660332083299"/>
          <c:h val="0.58539209103534739"/>
        </c:manualLayout>
      </c:layout>
      <c:barChart>
        <c:barDir val="col"/>
        <c:grouping val="clustered"/>
        <c:varyColors val="0"/>
        <c:ser>
          <c:idx val="0"/>
          <c:order val="0"/>
          <c:tx>
            <c:strRef>
              <c:f>'Effluent Conc Fig 3-11'!$E$35</c:f>
              <c:strCache>
                <c:ptCount val="1"/>
                <c:pt idx="0">
                  <c:v>7-Aug</c:v>
                </c:pt>
              </c:strCache>
            </c:strRef>
          </c:tx>
          <c:spPr>
            <a:solidFill>
              <a:schemeClr val="accent1">
                <a:lumMod val="75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3-11'!$E$36:$E$39</c:f>
              <c:numCache>
                <c:formatCode>General</c:formatCode>
                <c:ptCount val="4"/>
                <c:pt idx="0">
                  <c:v>8.8999999999999996E-2</c:v>
                </c:pt>
                <c:pt idx="1">
                  <c:v>5.6000000000000001E-2</c:v>
                </c:pt>
                <c:pt idx="2">
                  <c:v>9.4000000000000004E-3</c:v>
                </c:pt>
                <c:pt idx="3">
                  <c:v>8.9000000000000006E-4</c:v>
                </c:pt>
              </c:numCache>
            </c:numRef>
          </c:val>
          <c:extLst>
            <c:ext xmlns:c16="http://schemas.microsoft.com/office/drawing/2014/chart" uri="{C3380CC4-5D6E-409C-BE32-E72D297353CC}">
              <c16:uniqueId val="{00000000-35B3-4469-88A7-7517F2E513AE}"/>
            </c:ext>
          </c:extLst>
        </c:ser>
        <c:ser>
          <c:idx val="1"/>
          <c:order val="1"/>
          <c:tx>
            <c:strRef>
              <c:f>'Effluent Conc Fig 3-11'!$F$35</c:f>
              <c:strCache>
                <c:ptCount val="1"/>
                <c:pt idx="0">
                  <c:v>11-Aug</c:v>
                </c:pt>
              </c:strCache>
            </c:strRef>
          </c:tx>
          <c:spPr>
            <a:solidFill>
              <a:schemeClr val="accent1">
                <a:lumMod val="60000"/>
                <a:lumOff val="40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3-11'!$F$36:$F$39</c:f>
              <c:numCache>
                <c:formatCode>General</c:formatCode>
                <c:ptCount val="4"/>
                <c:pt idx="0">
                  <c:v>7.0999999999999994E-2</c:v>
                </c:pt>
                <c:pt idx="1">
                  <c:v>6.3E-2</c:v>
                </c:pt>
                <c:pt idx="2">
                  <c:v>4.1000000000000002E-2</c:v>
                </c:pt>
                <c:pt idx="3">
                  <c:v>2.9000000000000001E-2</c:v>
                </c:pt>
              </c:numCache>
            </c:numRef>
          </c:val>
          <c:extLst>
            <c:ext xmlns:c16="http://schemas.microsoft.com/office/drawing/2014/chart" uri="{C3380CC4-5D6E-409C-BE32-E72D297353CC}">
              <c16:uniqueId val="{00000001-35B3-4469-88A7-7517F2E513AE}"/>
            </c:ext>
          </c:extLst>
        </c:ser>
        <c:ser>
          <c:idx val="2"/>
          <c:order val="2"/>
          <c:tx>
            <c:strRef>
              <c:f>'Effluent Conc Fig 3-11'!$G$35</c:f>
              <c:strCache>
                <c:ptCount val="1"/>
                <c:pt idx="0">
                  <c:v>15-Aug</c:v>
                </c:pt>
              </c:strCache>
            </c:strRef>
          </c:tx>
          <c:spPr>
            <a:solidFill>
              <a:schemeClr val="accent1">
                <a:lumMod val="40000"/>
                <a:lumOff val="60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3-11'!$G$36:$G$39</c:f>
              <c:numCache>
                <c:formatCode>General</c:formatCode>
                <c:ptCount val="4"/>
                <c:pt idx="0">
                  <c:v>8.2000000000000003E-2</c:v>
                </c:pt>
                <c:pt idx="1">
                  <c:v>6.9000000000000006E-2</c:v>
                </c:pt>
                <c:pt idx="2">
                  <c:v>4.2000000000000003E-2</c:v>
                </c:pt>
                <c:pt idx="3">
                  <c:v>4.3999999999999997E-2</c:v>
                </c:pt>
              </c:numCache>
            </c:numRef>
          </c:val>
          <c:extLst>
            <c:ext xmlns:c16="http://schemas.microsoft.com/office/drawing/2014/chart" uri="{C3380CC4-5D6E-409C-BE32-E72D297353CC}">
              <c16:uniqueId val="{00000002-35B3-4469-88A7-7517F2E513AE}"/>
            </c:ext>
          </c:extLst>
        </c:ser>
        <c:ser>
          <c:idx val="3"/>
          <c:order val="3"/>
          <c:tx>
            <c:strRef>
              <c:f>'Effluent Conc Fig 3-11'!$H$35</c:f>
              <c:strCache>
                <c:ptCount val="1"/>
                <c:pt idx="0">
                  <c:v>Average</c:v>
                </c:pt>
              </c:strCache>
            </c:strRef>
          </c:tx>
          <c:spPr>
            <a:solidFill>
              <a:srgbClr val="D5782B"/>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3-11'!$H$36:$H$39</c:f>
              <c:numCache>
                <c:formatCode>0.000</c:formatCode>
                <c:ptCount val="4"/>
                <c:pt idx="0">
                  <c:v>8.0666666666666678E-2</c:v>
                </c:pt>
                <c:pt idx="1">
                  <c:v>6.2666666666666662E-2</c:v>
                </c:pt>
                <c:pt idx="2">
                  <c:v>3.0800000000000001E-2</c:v>
                </c:pt>
                <c:pt idx="3">
                  <c:v>2.4629999999999999E-2</c:v>
                </c:pt>
              </c:numCache>
            </c:numRef>
          </c:val>
          <c:extLst>
            <c:ext xmlns:c16="http://schemas.microsoft.com/office/drawing/2014/chart" uri="{C3380CC4-5D6E-409C-BE32-E72D297353CC}">
              <c16:uniqueId val="{00000003-35B3-4469-88A7-7517F2E513AE}"/>
            </c:ext>
          </c:extLst>
        </c:ser>
        <c:ser>
          <c:idx val="4"/>
          <c:order val="4"/>
          <c:tx>
            <c:strRef>
              <c:f>'Effluent Conc Fig 3-11'!$I$35</c:f>
              <c:strCache>
                <c:ptCount val="1"/>
                <c:pt idx="0">
                  <c:v>Selected</c:v>
                </c:pt>
              </c:strCache>
            </c:strRef>
          </c:tx>
          <c:spPr>
            <a:solidFill>
              <a:schemeClr val="accent2">
                <a:lumMod val="60000"/>
                <a:lumOff val="40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3-11'!$I$36:$I$39</c:f>
              <c:numCache>
                <c:formatCode>General</c:formatCode>
                <c:ptCount val="4"/>
                <c:pt idx="0">
                  <c:v>8.2000000000000003E-2</c:v>
                </c:pt>
                <c:pt idx="1">
                  <c:v>6.9000000000000006E-2</c:v>
                </c:pt>
                <c:pt idx="2">
                  <c:v>4.2000000000000003E-2</c:v>
                </c:pt>
                <c:pt idx="3">
                  <c:v>0.06</c:v>
                </c:pt>
              </c:numCache>
            </c:numRef>
          </c:val>
          <c:extLst>
            <c:ext xmlns:c16="http://schemas.microsoft.com/office/drawing/2014/chart" uri="{C3380CC4-5D6E-409C-BE32-E72D297353CC}">
              <c16:uniqueId val="{00000004-35B3-4469-88A7-7517F2E513AE}"/>
            </c:ext>
          </c:extLst>
        </c:ser>
        <c:ser>
          <c:idx val="5"/>
          <c:order val="5"/>
          <c:tx>
            <c:strRef>
              <c:f>'Effluent Conc Fig 3-11'!$J$35</c:f>
              <c:strCache>
                <c:ptCount val="1"/>
                <c:pt idx="0">
                  <c:v>Cement Creek Aug 5 16:00</c:v>
                </c:pt>
              </c:strCache>
            </c:strRef>
          </c:tx>
          <c:spPr>
            <a:solidFill>
              <a:schemeClr val="tx1">
                <a:lumMod val="65000"/>
                <a:lumOff val="35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3-11'!$J$36:$J$39</c:f>
              <c:numCache>
                <c:formatCode>General</c:formatCode>
                <c:ptCount val="4"/>
                <c:pt idx="0">
                  <c:v>0.08</c:v>
                </c:pt>
                <c:pt idx="1">
                  <c:v>7.4999999999999997E-2</c:v>
                </c:pt>
                <c:pt idx="2">
                  <c:v>0.126</c:v>
                </c:pt>
                <c:pt idx="3">
                  <c:v>2E-3</c:v>
                </c:pt>
              </c:numCache>
            </c:numRef>
          </c:val>
          <c:extLst>
            <c:ext xmlns:c16="http://schemas.microsoft.com/office/drawing/2014/chart" uri="{C3380CC4-5D6E-409C-BE32-E72D297353CC}">
              <c16:uniqueId val="{00000005-35B3-4469-88A7-7517F2E513AE}"/>
            </c:ext>
          </c:extLst>
        </c:ser>
        <c:dLbls>
          <c:showLegendKey val="0"/>
          <c:showVal val="0"/>
          <c:showCatName val="0"/>
          <c:showSerName val="0"/>
          <c:showPercent val="0"/>
          <c:showBubbleSize val="0"/>
        </c:dLbls>
        <c:gapWidth val="219"/>
        <c:overlap val="-27"/>
        <c:axId val="398280992"/>
        <c:axId val="398280600"/>
      </c:barChart>
      <c:catAx>
        <c:axId val="3982809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80600"/>
        <c:crosses val="autoZero"/>
        <c:auto val="1"/>
        <c:lblAlgn val="ctr"/>
        <c:lblOffset val="100"/>
        <c:noMultiLvlLbl val="0"/>
      </c:catAx>
      <c:valAx>
        <c:axId val="3982806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 Concentration (mg/L)</a:t>
                </a:r>
              </a:p>
            </c:rich>
          </c:tx>
          <c:layout>
            <c:manualLayout>
              <c:xMode val="edge"/>
              <c:yMode val="edge"/>
              <c:x val="1.7841839089754345E-2"/>
              <c:y val="0.1788315864450224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80992"/>
        <c:crosses val="autoZero"/>
        <c:crossBetween val="between"/>
      </c:valAx>
      <c:spPr>
        <a:noFill/>
        <a:ln>
          <a:noFill/>
        </a:ln>
        <a:effectLst/>
      </c:spPr>
    </c:plotArea>
    <c:legend>
      <c:legendPos val="b"/>
      <c:layout>
        <c:manualLayout>
          <c:xMode val="edge"/>
          <c:yMode val="edge"/>
          <c:x val="0.11706872327736954"/>
          <c:y val="0.81378802455569454"/>
          <c:w val="0.69879618634786322"/>
          <c:h val="8.266101722654416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BERYLLIUM</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25400" cap="rnd">
                <a:solidFill>
                  <a:schemeClr val="tx1">
                    <a:lumMod val="50000"/>
                    <a:lumOff val="50000"/>
                  </a:schemeClr>
                </a:solidFill>
                <a:prstDash val="sysDot"/>
              </a:ln>
              <a:effectLst/>
            </c:spPr>
            <c:trendlineType val="linear"/>
            <c:dispRSqr val="1"/>
            <c:dispEq val="1"/>
            <c:trendlineLbl>
              <c:layout>
                <c:manualLayout>
                  <c:x val="3.3643772620670476E-2"/>
                  <c:y val="0.34348669521250036"/>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0.0002x - 7.5212</a:t>
                    </a:r>
                    <a:br>
                      <a:rPr lang="en-US" sz="1050" baseline="0">
                        <a:latin typeface="Gill Sans MT" panose="020B0502020104020203" pitchFamily="34" charset="0"/>
                      </a:rPr>
                    </a:br>
                    <a:r>
                      <a:rPr lang="en-US" sz="1050" baseline="0">
                        <a:latin typeface="Gill Sans MT" panose="020B0502020104020203" pitchFamily="34" charset="0"/>
                      </a:rPr>
                      <a:t>R² = 0.64</a:t>
                    </a: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3-9'!$B$9:$E$9</c:f>
              <c:numCache>
                <c:formatCode>0.000</c:formatCode>
                <c:ptCount val="4"/>
                <c:pt idx="0">
                  <c:v>3.0999999999999999E-3</c:v>
                </c:pt>
                <c:pt idx="1">
                  <c:v>5.4999999999999997E-3</c:v>
                </c:pt>
                <c:pt idx="2" formatCode="General">
                  <c:v>1.0999999999999999E-2</c:v>
                </c:pt>
                <c:pt idx="3" formatCode="General">
                  <c:v>1.2999999999999999E-2</c:v>
                </c:pt>
              </c:numCache>
            </c:numRef>
          </c:yVal>
          <c:smooth val="0"/>
          <c:extLst>
            <c:ext xmlns:c16="http://schemas.microsoft.com/office/drawing/2014/chart" uri="{C3380CC4-5D6E-409C-BE32-E72D297353CC}">
              <c16:uniqueId val="{00000000-7561-4E61-85D0-F3F0A296D1DA}"/>
            </c:ext>
          </c:extLst>
        </c:ser>
        <c:dLbls>
          <c:showLegendKey val="0"/>
          <c:showVal val="0"/>
          <c:showCatName val="0"/>
          <c:showSerName val="0"/>
          <c:showPercent val="0"/>
          <c:showBubbleSize val="0"/>
        </c:dLbls>
        <c:axId val="398274328"/>
        <c:axId val="398280208"/>
      </c:scatterChart>
      <c:valAx>
        <c:axId val="398274328"/>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8280208"/>
        <c:crosses val="autoZero"/>
        <c:crossBetween val="midCat"/>
        <c:majorUnit val="7"/>
      </c:valAx>
      <c:valAx>
        <c:axId val="3982802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8274328"/>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landscape"/>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200" b="1" i="0" u="none" strike="noStrike" kern="1200" spc="0" baseline="0">
                <a:solidFill>
                  <a:sysClr val="windowText" lastClr="000000"/>
                </a:solidFill>
                <a:latin typeface="+mn-lt"/>
                <a:ea typeface="+mn-ea"/>
                <a:cs typeface="+mn-cs"/>
              </a:defRPr>
            </a:pPr>
            <a:r>
              <a:rPr lang="en-US" sz="1200"/>
              <a:t>Concentration of GKM Effluent </a:t>
            </a:r>
          </a:p>
        </c:rich>
      </c:tx>
      <c:overlay val="0"/>
      <c:spPr>
        <a:noFill/>
        <a:ln>
          <a:noFill/>
        </a:ln>
        <a:effectLst/>
      </c:spPr>
      <c:txPr>
        <a:bodyPr rot="0" spcFirstLastPara="1" vertOverflow="ellipsis" vert="horz" wrap="square" anchor="ctr" anchorCtr="1"/>
        <a:lstStyle/>
        <a:p>
          <a:pPr algn="ctr" rtl="0">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1655295767967748"/>
          <c:y val="0.12307888597258676"/>
          <c:w val="0.86098660332083299"/>
          <c:h val="0.64229913969087193"/>
        </c:manualLayout>
      </c:layout>
      <c:barChart>
        <c:barDir val="col"/>
        <c:grouping val="clustered"/>
        <c:varyColors val="0"/>
        <c:ser>
          <c:idx val="0"/>
          <c:order val="0"/>
          <c:tx>
            <c:strRef>
              <c:f>'Effluent Conc Fig 3-11'!$E$26</c:f>
              <c:strCache>
                <c:ptCount val="1"/>
                <c:pt idx="0">
                  <c:v>7-Aug</c:v>
                </c:pt>
              </c:strCache>
            </c:strRef>
          </c:tx>
          <c:spPr>
            <a:solidFill>
              <a:schemeClr val="accent1">
                <a:lumMod val="75000"/>
              </a:schemeClr>
            </a:solidFill>
            <a:ln>
              <a:noFill/>
            </a:ln>
            <a:effectLst/>
          </c:spPr>
          <c:invertIfNegative val="0"/>
          <c:cat>
            <c:strRef>
              <c:f>'Effluent Conc Fig 3-11'!$D$27:$D$31</c:f>
              <c:strCache>
                <c:ptCount val="5"/>
                <c:pt idx="0">
                  <c:v>Aluminum</c:v>
                </c:pt>
                <c:pt idx="1">
                  <c:v>Iron</c:v>
                </c:pt>
                <c:pt idx="2">
                  <c:v>Manganese</c:v>
                </c:pt>
                <c:pt idx="3">
                  <c:v>Zinc</c:v>
                </c:pt>
                <c:pt idx="4">
                  <c:v>Copper</c:v>
                </c:pt>
              </c:strCache>
            </c:strRef>
          </c:cat>
          <c:val>
            <c:numRef>
              <c:f>'Effluent Conc Fig 3-11'!$E$27:$E$31</c:f>
              <c:numCache>
                <c:formatCode>0</c:formatCode>
                <c:ptCount val="5"/>
                <c:pt idx="0">
                  <c:v>24</c:v>
                </c:pt>
                <c:pt idx="1">
                  <c:v>83</c:v>
                </c:pt>
                <c:pt idx="2">
                  <c:v>29</c:v>
                </c:pt>
                <c:pt idx="3">
                  <c:v>23</c:v>
                </c:pt>
                <c:pt idx="4">
                  <c:v>5.0999999999999996</c:v>
                </c:pt>
              </c:numCache>
            </c:numRef>
          </c:val>
          <c:extLst>
            <c:ext xmlns:c16="http://schemas.microsoft.com/office/drawing/2014/chart" uri="{C3380CC4-5D6E-409C-BE32-E72D297353CC}">
              <c16:uniqueId val="{00000000-5A4F-4ECF-8C36-A5E7D6A61679}"/>
            </c:ext>
          </c:extLst>
        </c:ser>
        <c:ser>
          <c:idx val="1"/>
          <c:order val="1"/>
          <c:tx>
            <c:strRef>
              <c:f>'Effluent Conc Fig 3-11'!$F$26</c:f>
              <c:strCache>
                <c:ptCount val="1"/>
                <c:pt idx="0">
                  <c:v>11-Aug</c:v>
                </c:pt>
              </c:strCache>
            </c:strRef>
          </c:tx>
          <c:spPr>
            <a:solidFill>
              <a:schemeClr val="accent1">
                <a:lumMod val="60000"/>
                <a:lumOff val="40000"/>
              </a:schemeClr>
            </a:solidFill>
            <a:ln>
              <a:noFill/>
            </a:ln>
            <a:effectLst/>
          </c:spPr>
          <c:invertIfNegative val="0"/>
          <c:cat>
            <c:strRef>
              <c:f>'Effluent Conc Fig 3-11'!$D$27:$D$31</c:f>
              <c:strCache>
                <c:ptCount val="5"/>
                <c:pt idx="0">
                  <c:v>Aluminum</c:v>
                </c:pt>
                <c:pt idx="1">
                  <c:v>Iron</c:v>
                </c:pt>
                <c:pt idx="2">
                  <c:v>Manganese</c:v>
                </c:pt>
                <c:pt idx="3">
                  <c:v>Zinc</c:v>
                </c:pt>
                <c:pt idx="4">
                  <c:v>Copper</c:v>
                </c:pt>
              </c:strCache>
            </c:strRef>
          </c:cat>
          <c:val>
            <c:numRef>
              <c:f>'Effluent Conc Fig 3-11'!$F$27:$F$31</c:f>
              <c:numCache>
                <c:formatCode>0</c:formatCode>
                <c:ptCount val="5"/>
                <c:pt idx="0">
                  <c:v>33</c:v>
                </c:pt>
                <c:pt idx="2">
                  <c:v>31</c:v>
                </c:pt>
                <c:pt idx="3">
                  <c:v>27</c:v>
                </c:pt>
                <c:pt idx="4">
                  <c:v>8.1</c:v>
                </c:pt>
              </c:numCache>
            </c:numRef>
          </c:val>
          <c:extLst>
            <c:ext xmlns:c16="http://schemas.microsoft.com/office/drawing/2014/chart" uri="{C3380CC4-5D6E-409C-BE32-E72D297353CC}">
              <c16:uniqueId val="{00000001-5A4F-4ECF-8C36-A5E7D6A61679}"/>
            </c:ext>
          </c:extLst>
        </c:ser>
        <c:ser>
          <c:idx val="2"/>
          <c:order val="2"/>
          <c:tx>
            <c:strRef>
              <c:f>'Effluent Conc Fig 3-11'!$G$26</c:f>
              <c:strCache>
                <c:ptCount val="1"/>
                <c:pt idx="0">
                  <c:v>15-Aug</c:v>
                </c:pt>
              </c:strCache>
            </c:strRef>
          </c:tx>
          <c:spPr>
            <a:solidFill>
              <a:schemeClr val="accent1">
                <a:lumMod val="40000"/>
                <a:lumOff val="60000"/>
              </a:schemeClr>
            </a:solidFill>
            <a:ln>
              <a:noFill/>
            </a:ln>
            <a:effectLst/>
          </c:spPr>
          <c:invertIfNegative val="0"/>
          <c:cat>
            <c:strRef>
              <c:f>'Effluent Conc Fig 3-11'!$D$27:$D$31</c:f>
              <c:strCache>
                <c:ptCount val="5"/>
                <c:pt idx="0">
                  <c:v>Aluminum</c:v>
                </c:pt>
                <c:pt idx="1">
                  <c:v>Iron</c:v>
                </c:pt>
                <c:pt idx="2">
                  <c:v>Manganese</c:v>
                </c:pt>
                <c:pt idx="3">
                  <c:v>Zinc</c:v>
                </c:pt>
                <c:pt idx="4">
                  <c:v>Copper</c:v>
                </c:pt>
              </c:strCache>
            </c:strRef>
          </c:cat>
          <c:val>
            <c:numRef>
              <c:f>'Effluent Conc Fig 3-11'!$G$27:$G$31</c:f>
              <c:numCache>
                <c:formatCode>0</c:formatCode>
                <c:ptCount val="5"/>
                <c:pt idx="0">
                  <c:v>34</c:v>
                </c:pt>
                <c:pt idx="1">
                  <c:v>150</c:v>
                </c:pt>
                <c:pt idx="2">
                  <c:v>36</c:v>
                </c:pt>
                <c:pt idx="3">
                  <c:v>20</c:v>
                </c:pt>
                <c:pt idx="4">
                  <c:v>4.5999999999999996</c:v>
                </c:pt>
              </c:numCache>
            </c:numRef>
          </c:val>
          <c:extLst>
            <c:ext xmlns:c16="http://schemas.microsoft.com/office/drawing/2014/chart" uri="{C3380CC4-5D6E-409C-BE32-E72D297353CC}">
              <c16:uniqueId val="{00000002-5A4F-4ECF-8C36-A5E7D6A61679}"/>
            </c:ext>
          </c:extLst>
        </c:ser>
        <c:ser>
          <c:idx val="3"/>
          <c:order val="3"/>
          <c:tx>
            <c:strRef>
              <c:f>'Effluent Conc Fig 3-11'!$H$26</c:f>
              <c:strCache>
                <c:ptCount val="1"/>
                <c:pt idx="0">
                  <c:v>Average </c:v>
                </c:pt>
              </c:strCache>
            </c:strRef>
          </c:tx>
          <c:spPr>
            <a:solidFill>
              <a:srgbClr val="D5782B"/>
            </a:solidFill>
            <a:ln>
              <a:noFill/>
            </a:ln>
            <a:effectLst/>
          </c:spPr>
          <c:invertIfNegative val="0"/>
          <c:cat>
            <c:strRef>
              <c:f>'Effluent Conc Fig 3-11'!$D$27:$D$31</c:f>
              <c:strCache>
                <c:ptCount val="5"/>
                <c:pt idx="0">
                  <c:v>Aluminum</c:v>
                </c:pt>
                <c:pt idx="1">
                  <c:v>Iron</c:v>
                </c:pt>
                <c:pt idx="2">
                  <c:v>Manganese</c:v>
                </c:pt>
                <c:pt idx="3">
                  <c:v>Zinc</c:v>
                </c:pt>
                <c:pt idx="4">
                  <c:v>Copper</c:v>
                </c:pt>
              </c:strCache>
            </c:strRef>
          </c:cat>
          <c:val>
            <c:numRef>
              <c:f>'Effluent Conc Fig 3-11'!$H$27:$H$31</c:f>
              <c:numCache>
                <c:formatCode>0</c:formatCode>
                <c:ptCount val="5"/>
                <c:pt idx="0">
                  <c:v>30.333333333333332</c:v>
                </c:pt>
                <c:pt idx="1">
                  <c:v>116.5</c:v>
                </c:pt>
                <c:pt idx="2">
                  <c:v>32</c:v>
                </c:pt>
                <c:pt idx="3">
                  <c:v>23.333333333333332</c:v>
                </c:pt>
                <c:pt idx="4">
                  <c:v>5.9333333333333327</c:v>
                </c:pt>
              </c:numCache>
            </c:numRef>
          </c:val>
          <c:extLst>
            <c:ext xmlns:c16="http://schemas.microsoft.com/office/drawing/2014/chart" uri="{C3380CC4-5D6E-409C-BE32-E72D297353CC}">
              <c16:uniqueId val="{00000003-5A4F-4ECF-8C36-A5E7D6A61679}"/>
            </c:ext>
          </c:extLst>
        </c:ser>
        <c:ser>
          <c:idx val="4"/>
          <c:order val="4"/>
          <c:tx>
            <c:strRef>
              <c:f>'Effluent Conc Fig 3-11'!$I$26</c:f>
              <c:strCache>
                <c:ptCount val="1"/>
                <c:pt idx="0">
                  <c:v>Selected Effluent</c:v>
                </c:pt>
              </c:strCache>
            </c:strRef>
          </c:tx>
          <c:spPr>
            <a:solidFill>
              <a:schemeClr val="accent2">
                <a:lumMod val="60000"/>
                <a:lumOff val="40000"/>
              </a:schemeClr>
            </a:solidFill>
            <a:ln>
              <a:noFill/>
            </a:ln>
            <a:effectLst/>
          </c:spPr>
          <c:invertIfNegative val="0"/>
          <c:cat>
            <c:strRef>
              <c:f>'Effluent Conc Fig 3-11'!$D$27:$D$31</c:f>
              <c:strCache>
                <c:ptCount val="5"/>
                <c:pt idx="0">
                  <c:v>Aluminum</c:v>
                </c:pt>
                <c:pt idx="1">
                  <c:v>Iron</c:v>
                </c:pt>
                <c:pt idx="2">
                  <c:v>Manganese</c:v>
                </c:pt>
                <c:pt idx="3">
                  <c:v>Zinc</c:v>
                </c:pt>
                <c:pt idx="4">
                  <c:v>Copper</c:v>
                </c:pt>
              </c:strCache>
            </c:strRef>
          </c:cat>
          <c:val>
            <c:numRef>
              <c:f>'Effluent Conc Fig 3-11'!$I$27:$I$31</c:f>
              <c:numCache>
                <c:formatCode>0</c:formatCode>
                <c:ptCount val="5"/>
                <c:pt idx="0">
                  <c:v>33</c:v>
                </c:pt>
                <c:pt idx="1">
                  <c:v>150</c:v>
                </c:pt>
                <c:pt idx="2">
                  <c:v>36</c:v>
                </c:pt>
                <c:pt idx="3">
                  <c:v>26</c:v>
                </c:pt>
                <c:pt idx="4">
                  <c:v>7</c:v>
                </c:pt>
              </c:numCache>
            </c:numRef>
          </c:val>
          <c:extLst>
            <c:ext xmlns:c16="http://schemas.microsoft.com/office/drawing/2014/chart" uri="{C3380CC4-5D6E-409C-BE32-E72D297353CC}">
              <c16:uniqueId val="{00000004-5A4F-4ECF-8C36-A5E7D6A61679}"/>
            </c:ext>
          </c:extLst>
        </c:ser>
        <c:ser>
          <c:idx val="5"/>
          <c:order val="5"/>
          <c:tx>
            <c:strRef>
              <c:f>'Effluent Conc Fig 3-11'!$J$6</c:f>
              <c:strCache>
                <c:ptCount val="1"/>
                <c:pt idx="0">
                  <c:v>Cement Creek  Aug 5 16:00</c:v>
                </c:pt>
              </c:strCache>
            </c:strRef>
          </c:tx>
          <c:spPr>
            <a:solidFill>
              <a:schemeClr val="tx1">
                <a:lumMod val="65000"/>
                <a:lumOff val="35000"/>
              </a:schemeClr>
            </a:solidFill>
            <a:ln>
              <a:noFill/>
            </a:ln>
            <a:effectLst/>
          </c:spPr>
          <c:invertIfNegative val="0"/>
          <c:cat>
            <c:strRef>
              <c:f>'Effluent Conc Fig 3-11'!$D$27:$D$31</c:f>
              <c:strCache>
                <c:ptCount val="5"/>
                <c:pt idx="0">
                  <c:v>Aluminum</c:v>
                </c:pt>
                <c:pt idx="1">
                  <c:v>Iron</c:v>
                </c:pt>
                <c:pt idx="2">
                  <c:v>Manganese</c:v>
                </c:pt>
                <c:pt idx="3">
                  <c:v>Zinc</c:v>
                </c:pt>
                <c:pt idx="4">
                  <c:v>Copper</c:v>
                </c:pt>
              </c:strCache>
            </c:strRef>
          </c:cat>
          <c:val>
            <c:numRef>
              <c:f>'Effluent Conc Fig 3-11'!$J$27:$J$31</c:f>
              <c:numCache>
                <c:formatCode>0</c:formatCode>
                <c:ptCount val="5"/>
                <c:pt idx="0">
                  <c:v>89.5</c:v>
                </c:pt>
                <c:pt idx="1">
                  <c:v>34.799999999999997</c:v>
                </c:pt>
                <c:pt idx="2">
                  <c:v>27.1</c:v>
                </c:pt>
                <c:pt idx="3">
                  <c:v>21.3</c:v>
                </c:pt>
                <c:pt idx="4">
                  <c:v>10.3</c:v>
                </c:pt>
              </c:numCache>
            </c:numRef>
          </c:val>
          <c:extLst>
            <c:ext xmlns:c16="http://schemas.microsoft.com/office/drawing/2014/chart" uri="{C3380CC4-5D6E-409C-BE32-E72D297353CC}">
              <c16:uniqueId val="{00000005-5A4F-4ECF-8C36-A5E7D6A61679}"/>
            </c:ext>
          </c:extLst>
        </c:ser>
        <c:dLbls>
          <c:showLegendKey val="0"/>
          <c:showVal val="0"/>
          <c:showCatName val="0"/>
          <c:showSerName val="0"/>
          <c:showPercent val="0"/>
          <c:showBubbleSize val="0"/>
        </c:dLbls>
        <c:gapWidth val="219"/>
        <c:overlap val="-27"/>
        <c:axId val="398277856"/>
        <c:axId val="398277464"/>
        <c:extLst/>
      </c:barChart>
      <c:catAx>
        <c:axId val="3982778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77464"/>
        <c:crosses val="autoZero"/>
        <c:auto val="1"/>
        <c:lblAlgn val="ctr"/>
        <c:lblOffset val="100"/>
        <c:noMultiLvlLbl val="0"/>
      </c:catAx>
      <c:valAx>
        <c:axId val="3982774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Concentration (mg/L)</a:t>
                </a:r>
              </a:p>
            </c:rich>
          </c:tx>
          <c:layout>
            <c:manualLayout>
              <c:xMode val="edge"/>
              <c:yMode val="edge"/>
              <c:x val="1.099548620740937E-2"/>
              <c:y val="0.19550415573053367"/>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77856"/>
        <c:crosses val="autoZero"/>
        <c:crossBetween val="between"/>
        <c:minorUnit val="10"/>
      </c:valAx>
      <c:spPr>
        <a:noFill/>
        <a:ln>
          <a:noFill/>
        </a:ln>
        <a:effectLst/>
      </c:spPr>
    </c:plotArea>
    <c:legend>
      <c:legendPos val="b"/>
      <c:layout>
        <c:manualLayout>
          <c:xMode val="edge"/>
          <c:yMode val="edge"/>
          <c:x val="0.15301214727368451"/>
          <c:y val="0.89738765626583294"/>
          <c:w val="0.69879618634786322"/>
          <c:h val="8.266101722654416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200" b="1" i="0" u="none" strike="noStrike" kern="1200" spc="0" baseline="0">
                <a:solidFill>
                  <a:sysClr val="windowText" lastClr="000000"/>
                </a:solidFill>
                <a:latin typeface="+mn-lt"/>
                <a:ea typeface="+mn-ea"/>
                <a:cs typeface="+mn-cs"/>
              </a:defRPr>
            </a:pPr>
            <a:r>
              <a:rPr lang="en-US" sz="1200"/>
              <a:t>Concentration of GKM Effluent </a:t>
            </a:r>
          </a:p>
        </c:rich>
      </c:tx>
      <c:overlay val="0"/>
      <c:spPr>
        <a:noFill/>
        <a:ln>
          <a:noFill/>
        </a:ln>
        <a:effectLst/>
      </c:spPr>
    </c:title>
    <c:autoTitleDeleted val="0"/>
    <c:plotArea>
      <c:layout>
        <c:manualLayout>
          <c:layoutTarget val="inner"/>
          <c:xMode val="edge"/>
          <c:yMode val="edge"/>
          <c:x val="0.11655295767967748"/>
          <c:y val="0.12307888597258676"/>
          <c:w val="0.86098660332083299"/>
          <c:h val="0.64229913969087193"/>
        </c:manualLayout>
      </c:layout>
      <c:barChart>
        <c:barDir val="col"/>
        <c:grouping val="clustered"/>
        <c:varyColors val="0"/>
        <c:ser>
          <c:idx val="0"/>
          <c:order val="0"/>
          <c:tx>
            <c:strRef>
              <c:f>'Effluent Conc Fig 3-11'!$E$35</c:f>
              <c:strCache>
                <c:ptCount val="1"/>
                <c:pt idx="0">
                  <c:v>7-Aug</c:v>
                </c:pt>
              </c:strCache>
            </c:strRef>
          </c:tx>
          <c:spPr>
            <a:solidFill>
              <a:schemeClr val="accent1">
                <a:lumMod val="75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3-11'!$E$36:$E$39</c:f>
              <c:numCache>
                <c:formatCode>General</c:formatCode>
                <c:ptCount val="4"/>
                <c:pt idx="0">
                  <c:v>8.8999999999999996E-2</c:v>
                </c:pt>
                <c:pt idx="1">
                  <c:v>5.6000000000000001E-2</c:v>
                </c:pt>
                <c:pt idx="2">
                  <c:v>9.4000000000000004E-3</c:v>
                </c:pt>
                <c:pt idx="3">
                  <c:v>8.9000000000000006E-4</c:v>
                </c:pt>
              </c:numCache>
            </c:numRef>
          </c:val>
          <c:extLst>
            <c:ext xmlns:c16="http://schemas.microsoft.com/office/drawing/2014/chart" uri="{C3380CC4-5D6E-409C-BE32-E72D297353CC}">
              <c16:uniqueId val="{00000001-809F-4A11-8E3A-4F398F9EFB60}"/>
            </c:ext>
          </c:extLst>
        </c:ser>
        <c:ser>
          <c:idx val="1"/>
          <c:order val="1"/>
          <c:tx>
            <c:strRef>
              <c:f>'Effluent Conc Fig 3-11'!$F$35</c:f>
              <c:strCache>
                <c:ptCount val="1"/>
                <c:pt idx="0">
                  <c:v>11-Aug</c:v>
                </c:pt>
              </c:strCache>
            </c:strRef>
          </c:tx>
          <c:spPr>
            <a:solidFill>
              <a:schemeClr val="accent1">
                <a:lumMod val="60000"/>
                <a:lumOff val="40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3-11'!$F$36:$F$39</c:f>
              <c:numCache>
                <c:formatCode>General</c:formatCode>
                <c:ptCount val="4"/>
                <c:pt idx="0">
                  <c:v>7.0999999999999994E-2</c:v>
                </c:pt>
                <c:pt idx="1">
                  <c:v>6.3E-2</c:v>
                </c:pt>
                <c:pt idx="2">
                  <c:v>4.1000000000000002E-2</c:v>
                </c:pt>
                <c:pt idx="3">
                  <c:v>2.9000000000000001E-2</c:v>
                </c:pt>
              </c:numCache>
            </c:numRef>
          </c:val>
          <c:extLst>
            <c:ext xmlns:c16="http://schemas.microsoft.com/office/drawing/2014/chart" uri="{C3380CC4-5D6E-409C-BE32-E72D297353CC}">
              <c16:uniqueId val="{00000003-809F-4A11-8E3A-4F398F9EFB60}"/>
            </c:ext>
          </c:extLst>
        </c:ser>
        <c:ser>
          <c:idx val="2"/>
          <c:order val="2"/>
          <c:tx>
            <c:strRef>
              <c:f>'Effluent Conc Fig 3-11'!$G$35</c:f>
              <c:strCache>
                <c:ptCount val="1"/>
                <c:pt idx="0">
                  <c:v>15-Aug</c:v>
                </c:pt>
              </c:strCache>
            </c:strRef>
          </c:tx>
          <c:spPr>
            <a:solidFill>
              <a:schemeClr val="accent1">
                <a:lumMod val="40000"/>
                <a:lumOff val="60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3-11'!$G$36:$G$39</c:f>
              <c:numCache>
                <c:formatCode>General</c:formatCode>
                <c:ptCount val="4"/>
                <c:pt idx="0">
                  <c:v>8.2000000000000003E-2</c:v>
                </c:pt>
                <c:pt idx="1">
                  <c:v>6.9000000000000006E-2</c:v>
                </c:pt>
                <c:pt idx="2">
                  <c:v>4.2000000000000003E-2</c:v>
                </c:pt>
                <c:pt idx="3">
                  <c:v>4.3999999999999997E-2</c:v>
                </c:pt>
              </c:numCache>
            </c:numRef>
          </c:val>
          <c:extLst>
            <c:ext xmlns:c16="http://schemas.microsoft.com/office/drawing/2014/chart" uri="{C3380CC4-5D6E-409C-BE32-E72D297353CC}">
              <c16:uniqueId val="{00000005-809F-4A11-8E3A-4F398F9EFB60}"/>
            </c:ext>
          </c:extLst>
        </c:ser>
        <c:ser>
          <c:idx val="3"/>
          <c:order val="3"/>
          <c:tx>
            <c:strRef>
              <c:f>'Effluent Conc Fig 3-11'!$H$35</c:f>
              <c:strCache>
                <c:ptCount val="1"/>
                <c:pt idx="0">
                  <c:v>Average</c:v>
                </c:pt>
              </c:strCache>
            </c:strRef>
          </c:tx>
          <c:spPr>
            <a:solidFill>
              <a:srgbClr val="D5782B"/>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3-11'!$H$36:$H$39</c:f>
              <c:numCache>
                <c:formatCode>0.000</c:formatCode>
                <c:ptCount val="4"/>
                <c:pt idx="0">
                  <c:v>8.0666666666666678E-2</c:v>
                </c:pt>
                <c:pt idx="1">
                  <c:v>6.2666666666666662E-2</c:v>
                </c:pt>
                <c:pt idx="2">
                  <c:v>3.0800000000000001E-2</c:v>
                </c:pt>
                <c:pt idx="3">
                  <c:v>2.4629999999999999E-2</c:v>
                </c:pt>
              </c:numCache>
            </c:numRef>
          </c:val>
          <c:extLst>
            <c:ext xmlns:c16="http://schemas.microsoft.com/office/drawing/2014/chart" uri="{C3380CC4-5D6E-409C-BE32-E72D297353CC}">
              <c16:uniqueId val="{00000007-809F-4A11-8E3A-4F398F9EFB60}"/>
            </c:ext>
          </c:extLst>
        </c:ser>
        <c:ser>
          <c:idx val="4"/>
          <c:order val="4"/>
          <c:tx>
            <c:strRef>
              <c:f>'Effluent Conc Fig 3-11'!$I$35</c:f>
              <c:strCache>
                <c:ptCount val="1"/>
                <c:pt idx="0">
                  <c:v>Selected</c:v>
                </c:pt>
              </c:strCache>
            </c:strRef>
          </c:tx>
          <c:spPr>
            <a:solidFill>
              <a:schemeClr val="accent2">
                <a:lumMod val="60000"/>
                <a:lumOff val="40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3-11'!$I$36:$I$39</c:f>
              <c:numCache>
                <c:formatCode>General</c:formatCode>
                <c:ptCount val="4"/>
                <c:pt idx="0">
                  <c:v>8.2000000000000003E-2</c:v>
                </c:pt>
                <c:pt idx="1">
                  <c:v>6.9000000000000006E-2</c:v>
                </c:pt>
                <c:pt idx="2">
                  <c:v>4.2000000000000003E-2</c:v>
                </c:pt>
                <c:pt idx="3">
                  <c:v>0.06</c:v>
                </c:pt>
              </c:numCache>
            </c:numRef>
          </c:val>
          <c:extLst>
            <c:ext xmlns:c16="http://schemas.microsoft.com/office/drawing/2014/chart" uri="{C3380CC4-5D6E-409C-BE32-E72D297353CC}">
              <c16:uniqueId val="{00000009-809F-4A11-8E3A-4F398F9EFB60}"/>
            </c:ext>
          </c:extLst>
        </c:ser>
        <c:ser>
          <c:idx val="5"/>
          <c:order val="5"/>
          <c:tx>
            <c:strRef>
              <c:f>'Effluent Conc Fig 3-11'!$J$35</c:f>
              <c:strCache>
                <c:ptCount val="1"/>
                <c:pt idx="0">
                  <c:v>Cement Creek Aug 5 16:00</c:v>
                </c:pt>
              </c:strCache>
            </c:strRef>
          </c:tx>
          <c:spPr>
            <a:solidFill>
              <a:schemeClr val="tx1">
                <a:lumMod val="65000"/>
                <a:lumOff val="35000"/>
              </a:schemeClr>
            </a:solidFill>
            <a:ln>
              <a:noFill/>
            </a:ln>
            <a:effectLst/>
          </c:spPr>
          <c:invertIfNegative val="0"/>
          <c:cat>
            <c:strRef>
              <c:f>'Effluent Conc Fig 3-11'!$D$36:$D$39</c:f>
              <c:strCache>
                <c:ptCount val="4"/>
                <c:pt idx="0">
                  <c:v>Cadmium</c:v>
                </c:pt>
                <c:pt idx="1">
                  <c:v>Nickel</c:v>
                </c:pt>
                <c:pt idx="2">
                  <c:v>Lead</c:v>
                </c:pt>
                <c:pt idx="3">
                  <c:v>Arsenic</c:v>
                </c:pt>
              </c:strCache>
            </c:strRef>
          </c:cat>
          <c:val>
            <c:numRef>
              <c:f>'Effluent Conc Fig 3-11'!$J$36:$J$39</c:f>
              <c:numCache>
                <c:formatCode>General</c:formatCode>
                <c:ptCount val="4"/>
                <c:pt idx="0">
                  <c:v>0.08</c:v>
                </c:pt>
                <c:pt idx="1">
                  <c:v>7.4999999999999997E-2</c:v>
                </c:pt>
                <c:pt idx="2">
                  <c:v>0.126</c:v>
                </c:pt>
                <c:pt idx="3">
                  <c:v>2E-3</c:v>
                </c:pt>
              </c:numCache>
            </c:numRef>
          </c:val>
          <c:extLst>
            <c:ext xmlns:c16="http://schemas.microsoft.com/office/drawing/2014/chart" uri="{C3380CC4-5D6E-409C-BE32-E72D297353CC}">
              <c16:uniqueId val="{0000000B-809F-4A11-8E3A-4F398F9EFB60}"/>
            </c:ext>
          </c:extLst>
        </c:ser>
        <c:dLbls>
          <c:showLegendKey val="0"/>
          <c:showVal val="0"/>
          <c:showCatName val="0"/>
          <c:showSerName val="0"/>
          <c:showPercent val="0"/>
          <c:showBubbleSize val="0"/>
        </c:dLbls>
        <c:gapWidth val="219"/>
        <c:overlap val="-27"/>
        <c:axId val="398277856"/>
        <c:axId val="398277464"/>
        <c:extLst/>
      </c:barChart>
      <c:catAx>
        <c:axId val="3982778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77464"/>
        <c:crosses val="autoZero"/>
        <c:auto val="1"/>
        <c:lblAlgn val="ctr"/>
        <c:lblOffset val="100"/>
        <c:noMultiLvlLbl val="0"/>
      </c:catAx>
      <c:valAx>
        <c:axId val="3982774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Concentration (mg/L)</a:t>
                </a:r>
              </a:p>
            </c:rich>
          </c:tx>
          <c:layout>
            <c:manualLayout>
              <c:xMode val="edge"/>
              <c:yMode val="edge"/>
              <c:x val="8.9536281165466872E-3"/>
              <c:y val="0.16309674832312629"/>
            </c:manualLayout>
          </c:layout>
          <c:overlay val="0"/>
          <c:spPr>
            <a:noFill/>
            <a:ln>
              <a:noFill/>
            </a:ln>
            <a:effectLst/>
          </c:spPr>
        </c:title>
        <c:numFmt formatCode="General" sourceLinked="1"/>
        <c:majorTickMark val="out"/>
        <c:minorTickMark val="out"/>
        <c:tickLblPos val="nextTo"/>
        <c:spPr>
          <a:noFill/>
          <a:ln>
            <a:solidFill>
              <a:schemeClr val="bg1">
                <a:lumMod val="65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8277856"/>
        <c:crosses val="autoZero"/>
        <c:crossBetween val="between"/>
        <c:minorUnit val="1.0000000000000002E-2"/>
      </c:valAx>
    </c:plotArea>
    <c:legend>
      <c:legendPos val="b"/>
      <c:layout>
        <c:manualLayout>
          <c:xMode val="edge"/>
          <c:yMode val="edge"/>
          <c:x val="0.1570958990003738"/>
          <c:y val="0.89441637503645377"/>
          <c:w val="0.69879618634786322"/>
          <c:h val="8.2661017226544162E-2"/>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r>
              <a:rPr lang="en-US" sz="1100"/>
              <a:t>Total Metals Mass Estimated in GKM Effluent</a:t>
            </a:r>
            <a:r>
              <a:rPr lang="en-US" sz="1100" baseline="0"/>
              <a:t> at Release </a:t>
            </a:r>
            <a:endParaRPr lang="en-US" sz="1100"/>
          </a:p>
        </c:rich>
      </c:tx>
      <c:layout>
        <c:manualLayout>
          <c:xMode val="edge"/>
          <c:yMode val="edge"/>
          <c:x val="0.1798373329460308"/>
          <c:y val="8.0103367396624648E-3"/>
        </c:manualLayout>
      </c:layout>
      <c:overlay val="0"/>
      <c:spPr>
        <a:noFill/>
        <a:ln>
          <a:noFill/>
        </a:ln>
        <a:effectLst/>
      </c:spPr>
      <c:txPr>
        <a:bodyPr rot="0" spcFirstLastPara="1" vertOverflow="ellipsis" vert="horz" wrap="square" anchor="ctr" anchorCtr="1"/>
        <a:lstStyle/>
        <a:p>
          <a:pPr>
            <a:defRPr sz="132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9857098101464108"/>
          <c:y val="0.14235716059034945"/>
          <c:w val="0.62985665253381784"/>
          <c:h val="0.66123800379961428"/>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rgbClr val="FFC301"/>
              </a:solidFill>
              <a:ln>
                <a:noFill/>
              </a:ln>
              <a:effectLst/>
            </c:spPr>
            <c:extLst>
              <c:ext xmlns:c16="http://schemas.microsoft.com/office/drawing/2014/chart" uri="{C3380CC4-5D6E-409C-BE32-E72D297353CC}">
                <c16:uniqueId val="{00000001-F047-455D-8E68-033627B1CF2D}"/>
              </c:ext>
            </c:extLst>
          </c:dPt>
          <c:dPt>
            <c:idx val="1"/>
            <c:invertIfNegative val="0"/>
            <c:bubble3D val="0"/>
            <c:spPr>
              <a:solidFill>
                <a:srgbClr val="D79041"/>
              </a:solidFill>
              <a:ln>
                <a:noFill/>
              </a:ln>
              <a:effectLst/>
            </c:spPr>
            <c:extLst>
              <c:ext xmlns:c16="http://schemas.microsoft.com/office/drawing/2014/chart" uri="{C3380CC4-5D6E-409C-BE32-E72D297353CC}">
                <c16:uniqueId val="{00000003-F047-455D-8E68-033627B1CF2D}"/>
              </c:ext>
            </c:extLst>
          </c:dPt>
          <c:dPt>
            <c:idx val="2"/>
            <c:invertIfNegative val="0"/>
            <c:bubble3D val="0"/>
            <c:spPr>
              <a:solidFill>
                <a:schemeClr val="bg1">
                  <a:lumMod val="75000"/>
                </a:schemeClr>
              </a:solidFill>
              <a:ln>
                <a:noFill/>
              </a:ln>
              <a:effectLst/>
            </c:spPr>
            <c:extLst>
              <c:ext xmlns:c16="http://schemas.microsoft.com/office/drawing/2014/chart" uri="{C3380CC4-5D6E-409C-BE32-E72D297353CC}">
                <c16:uniqueId val="{00000005-F047-455D-8E68-033627B1CF2D}"/>
              </c:ext>
            </c:extLst>
          </c:dPt>
          <c:dPt>
            <c:idx val="3"/>
            <c:invertIfNegative val="0"/>
            <c:bubble3D val="0"/>
            <c:spPr>
              <a:solidFill>
                <a:schemeClr val="bg1">
                  <a:lumMod val="75000"/>
                </a:schemeClr>
              </a:solidFill>
              <a:ln>
                <a:noFill/>
              </a:ln>
              <a:effectLst/>
            </c:spPr>
            <c:extLst>
              <c:ext xmlns:c16="http://schemas.microsoft.com/office/drawing/2014/chart" uri="{C3380CC4-5D6E-409C-BE32-E72D297353CC}">
                <c16:uniqueId val="{00000007-F047-455D-8E68-033627B1CF2D}"/>
              </c:ext>
            </c:extLst>
          </c:dPt>
          <c:dLbls>
            <c:dLbl>
              <c:idx val="0"/>
              <c:tx>
                <c:rich>
                  <a:bodyPr/>
                  <a:lstStyle/>
                  <a:p>
                    <a:fld id="{0B06EA72-EAA2-446F-A244-B3D23E4A50A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F047-455D-8E68-033627B1CF2D}"/>
                </c:ext>
              </c:extLst>
            </c:dLbl>
            <c:dLbl>
              <c:idx val="1"/>
              <c:tx>
                <c:rich>
                  <a:bodyPr/>
                  <a:lstStyle/>
                  <a:p>
                    <a:fld id="{E6F534AE-B3C3-41D9-955F-829F8751F87F}"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F047-455D-8E68-033627B1CF2D}"/>
                </c:ext>
              </c:extLst>
            </c:dLbl>
            <c:dLbl>
              <c:idx val="2"/>
              <c:tx>
                <c:rich>
                  <a:bodyPr/>
                  <a:lstStyle/>
                  <a:p>
                    <a:fld id="{AAE1AA5E-858E-4A82-9624-408F1118F93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F047-455D-8E68-033627B1CF2D}"/>
                </c:ext>
              </c:extLst>
            </c:dLbl>
            <c:dLbl>
              <c:idx val="3"/>
              <c:delete val="1"/>
              <c:extLst>
                <c:ext xmlns:c15="http://schemas.microsoft.com/office/drawing/2012/chart" uri="{CE6537A1-D6FC-4f65-9D91-7224C49458BB}"/>
                <c:ext xmlns:c16="http://schemas.microsoft.com/office/drawing/2014/chart" uri="{C3380CC4-5D6E-409C-BE32-E72D297353CC}">
                  <c16:uniqueId val="{00000007-F047-455D-8E68-033627B1CF2D}"/>
                </c:ext>
              </c:extLst>
            </c:dLbl>
            <c:numFmt formatCode="#,##0" sourceLinked="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strRef>
              <c:f>'Graphics_Release Load Fig 3-12'!$A$51:$A$53</c:f>
              <c:strCache>
                <c:ptCount val="3"/>
                <c:pt idx="0">
                  <c:v>Major Metals</c:v>
                </c:pt>
                <c:pt idx="1">
                  <c:v>Trace Metals</c:v>
                </c:pt>
                <c:pt idx="2">
                  <c:v>Other Metals</c:v>
                </c:pt>
              </c:strCache>
            </c:strRef>
          </c:cat>
          <c:val>
            <c:numRef>
              <c:f>'Graphics_Release Load Fig 3-12'!$C$51:$C$53</c:f>
              <c:numCache>
                <c:formatCode>General</c:formatCode>
                <c:ptCount val="3"/>
                <c:pt idx="0">
                  <c:v>2900</c:v>
                </c:pt>
                <c:pt idx="1">
                  <c:v>5</c:v>
                </c:pt>
                <c:pt idx="2">
                  <c:v>23000</c:v>
                </c:pt>
              </c:numCache>
            </c:numRef>
          </c:val>
          <c:extLst>
            <c:ext xmlns:c15="http://schemas.microsoft.com/office/drawing/2012/chart" uri="{02D57815-91ED-43cb-92C2-25804820EDAC}">
              <c15:datalabelsRange>
                <c15:f>'Graphics_Release Load Fig 3-12'!$D$51:$D$53</c15:f>
                <c15:dlblRangeCache>
                  <c:ptCount val="3"/>
                  <c:pt idx="0">
                    <c:v>~2,900</c:v>
                  </c:pt>
                  <c:pt idx="1">
                    <c:v>~5</c:v>
                  </c:pt>
                  <c:pt idx="2">
                    <c:v>~23,000</c:v>
                  </c:pt>
                </c15:dlblRangeCache>
              </c15:datalabelsRange>
            </c:ext>
            <c:ext xmlns:c16="http://schemas.microsoft.com/office/drawing/2014/chart" uri="{C3380CC4-5D6E-409C-BE32-E72D297353CC}">
              <c16:uniqueId val="{00000008-F047-455D-8E68-033627B1CF2D}"/>
            </c:ext>
          </c:extLst>
        </c:ser>
        <c:dLbls>
          <c:showLegendKey val="0"/>
          <c:showVal val="0"/>
          <c:showCatName val="0"/>
          <c:showSerName val="0"/>
          <c:showPercent val="0"/>
          <c:showBubbleSize val="0"/>
        </c:dLbls>
        <c:gapWidth val="219"/>
        <c:overlap val="-27"/>
        <c:axId val="856174352"/>
        <c:axId val="856174744"/>
      </c:barChart>
      <c:catAx>
        <c:axId val="856174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56174744"/>
        <c:crosses val="autoZero"/>
        <c:auto val="1"/>
        <c:lblAlgn val="ctr"/>
        <c:lblOffset val="100"/>
        <c:noMultiLvlLbl val="0"/>
      </c:catAx>
      <c:valAx>
        <c:axId val="856174744"/>
        <c:scaling>
          <c:orientation val="minMax"/>
        </c:scaling>
        <c:delete val="0"/>
        <c:axPos val="l"/>
        <c:majorGridlines>
          <c:spPr>
            <a:ln w="9525" cap="flat" cmpd="sng" algn="ctr">
              <a:solidFill>
                <a:schemeClr val="bg1">
                  <a:lumMod val="7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Mass (kg)</a:t>
                </a:r>
              </a:p>
            </c:rich>
          </c:tx>
          <c:layout>
            <c:manualLayout>
              <c:xMode val="edge"/>
              <c:yMode val="edge"/>
              <c:x val="4.0912299791189981E-2"/>
              <c:y val="0.3750933410947605"/>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5617435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latin typeface="+mn-lt"/>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Mass of Other Metals</a:t>
            </a:r>
            <a:r>
              <a:rPr lang="en-US" sz="1200" baseline="0"/>
              <a:t> in GKM Effluent at Release (kg) </a:t>
            </a:r>
            <a:endParaRPr lang="en-US" sz="1200"/>
          </a:p>
        </c:rich>
      </c:tx>
      <c:layout>
        <c:manualLayout>
          <c:xMode val="edge"/>
          <c:yMode val="edge"/>
          <c:x val="0.1677991538003758"/>
          <c:y val="6.161827572271266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30413167104111993"/>
          <c:y val="0.22430045202682994"/>
          <c:w val="0.43340332458442699"/>
          <c:h val="0.72233887430737831"/>
        </c:manualLayout>
      </c:layout>
      <c:pieChart>
        <c:varyColors val="1"/>
        <c:ser>
          <c:idx val="0"/>
          <c:order val="0"/>
          <c:dPt>
            <c:idx val="0"/>
            <c:bubble3D val="0"/>
            <c:explosion val="6"/>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1-7E75-4D9B-9374-376720D0E0AD}"/>
              </c:ext>
            </c:extLst>
          </c:dPt>
          <c:dPt>
            <c:idx val="1"/>
            <c:bubble3D val="0"/>
            <c:explosion val="7"/>
            <c:spPr>
              <a:solidFill>
                <a:schemeClr val="accent4">
                  <a:lumMod val="50000"/>
                </a:schemeClr>
              </a:solidFill>
              <a:ln w="19050">
                <a:solidFill>
                  <a:schemeClr val="lt1"/>
                </a:solidFill>
              </a:ln>
              <a:effectLst/>
            </c:spPr>
            <c:extLst>
              <c:ext xmlns:c16="http://schemas.microsoft.com/office/drawing/2014/chart" uri="{C3380CC4-5D6E-409C-BE32-E72D297353CC}">
                <c16:uniqueId val="{00000003-7E75-4D9B-9374-376720D0E0AD}"/>
              </c:ext>
            </c:extLst>
          </c:dPt>
          <c:dPt>
            <c:idx val="2"/>
            <c:bubble3D val="0"/>
            <c:spPr>
              <a:solidFill>
                <a:srgbClr val="FF0000"/>
              </a:solidFill>
              <a:ln w="19050">
                <a:solidFill>
                  <a:schemeClr val="lt1"/>
                </a:solidFill>
              </a:ln>
              <a:effectLst/>
            </c:spPr>
            <c:extLst>
              <c:ext xmlns:c16="http://schemas.microsoft.com/office/drawing/2014/chart" uri="{C3380CC4-5D6E-409C-BE32-E72D297353CC}">
                <c16:uniqueId val="{00000005-7E75-4D9B-9374-376720D0E0AD}"/>
              </c:ext>
            </c:extLst>
          </c:dPt>
          <c:dLbls>
            <c:dLbl>
              <c:idx val="0"/>
              <c:layout>
                <c:manualLayout>
                  <c:x val="5.9127098225131541E-2"/>
                  <c:y val="0.10648148148148148"/>
                </c:manualLayout>
              </c:layout>
              <c:dLblPos val="bestFit"/>
              <c:showLegendKey val="0"/>
              <c:showVal val="1"/>
              <c:showCatName val="1"/>
              <c:showSerName val="0"/>
              <c:showPercent val="0"/>
              <c:showBubbleSize val="0"/>
              <c:extLst>
                <c:ext xmlns:c15="http://schemas.microsoft.com/office/drawing/2012/chart" uri="{CE6537A1-D6FC-4f65-9D91-7224C49458BB}">
                  <c15:layout>
                    <c:manualLayout>
                      <c:w val="0.2432186595208323"/>
                      <c:h val="0.24171372285849527"/>
                    </c:manualLayout>
                  </c15:layout>
                </c:ext>
                <c:ext xmlns:c16="http://schemas.microsoft.com/office/drawing/2014/chart" uri="{C3380CC4-5D6E-409C-BE32-E72D297353CC}">
                  <c16:uniqueId val="{00000001-7E75-4D9B-9374-376720D0E0AD}"/>
                </c:ext>
              </c:extLst>
            </c:dLbl>
            <c:dLbl>
              <c:idx val="1"/>
              <c:layout>
                <c:manualLayout>
                  <c:x val="-7.8943596164519125E-2"/>
                  <c:y val="-0.18079074381207819"/>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E75-4D9B-9374-376720D0E0AD}"/>
                </c:ext>
              </c:extLst>
            </c:dLbl>
            <c:numFmt formatCode="#,##0" sourceLinked="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dLblPos val="outEnd"/>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'Graphics_Release Load Fig 3-12'!$A$45:$A$47</c:f>
              <c:strCache>
                <c:ptCount val="3"/>
                <c:pt idx="0">
                  <c:v>Major Cations    (Ca, K, Mg, Na)</c:v>
                </c:pt>
                <c:pt idx="1">
                  <c:v>Sulfate</c:v>
                </c:pt>
                <c:pt idx="2">
                  <c:v>Cl, Fl, N</c:v>
                </c:pt>
              </c:strCache>
            </c:strRef>
          </c:cat>
          <c:val>
            <c:numRef>
              <c:f>'Graphics_Release Load Fig 3-12'!$C$45:$C$47</c:f>
              <c:numCache>
                <c:formatCode>#,##0</c:formatCode>
                <c:ptCount val="3"/>
                <c:pt idx="0" formatCode="General">
                  <c:v>4600</c:v>
                </c:pt>
                <c:pt idx="1">
                  <c:v>18000</c:v>
                </c:pt>
                <c:pt idx="2" formatCode="General">
                  <c:v>120</c:v>
                </c:pt>
              </c:numCache>
            </c:numRef>
          </c:val>
          <c:extLst>
            <c:ext xmlns:c16="http://schemas.microsoft.com/office/drawing/2014/chart" uri="{C3380CC4-5D6E-409C-BE32-E72D297353CC}">
              <c16:uniqueId val="{00000006-7E75-4D9B-9374-376720D0E0AD}"/>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200" b="1">
          <a:solidFill>
            <a:sysClr val="windowText" lastClr="000000"/>
          </a:solidFill>
        </a:defRPr>
      </a:pPr>
      <a:endParaRPr lang="en-US"/>
    </a:p>
  </c:txPr>
  <c:printSettings>
    <c:headerFooter/>
    <c:pageMargins b="0.75" l="0.7" r="0.7" t="0.75" header="0.3" footer="0.3"/>
    <c:pageSetup/>
  </c:printSettings>
  <c:userShapes r:id="rId3"/>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a:t>Mass of Major Metals in GKM Effluent at Release</a:t>
            </a:r>
            <a:r>
              <a:rPr lang="en-US" sz="1200" baseline="0"/>
              <a:t> (kg)</a:t>
            </a:r>
            <a:endParaRPr lang="en-US" sz="1200"/>
          </a:p>
        </c:rich>
      </c:tx>
      <c:layout>
        <c:manualLayout>
          <c:xMode val="edge"/>
          <c:yMode val="edge"/>
          <c:x val="0.17767677315325192"/>
          <c:y val="1.412014161147355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8.772606713521279E-2"/>
          <c:y val="0.26384628868400756"/>
          <c:w val="0.81388888888888888"/>
          <c:h val="0.69629089046795978"/>
        </c:manualLayout>
      </c:layout>
      <c:pie3DChart>
        <c:varyColors val="1"/>
        <c:ser>
          <c:idx val="0"/>
          <c:order val="0"/>
          <c:dPt>
            <c:idx val="0"/>
            <c:bubble3D val="0"/>
            <c:spPr>
              <a:solidFill>
                <a:srgbClr val="FFC305"/>
              </a:solidFill>
              <a:ln w="25400">
                <a:solidFill>
                  <a:schemeClr val="lt1"/>
                </a:solidFill>
              </a:ln>
              <a:effectLst/>
              <a:sp3d contourW="25400">
                <a:contourClr>
                  <a:schemeClr val="lt1"/>
                </a:contourClr>
              </a:sp3d>
            </c:spPr>
            <c:extLst>
              <c:ext xmlns:c16="http://schemas.microsoft.com/office/drawing/2014/chart" uri="{C3380CC4-5D6E-409C-BE32-E72D297353CC}">
                <c16:uniqueId val="{00000001-B365-4800-A01E-0AE94B2E19DE}"/>
              </c:ext>
            </c:extLst>
          </c:dPt>
          <c:dPt>
            <c:idx val="1"/>
            <c:bubble3D val="0"/>
            <c:spPr>
              <a:solidFill>
                <a:schemeClr val="bg1">
                  <a:lumMod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B365-4800-A01E-0AE94B2E19DE}"/>
              </c:ext>
            </c:extLst>
          </c:dPt>
          <c:dPt>
            <c:idx val="2"/>
            <c:bubble3D val="0"/>
            <c:spPr>
              <a:solidFill>
                <a:srgbClr val="8561E9"/>
              </a:solidFill>
              <a:ln w="25400">
                <a:solidFill>
                  <a:schemeClr val="lt1"/>
                </a:solidFill>
              </a:ln>
              <a:effectLst/>
              <a:sp3d contourW="25400">
                <a:contourClr>
                  <a:schemeClr val="lt1"/>
                </a:contourClr>
              </a:sp3d>
            </c:spPr>
            <c:extLst>
              <c:ext xmlns:c16="http://schemas.microsoft.com/office/drawing/2014/chart" uri="{C3380CC4-5D6E-409C-BE32-E72D297353CC}">
                <c16:uniqueId val="{00000005-B365-4800-A01E-0AE94B2E19DE}"/>
              </c:ext>
            </c:extLst>
          </c:dPt>
          <c:dPt>
            <c:idx val="3"/>
            <c:bubble3D val="0"/>
            <c:spPr>
              <a:solidFill>
                <a:schemeClr val="accent1">
                  <a:lumMod val="60000"/>
                  <a:lumOff val="4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7-B365-4800-A01E-0AE94B2E19DE}"/>
              </c:ext>
            </c:extLst>
          </c:dPt>
          <c:dPt>
            <c:idx val="4"/>
            <c:bubble3D val="0"/>
            <c:spPr>
              <a:solidFill>
                <a:schemeClr val="accent2">
                  <a:lumMod val="7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9-B365-4800-A01E-0AE94B2E19DE}"/>
              </c:ext>
            </c:extLst>
          </c:dPt>
          <c:dLbls>
            <c:dLbl>
              <c:idx val="0"/>
              <c:layout>
                <c:manualLayout>
                  <c:x val="-2.3711419937668513E-2"/>
                  <c:y val="-0.3662051532291464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365-4800-A01E-0AE94B2E19DE}"/>
                </c:ext>
              </c:extLst>
            </c:dLbl>
            <c:dLbl>
              <c:idx val="1"/>
              <c:layout>
                <c:manualLayout>
                  <c:x val="6.8024555992603626E-5"/>
                  <c:y val="8.608788213823909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365-4800-A01E-0AE94B2E19DE}"/>
                </c:ext>
              </c:extLst>
            </c:dLbl>
            <c:dLbl>
              <c:idx val="2"/>
              <c:layout>
                <c:manualLayout>
                  <c:x val="1.55840331245475E-4"/>
                  <c:y val="-0.1065327369358495"/>
                </c:manualLayout>
              </c:layout>
              <c:showLegendKey val="0"/>
              <c:showVal val="1"/>
              <c:showCatName val="1"/>
              <c:showSerName val="0"/>
              <c:showPercent val="0"/>
              <c:showBubbleSize val="0"/>
              <c:extLst>
                <c:ext xmlns:c15="http://schemas.microsoft.com/office/drawing/2012/chart" uri="{CE6537A1-D6FC-4f65-9D91-7224C49458BB}">
                  <c15:layout>
                    <c:manualLayout>
                      <c:w val="0.26693706860853167"/>
                      <c:h val="0.1230832144477402"/>
                    </c:manualLayout>
                  </c15:layout>
                </c:ext>
                <c:ext xmlns:c16="http://schemas.microsoft.com/office/drawing/2014/chart" uri="{C3380CC4-5D6E-409C-BE32-E72D297353CC}">
                  <c16:uniqueId val="{00000005-B365-4800-A01E-0AE94B2E19DE}"/>
                </c:ext>
              </c:extLst>
            </c:dLbl>
            <c:dLbl>
              <c:idx val="3"/>
              <c:layout>
                <c:manualLayout>
                  <c:x val="1.1828536617484422E-2"/>
                  <c:y val="-7.075093819278738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365-4800-A01E-0AE94B2E19DE}"/>
                </c:ext>
              </c:extLst>
            </c:dLbl>
            <c:dLbl>
              <c:idx val="4"/>
              <c:layout>
                <c:manualLayout>
                  <c:x val="6.1621612708209997E-2"/>
                  <c:y val="-4.839907983110106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365-4800-A01E-0AE94B2E19DE}"/>
                </c:ext>
              </c:extLst>
            </c:dLbl>
            <c:numFmt formatCode="#,##0" sourceLinked="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'Graphics_Release Load Fig 3-12'!$D$5:$D$9</c:f>
              <c:strCache>
                <c:ptCount val="5"/>
                <c:pt idx="0">
                  <c:v>Iron</c:v>
                </c:pt>
                <c:pt idx="1">
                  <c:v>Aluminum</c:v>
                </c:pt>
                <c:pt idx="2">
                  <c:v>Manganese</c:v>
                </c:pt>
                <c:pt idx="3">
                  <c:v>Zinc</c:v>
                </c:pt>
                <c:pt idx="4">
                  <c:v>Copper</c:v>
                </c:pt>
              </c:strCache>
            </c:strRef>
          </c:cat>
          <c:val>
            <c:numRef>
              <c:f>'Graphics_Release Load Fig 3-12'!$F$5:$F$9</c:f>
              <c:numCache>
                <c:formatCode>General</c:formatCode>
                <c:ptCount val="5"/>
                <c:pt idx="0">
                  <c:v>1700</c:v>
                </c:pt>
                <c:pt idx="1">
                  <c:v>375</c:v>
                </c:pt>
                <c:pt idx="2">
                  <c:v>410</c:v>
                </c:pt>
                <c:pt idx="3">
                  <c:v>310</c:v>
                </c:pt>
                <c:pt idx="4">
                  <c:v>80</c:v>
                </c:pt>
              </c:numCache>
            </c:numRef>
          </c:val>
          <c:extLst>
            <c:ext xmlns:c16="http://schemas.microsoft.com/office/drawing/2014/chart" uri="{C3380CC4-5D6E-409C-BE32-E72D297353CC}">
              <c16:uniqueId val="{0000000A-B365-4800-A01E-0AE94B2E19DE}"/>
            </c:ext>
          </c:extLst>
        </c:ser>
        <c:dLbls>
          <c:showLegendKey val="0"/>
          <c:showVal val="1"/>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userShapes r:id="rId3"/>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r>
              <a:rPr lang="en-US" sz="1050"/>
              <a:t>Mass of Trace Metals in GKM Effluent at Release (kg)</a:t>
            </a:r>
          </a:p>
        </c:rich>
      </c:tx>
      <c:overlay val="0"/>
      <c:spPr>
        <a:solidFill>
          <a:schemeClr val="bg1"/>
        </a:solidFill>
        <a:ln>
          <a:noFill/>
        </a:ln>
        <a:effectLst/>
      </c:spPr>
      <c:txPr>
        <a:bodyPr rot="0" spcFirstLastPara="1" vertOverflow="ellipsis" vert="horz" wrap="square" anchor="ctr" anchorCtr="1"/>
        <a:lstStyle/>
        <a:p>
          <a:pPr>
            <a:defRPr sz="1050" b="1" i="0" u="none" strike="noStrike" kern="1200" spc="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autoTitleDeleted val="0"/>
    <c:plotArea>
      <c:layout>
        <c:manualLayout>
          <c:layoutTarget val="inner"/>
          <c:xMode val="edge"/>
          <c:yMode val="edge"/>
          <c:x val="0.3679807151720963"/>
          <c:y val="0.12297551789077213"/>
          <c:w val="0.53105674024418248"/>
          <c:h val="0.72938505568159917"/>
        </c:manualLayout>
      </c:layout>
      <c:barChart>
        <c:barDir val="bar"/>
        <c:grouping val="clustered"/>
        <c:varyColors val="0"/>
        <c:ser>
          <c:idx val="0"/>
          <c:order val="0"/>
          <c:spPr>
            <a:solidFill>
              <a:schemeClr val="tx2">
                <a:lumMod val="75000"/>
              </a:schemeClr>
            </a:solidFill>
            <a:ln>
              <a:noFill/>
            </a:ln>
            <a:effectLst/>
          </c:spPr>
          <c:invertIfNegative val="0"/>
          <c:dLbls>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'Graphics_Release Load Fig 3-12'!$P$5:$P$19</c:f>
              <c:strCache>
                <c:ptCount val="15"/>
                <c:pt idx="0">
                  <c:v>Cobalt</c:v>
                </c:pt>
                <c:pt idx="1">
                  <c:v>Lead</c:v>
                </c:pt>
                <c:pt idx="2">
                  <c:v>Cadmium</c:v>
                </c:pt>
                <c:pt idx="3">
                  <c:v>Nickel</c:v>
                </c:pt>
                <c:pt idx="4">
                  <c:v>Arsenic</c:v>
                </c:pt>
                <c:pt idx="5">
                  <c:v>Vanadium</c:v>
                </c:pt>
                <c:pt idx="6">
                  <c:v>Beryllium</c:v>
                </c:pt>
                <c:pt idx="7">
                  <c:v>Barium</c:v>
                </c:pt>
                <c:pt idx="8">
                  <c:v>Chromium</c:v>
                </c:pt>
                <c:pt idx="9">
                  <c:v>Molybedenum</c:v>
                </c:pt>
                <c:pt idx="10">
                  <c:v>Selenium</c:v>
                </c:pt>
                <c:pt idx="11">
                  <c:v>Antimony</c:v>
                </c:pt>
                <c:pt idx="12">
                  <c:v>Thallium</c:v>
                </c:pt>
                <c:pt idx="13">
                  <c:v>Silver</c:v>
                </c:pt>
                <c:pt idx="14">
                  <c:v>Mercury</c:v>
                </c:pt>
              </c:strCache>
            </c:strRef>
          </c:cat>
          <c:val>
            <c:numRef>
              <c:f>'Graphics_Release Load Fig 3-12'!$R$5:$R$19</c:f>
              <c:numCache>
                <c:formatCode>General</c:formatCode>
                <c:ptCount val="15"/>
                <c:pt idx="0">
                  <c:v>1.3</c:v>
                </c:pt>
                <c:pt idx="1">
                  <c:v>0.5</c:v>
                </c:pt>
                <c:pt idx="2">
                  <c:v>1</c:v>
                </c:pt>
                <c:pt idx="3">
                  <c:v>0.8</c:v>
                </c:pt>
                <c:pt idx="4">
                  <c:v>0.7</c:v>
                </c:pt>
                <c:pt idx="5">
                  <c:v>0.4</c:v>
                </c:pt>
                <c:pt idx="6">
                  <c:v>0.1</c:v>
                </c:pt>
                <c:pt idx="7">
                  <c:v>0.1</c:v>
                </c:pt>
                <c:pt idx="8">
                  <c:v>0.2</c:v>
                </c:pt>
                <c:pt idx="9">
                  <c:v>0.05</c:v>
                </c:pt>
                <c:pt idx="10">
                  <c:v>0.05</c:v>
                </c:pt>
                <c:pt idx="11">
                  <c:v>0.04</c:v>
                </c:pt>
                <c:pt idx="12" formatCode="#,##0.000">
                  <c:v>3.0000000000000001E-3</c:v>
                </c:pt>
                <c:pt idx="13" formatCode="#,##0.000">
                  <c:v>1.142E-3</c:v>
                </c:pt>
                <c:pt idx="14" formatCode="#,##0.0000">
                  <c:v>5.0000000000000001E-4</c:v>
                </c:pt>
              </c:numCache>
            </c:numRef>
          </c:val>
          <c:extLst>
            <c:ext xmlns:c16="http://schemas.microsoft.com/office/drawing/2014/chart" uri="{C3380CC4-5D6E-409C-BE32-E72D297353CC}">
              <c16:uniqueId val="{00000000-695C-4F48-B9CE-423E91F8FCEC}"/>
            </c:ext>
          </c:extLst>
        </c:ser>
        <c:dLbls>
          <c:showLegendKey val="0"/>
          <c:showVal val="0"/>
          <c:showCatName val="0"/>
          <c:showSerName val="0"/>
          <c:showPercent val="0"/>
          <c:showBubbleSize val="0"/>
        </c:dLbls>
        <c:gapWidth val="182"/>
        <c:axId val="399260976"/>
        <c:axId val="399261368"/>
      </c:barChart>
      <c:catAx>
        <c:axId val="3992609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399261368"/>
        <c:crosses val="autoZero"/>
        <c:auto val="1"/>
        <c:lblAlgn val="ctr"/>
        <c:lblOffset val="100"/>
        <c:noMultiLvlLbl val="0"/>
      </c:catAx>
      <c:valAx>
        <c:axId val="399261368"/>
        <c:scaling>
          <c:orientation val="minMax"/>
          <c:max val="3"/>
          <c:min val="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r>
                  <a:rPr lang="en-US" sz="1100"/>
                  <a:t>Mass (kg)</a:t>
                </a:r>
              </a:p>
            </c:rich>
          </c:tx>
          <c:layout>
            <c:manualLayout>
              <c:xMode val="edge"/>
              <c:yMode val="edge"/>
              <c:x val="0.4879719536653645"/>
              <c:y val="0.92051921507016865"/>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title>
        <c:numFmt formatCode="#,##0" sourceLinked="0"/>
        <c:majorTickMark val="out"/>
        <c:minorTickMark val="out"/>
        <c:tickLblPos val="nextTo"/>
        <c:spPr>
          <a:noFill/>
          <a:ln>
            <a:solidFill>
              <a:schemeClr val="bg1">
                <a:lumMod val="75000"/>
              </a:schemeClr>
            </a:solidFill>
          </a:ln>
          <a:effectLst/>
        </c:spPr>
        <c:txPr>
          <a:bodyPr rot="-60000000" spcFirstLastPara="1" vertOverflow="ellipsis" vert="horz" wrap="square" anchor="ctr" anchorCtr="1"/>
          <a:lstStyle/>
          <a:p>
            <a:pPr>
              <a:defRPr sz="900" b="1" i="0" u="none" strike="noStrike" kern="1200" baseline="0">
                <a:solidFill>
                  <a:sysClr val="windowText" lastClr="000000"/>
                </a:solidFill>
                <a:latin typeface="Calibri" panose="020F0502020204030204" pitchFamily="34" charset="0"/>
                <a:ea typeface="+mn-ea"/>
                <a:cs typeface="Calibri" panose="020F0502020204030204" pitchFamily="34" charset="0"/>
              </a:defRPr>
            </a:pPr>
            <a:endParaRPr lang="en-US"/>
          </a:p>
        </c:txPr>
        <c:crossAx val="399260976"/>
        <c:crosses val="autoZero"/>
        <c:crossBetween val="between"/>
        <c:majorUnit val="1"/>
        <c:minorUnit val="0.5"/>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b="1">
          <a:solidFill>
            <a:sysClr val="windowText" lastClr="000000"/>
          </a:solidFill>
          <a:latin typeface="Calibri" panose="020F0502020204030204" pitchFamily="34" charset="0"/>
          <a:cs typeface="Calibri" panose="020F0502020204030204" pitchFamily="34" charset="0"/>
        </a:defRPr>
      </a:pPr>
      <a:endParaRPr lang="en-US"/>
    </a:p>
  </c:txPr>
  <c:printSettings>
    <c:headerFooter/>
    <c:pageMargins b="0.75" l="0.7" r="0.7" t="0.75" header="0.3" footer="0.3"/>
    <c:pageSetup orientation="portrait"/>
  </c:printSettings>
  <c:userShapes r:id="rId3"/>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Metals Concentrations in GKM Release</a:t>
            </a:r>
          </a:p>
        </c:rich>
      </c:tx>
      <c:layout>
        <c:manualLayout>
          <c:xMode val="edge"/>
          <c:yMode val="edge"/>
          <c:x val="0.28427317175381278"/>
          <c:y val="4.0518914893438986E-2"/>
        </c:manualLayout>
      </c:layout>
      <c:overlay val="0"/>
      <c:spPr>
        <a:noFill/>
        <a:ln>
          <a:noFill/>
        </a:ln>
        <a:effectLst/>
      </c:spPr>
    </c:title>
    <c:autoTitleDeleted val="0"/>
    <c:plotArea>
      <c:layout>
        <c:manualLayout>
          <c:layoutTarget val="inner"/>
          <c:xMode val="edge"/>
          <c:yMode val="edge"/>
          <c:x val="0.19745648838244581"/>
          <c:y val="0.16028215223097114"/>
          <c:w val="0.76839530667747158"/>
          <c:h val="0.66087896683369129"/>
        </c:manualLayout>
      </c:layout>
      <c:barChart>
        <c:barDir val="col"/>
        <c:grouping val="stacked"/>
        <c:varyColors val="0"/>
        <c:ser>
          <c:idx val="0"/>
          <c:order val="0"/>
          <c:tx>
            <c:strRef>
              <c:f>'Compare GKM w Cement Fig 3-15 '!$D$3</c:f>
              <c:strCache>
                <c:ptCount val="1"/>
                <c:pt idx="0">
                  <c:v>Colloidal/Particulate</c:v>
                </c:pt>
              </c:strCache>
            </c:strRef>
          </c:tx>
          <c:spPr>
            <a:solidFill>
              <a:srgbClr val="FFC000"/>
            </a:solidFill>
            <a:ln>
              <a:noFill/>
            </a:ln>
            <a:effectLst/>
          </c:spPr>
          <c:invertIfNegative val="0"/>
          <c:dLbls>
            <c:dLbl>
              <c:idx val="0"/>
              <c:layout>
                <c:manualLayout>
                  <c:x val="6.3835971228745916E-2"/>
                  <c:y val="-2.953177166573228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25F-40A8-A209-A0DEC543AAE5}"/>
                </c:ext>
              </c:extLst>
            </c:dLbl>
            <c:dLbl>
              <c:idx val="1"/>
              <c:layout>
                <c:manualLayout>
                  <c:x val="9.5145828889129109E-3"/>
                  <c:y val="-1.63716749366162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25F-40A8-A209-A0DEC543AAE5}"/>
                </c:ext>
              </c:extLst>
            </c:dLbl>
            <c:dLbl>
              <c:idx val="2"/>
              <c:layout>
                <c:manualLayout>
                  <c:x val="1.2091424176534794E-3"/>
                  <c:y val="5.3429553422753556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25F-40A8-A209-A0DEC543AAE5}"/>
                </c:ext>
              </c:extLst>
            </c:dLbl>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'Compare GKM w Cement Fig 3-15 '!$B$5:$B$7</c:f>
              <c:strCache>
                <c:ptCount val="3"/>
                <c:pt idx="0">
                  <c:v>GKM Effluent at Release</c:v>
                </c:pt>
                <c:pt idx="1">
                  <c:v>GKM Plume Estimated at Peak</c:v>
                </c:pt>
                <c:pt idx="2">
                  <c:v>GKM Plume Measured at 16:00</c:v>
                </c:pt>
              </c:strCache>
            </c:strRef>
          </c:cat>
          <c:val>
            <c:numRef>
              <c:f>'Compare GKM w Cement Fig 3-15 '!$D$11:$D$13</c:f>
              <c:numCache>
                <c:formatCode>#,##0</c:formatCode>
                <c:ptCount val="3"/>
                <c:pt idx="0">
                  <c:v>1</c:v>
                </c:pt>
                <c:pt idx="1">
                  <c:v>39000</c:v>
                </c:pt>
                <c:pt idx="2">
                  <c:v>11500</c:v>
                </c:pt>
              </c:numCache>
            </c:numRef>
          </c:val>
          <c:extLst>
            <c:ext xmlns:c16="http://schemas.microsoft.com/office/drawing/2014/chart" uri="{C3380CC4-5D6E-409C-BE32-E72D297353CC}">
              <c16:uniqueId val="{00000007-025F-40A8-A209-A0DEC543AAE5}"/>
            </c:ext>
          </c:extLst>
        </c:ser>
        <c:ser>
          <c:idx val="1"/>
          <c:order val="1"/>
          <c:tx>
            <c:strRef>
              <c:f>'Compare GKM w Cement Fig 3-15 '!$C$3</c:f>
              <c:strCache>
                <c:ptCount val="1"/>
                <c:pt idx="0">
                  <c:v>Dissolved</c:v>
                </c:pt>
              </c:strCache>
            </c:strRef>
          </c:tx>
          <c:spPr>
            <a:solidFill>
              <a:schemeClr val="accent1">
                <a:lumMod val="60000"/>
                <a:lumOff val="40000"/>
              </a:schemeClr>
            </a:solidFill>
            <a:ln>
              <a:noFill/>
            </a:ln>
            <a:effectLst/>
          </c:spPr>
          <c:invertIfNegative val="0"/>
          <c:dLbls>
            <c:dLbl>
              <c:idx val="0"/>
              <c:layout>
                <c:manualLayout>
                  <c:x val="-3.2088174791800116E-2"/>
                  <c:y val="-4.4522797446217441E-2"/>
                </c:manualLayout>
              </c:layout>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25F-40A8-A209-A0DEC543AAE5}"/>
                </c:ext>
              </c:extLst>
            </c:dLbl>
            <c:dLbl>
              <c:idx val="1"/>
              <c:layout>
                <c:manualLayout>
                  <c:x val="0.11237658664069816"/>
                  <c:y val="-9.9626387970780748E-3"/>
                </c:manualLayout>
              </c:layout>
              <c:spPr>
                <a:no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25F-40A8-A209-A0DEC543AAE5}"/>
                </c:ext>
              </c:extLst>
            </c:dLbl>
            <c:dLbl>
              <c:idx val="2"/>
              <c:layout>
                <c:manualLayout>
                  <c:x val="1.6704627743887444E-2"/>
                  <c:y val="-4.8152623442585911E-2"/>
                </c:manualLayout>
              </c:layout>
              <c:spPr>
                <a:noFill/>
                <a:ln>
                  <a:noFill/>
                </a:ln>
                <a:effectLst/>
              </c:spPr>
              <c:txPr>
                <a:bodyPr rot="0" spcFirstLastPara="1" vertOverflow="ellipsis" vert="horz" wrap="square" lIns="38100" tIns="19050" rIns="38100" bIns="19050" anchor="ctr" anchorCtr="1">
                  <a:noAutofit/>
                </a:bodyPr>
                <a:lstStyle/>
                <a:p>
                  <a:pPr>
                    <a:defRPr sz="11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2065308996153511"/>
                      <c:h val="5.7882931411023429E-2"/>
                    </c:manualLayout>
                  </c15:layout>
                </c:ext>
                <c:ext xmlns:c16="http://schemas.microsoft.com/office/drawing/2014/chart" uri="{C3380CC4-5D6E-409C-BE32-E72D297353CC}">
                  <c16:uniqueId val="{00000008-025F-40A8-A209-A0DEC543AAE5}"/>
                </c:ext>
              </c:extLst>
            </c:dLbl>
            <c:spPr>
              <a:solidFill>
                <a:srgbClr val="44546A">
                  <a:lumMod val="40000"/>
                  <a:lumOff val="60000"/>
                </a:srgbClr>
              </a:solidFill>
              <a:ln>
                <a:noFill/>
              </a:ln>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'Compare GKM w Cement Fig 3-15 '!$B$5:$B$7</c:f>
              <c:strCache>
                <c:ptCount val="3"/>
                <c:pt idx="0">
                  <c:v>GKM Effluent at Release</c:v>
                </c:pt>
                <c:pt idx="1">
                  <c:v>GKM Plume Estimated at Peak</c:v>
                </c:pt>
                <c:pt idx="2">
                  <c:v>GKM Plume Measured at 16:00</c:v>
                </c:pt>
              </c:strCache>
            </c:strRef>
          </c:cat>
          <c:val>
            <c:numRef>
              <c:f>'Compare GKM w Cement Fig 3-15 '!$C$11:$C$13</c:f>
              <c:numCache>
                <c:formatCode>#,##0</c:formatCode>
                <c:ptCount val="3"/>
                <c:pt idx="0">
                  <c:v>656</c:v>
                </c:pt>
                <c:pt idx="1">
                  <c:v>4000</c:v>
                </c:pt>
                <c:pt idx="2">
                  <c:v>725</c:v>
                </c:pt>
              </c:numCache>
            </c:numRef>
          </c:val>
          <c:extLst>
            <c:ext xmlns:c16="http://schemas.microsoft.com/office/drawing/2014/chart" uri="{C3380CC4-5D6E-409C-BE32-E72D297353CC}">
              <c16:uniqueId val="{00000002-025F-40A8-A209-A0DEC543AAE5}"/>
            </c:ext>
          </c:extLst>
        </c:ser>
        <c:dLbls>
          <c:showLegendKey val="0"/>
          <c:showVal val="0"/>
          <c:showCatName val="0"/>
          <c:showSerName val="0"/>
          <c:showPercent val="0"/>
          <c:showBubbleSize val="0"/>
        </c:dLbls>
        <c:gapWidth val="150"/>
        <c:overlap val="100"/>
        <c:axId val="336741136"/>
        <c:axId val="336743488"/>
      </c:barChart>
      <c:catAx>
        <c:axId val="336741136"/>
        <c:scaling>
          <c:orientation val="minMax"/>
        </c:scaling>
        <c:delete val="0"/>
        <c:axPos val="b"/>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336743488"/>
        <c:crosses val="autoZero"/>
        <c:auto val="1"/>
        <c:lblAlgn val="ctr"/>
        <c:lblOffset val="100"/>
        <c:noMultiLvlLbl val="0"/>
      </c:catAx>
      <c:valAx>
        <c:axId val="336743488"/>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Concentration (mg/L)</a:t>
                </a:r>
              </a:p>
            </c:rich>
          </c:tx>
          <c:layout>
            <c:manualLayout>
              <c:xMode val="edge"/>
              <c:yMode val="edge"/>
              <c:x val="2.4599732488571918E-2"/>
              <c:y val="0.3144276790869307"/>
            </c:manualLayout>
          </c:layout>
          <c:overlay val="0"/>
          <c:spPr>
            <a:noFill/>
            <a:ln>
              <a:noFill/>
            </a:ln>
            <a:effectLst/>
          </c:spPr>
        </c:title>
        <c:numFmt formatCode="#,##0" sourceLinked="1"/>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336741136"/>
        <c:crosses val="autoZero"/>
        <c:crossBetween val="between"/>
      </c:valAx>
    </c:plotArea>
    <c:legend>
      <c:legendPos val="b"/>
      <c:layout>
        <c:manualLayout>
          <c:xMode val="edge"/>
          <c:yMode val="edge"/>
          <c:x val="0.28513466102061574"/>
          <c:y val="0.15559419165083802"/>
          <c:w val="0.32125854632985845"/>
          <c:h val="0.13713794567773138"/>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r>
              <a:rPr lang="en-US" sz="1200"/>
              <a:t>Cement Creek </a:t>
            </a:r>
            <a:br>
              <a:rPr lang="en-US" sz="1200"/>
            </a:br>
            <a:r>
              <a:rPr lang="en-US" sz="1200"/>
              <a:t>Summed Metasl During GKM Plume</a:t>
            </a:r>
          </a:p>
        </c:rich>
      </c:tx>
      <c:layout>
        <c:manualLayout>
          <c:xMode val="edge"/>
          <c:yMode val="edge"/>
          <c:x val="0.25901000656167983"/>
          <c:y val="1.727270577664278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24693570355131822"/>
          <c:y val="0.16028215223097114"/>
          <c:w val="0.71891606624121118"/>
          <c:h val="0.66087896683369129"/>
        </c:manualLayout>
      </c:layout>
      <c:barChart>
        <c:barDir val="col"/>
        <c:grouping val="stacked"/>
        <c:varyColors val="0"/>
        <c:ser>
          <c:idx val="1"/>
          <c:order val="0"/>
          <c:tx>
            <c:strRef>
              <c:f>'Fig 3_15 Compare Concentrations'!$C$2</c:f>
              <c:strCache>
                <c:ptCount val="1"/>
                <c:pt idx="0">
                  <c:v>Colloidal/Particulate</c:v>
                </c:pt>
              </c:strCache>
            </c:strRef>
          </c:tx>
          <c:spPr>
            <a:solidFill>
              <a:srgbClr val="FFC000"/>
            </a:solidFill>
            <a:ln>
              <a:noFill/>
            </a:ln>
            <a:effectLst/>
          </c:spPr>
          <c:invertIfNegative val="0"/>
          <c:dLbls>
            <c:dLbl>
              <c:idx val="0"/>
              <c:layout>
                <c:manualLayout>
                  <c:x val="5.8983306721994783E-2"/>
                  <c:y val="-2.12765957446808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CB4-42C5-AA7E-1B8F01FC72EE}"/>
                </c:ext>
              </c:extLst>
            </c:dLbl>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3_15 Compare Concentrations'!$A$3:$A$5</c:f>
              <c:strCache>
                <c:ptCount val="3"/>
                <c:pt idx="0">
                  <c:v>GKM</c:v>
                </c:pt>
                <c:pt idx="1">
                  <c:v>16:00 Measured</c:v>
                </c:pt>
                <c:pt idx="2">
                  <c:v>12:45 Estimated</c:v>
                </c:pt>
              </c:strCache>
            </c:strRef>
          </c:cat>
          <c:val>
            <c:numRef>
              <c:f>'Fig 3_15 Compare Concentrations'!$C$8:$C$10</c:f>
              <c:numCache>
                <c:formatCode>#,##0</c:formatCode>
                <c:ptCount val="3"/>
                <c:pt idx="0">
                  <c:v>1</c:v>
                </c:pt>
                <c:pt idx="1">
                  <c:v>11500</c:v>
                </c:pt>
                <c:pt idx="2">
                  <c:v>39000</c:v>
                </c:pt>
              </c:numCache>
            </c:numRef>
          </c:val>
          <c:extLst>
            <c:ext xmlns:c16="http://schemas.microsoft.com/office/drawing/2014/chart" uri="{C3380CC4-5D6E-409C-BE32-E72D297353CC}">
              <c16:uniqueId val="{00000001-0CB4-42C5-AA7E-1B8F01FC72EE}"/>
            </c:ext>
          </c:extLst>
        </c:ser>
        <c:ser>
          <c:idx val="0"/>
          <c:order val="1"/>
          <c:tx>
            <c:strRef>
              <c:f>'Fig 3_15 Compare Concentrations'!$B$2</c:f>
              <c:strCache>
                <c:ptCount val="1"/>
                <c:pt idx="0">
                  <c:v>Dissolved</c:v>
                </c:pt>
              </c:strCache>
            </c:strRef>
          </c:tx>
          <c:spPr>
            <a:solidFill>
              <a:schemeClr val="tx2">
                <a:lumMod val="40000"/>
                <a:lumOff val="60000"/>
              </a:schemeClr>
            </a:solidFill>
            <a:ln>
              <a:noFill/>
            </a:ln>
            <a:effectLst/>
          </c:spPr>
          <c:invertIfNegative val="0"/>
          <c:dLbls>
            <c:dLbl>
              <c:idx val="0"/>
              <c:layout>
                <c:manualLayout>
                  <c:x val="2.1730691950208606E-2"/>
                  <c:y val="-6.938236443848787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CB4-42C5-AA7E-1B8F01FC72EE}"/>
                </c:ext>
              </c:extLst>
            </c:dLbl>
            <c:dLbl>
              <c:idx val="1"/>
              <c:layout>
                <c:manualLayout>
                  <c:x val="1.862630738589309E-2"/>
                  <c:y val="-6.523538281119128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CB4-42C5-AA7E-1B8F01FC72EE}"/>
                </c:ext>
              </c:extLst>
            </c:dLbl>
            <c:dLbl>
              <c:idx val="2"/>
              <c:layout>
                <c:manualLayout>
                  <c:x val="5.587892215767927E-2"/>
                  <c:y val="-7.767911989724690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CB4-42C5-AA7E-1B8F01FC72EE}"/>
                </c:ext>
              </c:extLst>
            </c:dLbl>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 3_15 Compare Concentrations'!$A$3:$A$5</c:f>
              <c:strCache>
                <c:ptCount val="3"/>
                <c:pt idx="0">
                  <c:v>GKM</c:v>
                </c:pt>
                <c:pt idx="1">
                  <c:v>16:00 Measured</c:v>
                </c:pt>
                <c:pt idx="2">
                  <c:v>12:45 Estimated</c:v>
                </c:pt>
              </c:strCache>
            </c:strRef>
          </c:cat>
          <c:val>
            <c:numRef>
              <c:f>'Fig 3_15 Compare Concentrations'!$B$8:$B$10</c:f>
              <c:numCache>
                <c:formatCode>#,##0</c:formatCode>
                <c:ptCount val="3"/>
                <c:pt idx="0">
                  <c:v>656</c:v>
                </c:pt>
                <c:pt idx="1">
                  <c:v>725</c:v>
                </c:pt>
                <c:pt idx="2">
                  <c:v>4000</c:v>
                </c:pt>
              </c:numCache>
            </c:numRef>
          </c:val>
          <c:extLst>
            <c:ext xmlns:c16="http://schemas.microsoft.com/office/drawing/2014/chart" uri="{C3380CC4-5D6E-409C-BE32-E72D297353CC}">
              <c16:uniqueId val="{00000005-0CB4-42C5-AA7E-1B8F01FC72EE}"/>
            </c:ext>
          </c:extLst>
        </c:ser>
        <c:dLbls>
          <c:showLegendKey val="0"/>
          <c:showVal val="0"/>
          <c:showCatName val="0"/>
          <c:showSerName val="0"/>
          <c:showPercent val="0"/>
          <c:showBubbleSize val="0"/>
        </c:dLbls>
        <c:gapWidth val="150"/>
        <c:overlap val="100"/>
        <c:axId val="336741136"/>
        <c:axId val="336743488"/>
      </c:barChart>
      <c:catAx>
        <c:axId val="336741136"/>
        <c:scaling>
          <c:orientation val="minMax"/>
        </c:scaling>
        <c:delete val="0"/>
        <c:axPos val="b"/>
        <c:numFmt formatCode="General"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crossAx val="336743488"/>
        <c:crosses val="autoZero"/>
        <c:auto val="1"/>
        <c:lblAlgn val="ctr"/>
        <c:lblOffset val="100"/>
        <c:noMultiLvlLbl val="0"/>
      </c:catAx>
      <c:valAx>
        <c:axId val="336743488"/>
        <c:scaling>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r>
                  <a:rPr lang="en-US" sz="1200"/>
                  <a:t>Concentration (mg/L)</a:t>
                </a:r>
              </a:p>
            </c:rich>
          </c:tx>
          <c:layout>
            <c:manualLayout>
              <c:xMode val="edge"/>
              <c:yMode val="edge"/>
              <c:x val="1.6787237532808402E-2"/>
              <c:y val="0.26793533691171484"/>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chemeClr val="tx1"/>
                  </a:solidFill>
                  <a:latin typeface="+mn-lt"/>
                  <a:ea typeface="+mn-ea"/>
                  <a:cs typeface="+mn-cs"/>
                </a:defRPr>
              </a:pPr>
              <a:endParaRPr lang="en-US"/>
            </a:p>
          </c:txPr>
        </c:title>
        <c:numFmt formatCode="#,##0" sourceLinked="1"/>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336741136"/>
        <c:crosses val="autoZero"/>
        <c:crossBetween val="between"/>
      </c:valAx>
      <c:spPr>
        <a:noFill/>
        <a:ln>
          <a:noFill/>
        </a:ln>
        <a:effectLst/>
      </c:spPr>
    </c:plotArea>
    <c:legend>
      <c:legendPos val="b"/>
      <c:layout>
        <c:manualLayout>
          <c:xMode val="edge"/>
          <c:yMode val="edge"/>
          <c:x val="0.30336388178112478"/>
          <c:y val="0.17551934997487012"/>
          <c:w val="0.40079068241469817"/>
          <c:h val="0.18263667839392417"/>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b="1">
          <a:solidFill>
            <a:schemeClr val="tx1"/>
          </a:solidFill>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050"/>
              <a:t>Gain in Dissolved Metals</a:t>
            </a:r>
            <a:r>
              <a:rPr lang="en-US" sz="1050" baseline="0"/>
              <a:t> Measured in Cement Creek During GKM Plume Passage (August 5 at 16:00</a:t>
            </a:r>
            <a:r>
              <a:rPr lang="en-US" sz="1200" baseline="0"/>
              <a:t>)</a:t>
            </a:r>
            <a:endParaRPr lang="en-US" sz="1200"/>
          </a:p>
        </c:rich>
      </c:tx>
      <c:layout>
        <c:manualLayout>
          <c:xMode val="edge"/>
          <c:yMode val="edge"/>
          <c:x val="0.15586218214992714"/>
          <c:y val="4.8563741533286702E-3"/>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9440375775199931"/>
          <c:y val="0.13792494709400266"/>
          <c:w val="0.76813349716468426"/>
          <c:h val="0.65723354397727907"/>
        </c:manualLayout>
      </c:layout>
      <c:barChart>
        <c:barDir val="col"/>
        <c:grouping val="stacked"/>
        <c:varyColors val="0"/>
        <c:ser>
          <c:idx val="0"/>
          <c:order val="0"/>
          <c:tx>
            <c:strRef>
              <c:f>'[1]How is Dissolved Different 1600'!$D$38</c:f>
              <c:strCache>
                <c:ptCount val="1"/>
                <c:pt idx="0">
                  <c:v>Increase Due to Effluent</c:v>
                </c:pt>
              </c:strCache>
            </c:strRef>
          </c:tx>
          <c:spPr>
            <a:solidFill>
              <a:schemeClr val="accent4">
                <a:lumMod val="60000"/>
                <a:lumOff val="40000"/>
              </a:schemeClr>
            </a:solidFill>
            <a:ln>
              <a:solidFill>
                <a:schemeClr val="bg1">
                  <a:lumMod val="65000"/>
                </a:schemeClr>
              </a:solidFill>
            </a:ln>
            <a:effectLst/>
          </c:spPr>
          <c:invertIfNegative val="0"/>
          <c:cat>
            <c:strRef>
              <c:f>'[1]How is Dissolved Different 1600'!$B$52:$B$60</c:f>
              <c:strCache>
                <c:ptCount val="9"/>
                <c:pt idx="0">
                  <c:v>Arsenic</c:v>
                </c:pt>
                <c:pt idx="1">
                  <c:v>Lead</c:v>
                </c:pt>
                <c:pt idx="2">
                  <c:v>Copper</c:v>
                </c:pt>
                <c:pt idx="3">
                  <c:v>Zinc</c:v>
                </c:pt>
                <c:pt idx="4">
                  <c:v>Nickel</c:v>
                </c:pt>
                <c:pt idx="5">
                  <c:v>Cadmium</c:v>
                </c:pt>
                <c:pt idx="6">
                  <c:v>Iron</c:v>
                </c:pt>
                <c:pt idx="7">
                  <c:v>Aluminum</c:v>
                </c:pt>
                <c:pt idx="8">
                  <c:v>Manganese</c:v>
                </c:pt>
              </c:strCache>
            </c:strRef>
          </c:cat>
          <c:val>
            <c:numRef>
              <c:f>'[1]How is Dissolved Different 1600'!$D$52:$D$60</c:f>
              <c:numCache>
                <c:formatCode>General</c:formatCode>
                <c:ptCount val="9"/>
                <c:pt idx="0">
                  <c:v>1.0101829999999999E-2</c:v>
                </c:pt>
                <c:pt idx="1">
                  <c:v>0</c:v>
                </c:pt>
                <c:pt idx="2">
                  <c:v>1.5667599999999999</c:v>
                </c:pt>
                <c:pt idx="3">
                  <c:v>4.9450000000000003</c:v>
                </c:pt>
                <c:pt idx="4">
                  <c:v>1.2650000000000002E-2</c:v>
                </c:pt>
                <c:pt idx="5">
                  <c:v>1.5409999999999997E-2</c:v>
                </c:pt>
                <c:pt idx="6">
                  <c:v>24.219000000000001</c:v>
                </c:pt>
                <c:pt idx="7">
                  <c:v>7.0380000000000003</c:v>
                </c:pt>
                <c:pt idx="8">
                  <c:v>5.98</c:v>
                </c:pt>
              </c:numCache>
            </c:numRef>
          </c:val>
          <c:extLst>
            <c:ext xmlns:c16="http://schemas.microsoft.com/office/drawing/2014/chart" uri="{C3380CC4-5D6E-409C-BE32-E72D297353CC}">
              <c16:uniqueId val="{00000000-485E-448C-9505-1F22C45AF059}"/>
            </c:ext>
          </c:extLst>
        </c:ser>
        <c:ser>
          <c:idx val="1"/>
          <c:order val="1"/>
          <c:tx>
            <c:strRef>
              <c:f>'[1]How is Dissolved Different 1600'!$E$38</c:f>
              <c:strCache>
                <c:ptCount val="1"/>
                <c:pt idx="0">
                  <c:v>Unexplained Gain Observed</c:v>
                </c:pt>
              </c:strCache>
            </c:strRef>
          </c:tx>
          <c:spPr>
            <a:solidFill>
              <a:schemeClr val="bg1">
                <a:lumMod val="65000"/>
              </a:schemeClr>
            </a:solidFill>
            <a:ln>
              <a:solidFill>
                <a:schemeClr val="bg1">
                  <a:lumMod val="65000"/>
                </a:schemeClr>
              </a:solidFill>
            </a:ln>
            <a:effectLst/>
          </c:spPr>
          <c:invertIfNegative val="0"/>
          <c:cat>
            <c:strRef>
              <c:f>'[1]How is Dissolved Different 1600'!$B$52:$B$60</c:f>
              <c:strCache>
                <c:ptCount val="9"/>
                <c:pt idx="0">
                  <c:v>Arsenic</c:v>
                </c:pt>
                <c:pt idx="1">
                  <c:v>Lead</c:v>
                </c:pt>
                <c:pt idx="2">
                  <c:v>Copper</c:v>
                </c:pt>
                <c:pt idx="3">
                  <c:v>Zinc</c:v>
                </c:pt>
                <c:pt idx="4">
                  <c:v>Nickel</c:v>
                </c:pt>
                <c:pt idx="5">
                  <c:v>Cadmium</c:v>
                </c:pt>
                <c:pt idx="6">
                  <c:v>Iron</c:v>
                </c:pt>
                <c:pt idx="7">
                  <c:v>Aluminum</c:v>
                </c:pt>
                <c:pt idx="8">
                  <c:v>Manganese</c:v>
                </c:pt>
              </c:strCache>
            </c:strRef>
          </c:cat>
          <c:val>
            <c:numRef>
              <c:f>'[1]How is Dissolved Different 1600'!$E$52:$E$60</c:f>
              <c:numCache>
                <c:formatCode>General</c:formatCode>
                <c:ptCount val="9"/>
                <c:pt idx="0">
                  <c:v>-7.6808300000000005E-3</c:v>
                </c:pt>
                <c:pt idx="1">
                  <c:v>0.126</c:v>
                </c:pt>
                <c:pt idx="2">
                  <c:v>8.745239999999999</c:v>
                </c:pt>
                <c:pt idx="3">
                  <c:v>16.355</c:v>
                </c:pt>
                <c:pt idx="4">
                  <c:v>6.1849999999999995E-2</c:v>
                </c:pt>
                <c:pt idx="5">
                  <c:v>6.4890000000000003E-2</c:v>
                </c:pt>
                <c:pt idx="6">
                  <c:v>10.581</c:v>
                </c:pt>
                <c:pt idx="7">
                  <c:v>82.462000000000003</c:v>
                </c:pt>
                <c:pt idx="8">
                  <c:v>21.12</c:v>
                </c:pt>
              </c:numCache>
            </c:numRef>
          </c:val>
          <c:extLst>
            <c:ext xmlns:c16="http://schemas.microsoft.com/office/drawing/2014/chart" uri="{C3380CC4-5D6E-409C-BE32-E72D297353CC}">
              <c16:uniqueId val="{00000001-485E-448C-9505-1F22C45AF059}"/>
            </c:ext>
          </c:extLst>
        </c:ser>
        <c:dLbls>
          <c:showLegendKey val="0"/>
          <c:showVal val="0"/>
          <c:showCatName val="0"/>
          <c:showSerName val="0"/>
          <c:showPercent val="0"/>
          <c:showBubbleSize val="0"/>
        </c:dLbls>
        <c:gapWidth val="182"/>
        <c:overlap val="100"/>
        <c:axId val="838482976"/>
        <c:axId val="838483368"/>
      </c:barChart>
      <c:catAx>
        <c:axId val="838482976"/>
        <c:scaling>
          <c:orientation val="minMax"/>
        </c:scaling>
        <c:delete val="0"/>
        <c:axPos val="b"/>
        <c:numFmt formatCode="General" sourceLinked="1"/>
        <c:majorTickMark val="none"/>
        <c:minorTickMark val="none"/>
        <c:tickLblPos val="low"/>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838483368"/>
        <c:crossesAt val="0"/>
        <c:auto val="1"/>
        <c:lblAlgn val="ctr"/>
        <c:lblOffset val="100"/>
        <c:noMultiLvlLbl val="0"/>
      </c:catAx>
      <c:valAx>
        <c:axId val="83848336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sz="1200"/>
                  <a:t>Concentration (mg/L)</a:t>
                </a:r>
              </a:p>
            </c:rich>
          </c:tx>
          <c:layout>
            <c:manualLayout>
              <c:xMode val="edge"/>
              <c:yMode val="edge"/>
              <c:x val="2.2222222222222223E-2"/>
              <c:y val="0.2732811219341249"/>
            </c:manualLayout>
          </c:layout>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838482976"/>
        <c:crosses val="autoZero"/>
        <c:crossBetween val="between"/>
        <c:minorUnit val="5"/>
      </c:valAx>
      <c:spPr>
        <a:noFill/>
        <a:ln>
          <a:noFill/>
        </a:ln>
        <a:effectLst/>
      </c:spPr>
    </c:plotArea>
    <c:legend>
      <c:legendPos val="b"/>
      <c:layout>
        <c:manualLayout>
          <c:xMode val="edge"/>
          <c:yMode val="edge"/>
          <c:x val="0.18333675826957138"/>
          <c:y val="0.15903762108657582"/>
          <c:w val="0.59296231360474205"/>
          <c:h val="0.13160284637494318"/>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Gold King Mine Release to Animas River</a:t>
            </a:r>
          </a:p>
        </c:rich>
      </c:tx>
      <c:layout>
        <c:manualLayout>
          <c:xMode val="edge"/>
          <c:yMode val="edge"/>
          <c:x val="0.29507894302727572"/>
          <c:y val="4.9780064620635285E-2"/>
        </c:manualLayout>
      </c:layout>
      <c:overlay val="0"/>
      <c:spPr>
        <a:noFill/>
        <a:ln>
          <a:noFill/>
        </a:ln>
        <a:effectLst/>
      </c:spPr>
    </c:title>
    <c:autoTitleDeleted val="0"/>
    <c:plotArea>
      <c:layout>
        <c:manualLayout>
          <c:layoutTarget val="inner"/>
          <c:xMode val="edge"/>
          <c:yMode val="edge"/>
          <c:x val="0.20178896731061563"/>
          <c:y val="0.17050962379702536"/>
          <c:w val="0.76765553133331321"/>
          <c:h val="0.63170950165882733"/>
        </c:manualLayout>
      </c:layout>
      <c:barChart>
        <c:barDir val="col"/>
        <c:grouping val="stacked"/>
        <c:varyColors val="0"/>
        <c:ser>
          <c:idx val="1"/>
          <c:order val="0"/>
          <c:tx>
            <c:strRef>
              <c:f>'Mass Delivered Figs 3-19, 3-20'!$K$4</c:f>
              <c:strCache>
                <c:ptCount val="1"/>
                <c:pt idx="0">
                  <c:v>Dissolved</c:v>
                </c:pt>
              </c:strCache>
            </c:strRef>
          </c:tx>
          <c:spPr>
            <a:solidFill>
              <a:schemeClr val="tx2">
                <a:lumMod val="60000"/>
                <a:lumOff val="40000"/>
              </a:schemeClr>
            </a:solidFill>
            <a:ln>
              <a:solidFill>
                <a:schemeClr val="bg1">
                  <a:lumMod val="50000"/>
                </a:schemeClr>
              </a:solidFill>
            </a:ln>
            <a:effectLst/>
          </c:spPr>
          <c:invertIfNegative val="0"/>
          <c:cat>
            <c:strRef>
              <c:f>'Mass Delivered Figs 3-19, 3-20'!$H$6:$H$9</c:f>
              <c:strCache>
                <c:ptCount val="4"/>
                <c:pt idx="0">
                  <c:v>Aluminum</c:v>
                </c:pt>
                <c:pt idx="1">
                  <c:v>Calcium</c:v>
                </c:pt>
                <c:pt idx="2">
                  <c:v>Magnesium</c:v>
                </c:pt>
                <c:pt idx="3">
                  <c:v>Potassium</c:v>
                </c:pt>
              </c:strCache>
            </c:strRef>
          </c:cat>
          <c:val>
            <c:numRef>
              <c:f>'Mass Delivered Figs 3-19, 3-20'!$K$6:$K$9</c:f>
              <c:numCache>
                <c:formatCode>#,##0.00</c:formatCode>
                <c:ptCount val="4"/>
                <c:pt idx="0">
                  <c:v>6545.3905274279105</c:v>
                </c:pt>
                <c:pt idx="1">
                  <c:v>31095.26863655827</c:v>
                </c:pt>
                <c:pt idx="2">
                  <c:v>2463.8041140840892</c:v>
                </c:pt>
                <c:pt idx="3">
                  <c:v>462.38768603604444</c:v>
                </c:pt>
              </c:numCache>
            </c:numRef>
          </c:val>
          <c:extLst>
            <c:ext xmlns:c16="http://schemas.microsoft.com/office/drawing/2014/chart" uri="{C3380CC4-5D6E-409C-BE32-E72D297353CC}">
              <c16:uniqueId val="{00000001-7EC5-4074-9869-67AE618A6647}"/>
            </c:ext>
          </c:extLst>
        </c:ser>
        <c:ser>
          <c:idx val="0"/>
          <c:order val="1"/>
          <c:tx>
            <c:strRef>
              <c:f>'Mass Delivered Figs 3-19, 3-20'!$L$4</c:f>
              <c:strCache>
                <c:ptCount val="1"/>
                <c:pt idx="0">
                  <c:v>Colloid/Particulate</c:v>
                </c:pt>
              </c:strCache>
            </c:strRef>
          </c:tx>
          <c:spPr>
            <a:solidFill>
              <a:srgbClr val="FFC000"/>
            </a:solidFill>
            <a:ln>
              <a:solidFill>
                <a:schemeClr val="bg1">
                  <a:lumMod val="50000"/>
                </a:schemeClr>
              </a:solidFill>
            </a:ln>
            <a:effectLst/>
          </c:spPr>
          <c:invertIfNegative val="0"/>
          <c:cat>
            <c:strRef>
              <c:f>'Mass Delivered Figs 3-19, 3-20'!$H$6:$H$9</c:f>
              <c:strCache>
                <c:ptCount val="4"/>
                <c:pt idx="0">
                  <c:v>Aluminum</c:v>
                </c:pt>
                <c:pt idx="1">
                  <c:v>Calcium</c:v>
                </c:pt>
                <c:pt idx="2">
                  <c:v>Magnesium</c:v>
                </c:pt>
                <c:pt idx="3">
                  <c:v>Potassium</c:v>
                </c:pt>
              </c:strCache>
            </c:strRef>
          </c:cat>
          <c:val>
            <c:numRef>
              <c:f>'Mass Delivered Figs 3-19, 3-20'!$L$6:$L$9</c:f>
              <c:numCache>
                <c:formatCode>#,##0</c:formatCode>
                <c:ptCount val="4"/>
                <c:pt idx="0">
                  <c:v>34586.14674348374</c:v>
                </c:pt>
                <c:pt idx="1">
                  <c:v>0</c:v>
                </c:pt>
                <c:pt idx="2">
                  <c:v>9875.8709262574394</c:v>
                </c:pt>
                <c:pt idx="3">
                  <c:v>8692.9444209902686</c:v>
                </c:pt>
              </c:numCache>
            </c:numRef>
          </c:val>
          <c:extLst>
            <c:ext xmlns:c16="http://schemas.microsoft.com/office/drawing/2014/chart" uri="{C3380CC4-5D6E-409C-BE32-E72D297353CC}">
              <c16:uniqueId val="{00000003-7EC5-4074-9869-67AE618A6647}"/>
            </c:ext>
          </c:extLst>
        </c:ser>
        <c:dLbls>
          <c:showLegendKey val="0"/>
          <c:showVal val="0"/>
          <c:showCatName val="0"/>
          <c:showSerName val="0"/>
          <c:showPercent val="0"/>
          <c:showBubbleSize val="0"/>
        </c:dLbls>
        <c:gapWidth val="150"/>
        <c:overlap val="100"/>
        <c:axId val="396922216"/>
        <c:axId val="396922608"/>
      </c:barChart>
      <c:catAx>
        <c:axId val="396922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6922608"/>
        <c:crosses val="autoZero"/>
        <c:auto val="1"/>
        <c:lblAlgn val="ctr"/>
        <c:lblOffset val="100"/>
        <c:noMultiLvlLbl val="0"/>
      </c:catAx>
      <c:valAx>
        <c:axId val="3969226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Mass (kg)</a:t>
                </a:r>
              </a:p>
            </c:rich>
          </c:tx>
          <c:layout>
            <c:manualLayout>
              <c:xMode val="edge"/>
              <c:yMode val="edge"/>
              <c:x val="2.2145909348110282E-2"/>
              <c:y val="0.34500905208631105"/>
            </c:manualLayout>
          </c:layout>
          <c:overlay val="0"/>
          <c:spPr>
            <a:noFill/>
            <a:ln>
              <a:noFill/>
            </a:ln>
            <a:effectLst/>
          </c:sp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6922216"/>
        <c:crosses val="autoZero"/>
        <c:crossBetween val="between"/>
        <c:majorUnit val="10000"/>
        <c:minorUnit val="5000"/>
      </c:valAx>
    </c:plotArea>
    <c:legend>
      <c:legendPos val="b"/>
      <c:layout>
        <c:manualLayout>
          <c:xMode val="edge"/>
          <c:yMode val="edge"/>
          <c:x val="0.29537707786526685"/>
          <c:y val="0.16261519393409155"/>
          <c:w val="0.6203567366579178"/>
          <c:h val="0.14294036162146395"/>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ARSENIC</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2.0664938323522813E-2"/>
                  <c:y val="0.13224422159602711"/>
                </c:manualLayout>
              </c:layout>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3-9'!$B$7:$E$7</c:f>
              <c:numCache>
                <c:formatCode>0.000</c:formatCode>
                <c:ptCount val="4"/>
                <c:pt idx="0">
                  <c:v>8.5999999999999993E-2</c:v>
                </c:pt>
                <c:pt idx="1">
                  <c:v>6.7000000000000004E-2</c:v>
                </c:pt>
                <c:pt idx="2" formatCode="General">
                  <c:v>0.06</c:v>
                </c:pt>
                <c:pt idx="3" formatCode="General">
                  <c:v>4.3999999999999997E-2</c:v>
                </c:pt>
              </c:numCache>
            </c:numRef>
          </c:yVal>
          <c:smooth val="0"/>
          <c:extLst>
            <c:ext xmlns:c16="http://schemas.microsoft.com/office/drawing/2014/chart" uri="{C3380CC4-5D6E-409C-BE32-E72D297353CC}">
              <c16:uniqueId val="{00000000-328C-4D6C-8DE9-DF8AE3FD37F3}"/>
            </c:ext>
          </c:extLst>
        </c:ser>
        <c:dLbls>
          <c:showLegendKey val="0"/>
          <c:showVal val="0"/>
          <c:showCatName val="0"/>
          <c:showSerName val="0"/>
          <c:showPercent val="0"/>
          <c:showBubbleSize val="0"/>
        </c:dLbls>
        <c:axId val="398279032"/>
        <c:axId val="398278640"/>
      </c:scatterChart>
      <c:valAx>
        <c:axId val="398279032"/>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8278640"/>
        <c:crosses val="autoZero"/>
        <c:crossBetween val="midCat"/>
        <c:majorUnit val="7"/>
      </c:valAx>
      <c:valAx>
        <c:axId val="3982786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827903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Gold King Mine Release to Animas River</a:t>
            </a:r>
          </a:p>
        </c:rich>
      </c:tx>
      <c:layout>
        <c:manualLayout>
          <c:xMode val="edge"/>
          <c:yMode val="edge"/>
          <c:x val="0.25847222222222221"/>
          <c:y val="2.7777777777777776E-2"/>
        </c:manualLayout>
      </c:layout>
      <c:overlay val="0"/>
      <c:spPr>
        <a:noFill/>
        <a:ln>
          <a:noFill/>
        </a:ln>
        <a:effectLst/>
      </c:spPr>
    </c:title>
    <c:autoTitleDeleted val="0"/>
    <c:plotArea>
      <c:layout>
        <c:manualLayout>
          <c:layoutTarget val="inner"/>
          <c:xMode val="edge"/>
          <c:yMode val="edge"/>
          <c:x val="0.17362992125984253"/>
          <c:y val="0.17050962379702536"/>
          <c:w val="0.79581452318460189"/>
          <c:h val="0.66487535347081717"/>
        </c:manualLayout>
      </c:layout>
      <c:barChart>
        <c:barDir val="col"/>
        <c:grouping val="stacked"/>
        <c:varyColors val="0"/>
        <c:ser>
          <c:idx val="1"/>
          <c:order val="0"/>
          <c:tx>
            <c:strRef>
              <c:f>'Mass Delivered Figs 3-19, 3-20'!$K$4</c:f>
              <c:strCache>
                <c:ptCount val="1"/>
                <c:pt idx="0">
                  <c:v>Dissolved</c:v>
                </c:pt>
              </c:strCache>
            </c:strRef>
          </c:tx>
          <c:spPr>
            <a:solidFill>
              <a:schemeClr val="tx2">
                <a:lumMod val="60000"/>
                <a:lumOff val="40000"/>
              </a:schemeClr>
            </a:solidFill>
            <a:ln>
              <a:solidFill>
                <a:schemeClr val="bg1">
                  <a:lumMod val="50000"/>
                </a:schemeClr>
              </a:solidFill>
            </a:ln>
            <a:effectLst/>
          </c:spPr>
          <c:invertIfNegative val="0"/>
          <c:cat>
            <c:strRef>
              <c:f>'Mass Delivered Figs 3-19, 3-20'!$H$10:$H$13</c:f>
              <c:strCache>
                <c:ptCount val="4"/>
                <c:pt idx="0">
                  <c:v>Lead</c:v>
                </c:pt>
                <c:pt idx="1">
                  <c:v>Manganese</c:v>
                </c:pt>
                <c:pt idx="2">
                  <c:v>Zinc</c:v>
                </c:pt>
                <c:pt idx="3">
                  <c:v>Copper</c:v>
                </c:pt>
              </c:strCache>
            </c:strRef>
          </c:cat>
          <c:val>
            <c:numRef>
              <c:f>'Mass Delivered Figs 3-19, 3-20'!$K$10:$K$13</c:f>
              <c:numCache>
                <c:formatCode>#,##0.00</c:formatCode>
                <c:ptCount val="4"/>
                <c:pt idx="0">
                  <c:v>11.766533534938388</c:v>
                </c:pt>
                <c:pt idx="1">
                  <c:v>2387.0914716362568</c:v>
                </c:pt>
                <c:pt idx="2">
                  <c:v>1791.3381194567939</c:v>
                </c:pt>
                <c:pt idx="3">
                  <c:v>731.71145733645881</c:v>
                </c:pt>
              </c:numCache>
            </c:numRef>
          </c:val>
          <c:extLst>
            <c:ext xmlns:c16="http://schemas.microsoft.com/office/drawing/2014/chart" uri="{C3380CC4-5D6E-409C-BE32-E72D297353CC}">
              <c16:uniqueId val="{00000001-4D87-427A-BD8C-D3E6DD9208F7}"/>
            </c:ext>
          </c:extLst>
        </c:ser>
        <c:ser>
          <c:idx val="0"/>
          <c:order val="1"/>
          <c:tx>
            <c:strRef>
              <c:f>'Mass Delivered Figs 3-19, 3-20'!$L$4</c:f>
              <c:strCache>
                <c:ptCount val="1"/>
                <c:pt idx="0">
                  <c:v>Colloid/Particulate</c:v>
                </c:pt>
              </c:strCache>
            </c:strRef>
          </c:tx>
          <c:spPr>
            <a:solidFill>
              <a:srgbClr val="FFC000"/>
            </a:solidFill>
            <a:ln>
              <a:solidFill>
                <a:schemeClr val="bg1">
                  <a:lumMod val="50000"/>
                </a:schemeClr>
              </a:solidFill>
            </a:ln>
            <a:effectLst/>
          </c:spPr>
          <c:invertIfNegative val="0"/>
          <c:cat>
            <c:strRef>
              <c:f>'Mass Delivered Figs 3-19, 3-20'!$H$10:$H$13</c:f>
              <c:strCache>
                <c:ptCount val="4"/>
                <c:pt idx="0">
                  <c:v>Lead</c:v>
                </c:pt>
                <c:pt idx="1">
                  <c:v>Manganese</c:v>
                </c:pt>
                <c:pt idx="2">
                  <c:v>Zinc</c:v>
                </c:pt>
                <c:pt idx="3">
                  <c:v>Copper</c:v>
                </c:pt>
              </c:strCache>
            </c:strRef>
          </c:cat>
          <c:val>
            <c:numRef>
              <c:f>'Mass Delivered Figs 3-19, 3-20'!$L$10:$L$13</c:f>
              <c:numCache>
                <c:formatCode>#,##0</c:formatCode>
                <c:ptCount val="4"/>
                <c:pt idx="0">
                  <c:v>7646.5375418425238</c:v>
                </c:pt>
                <c:pt idx="1">
                  <c:v>1212.3587444739078</c:v>
                </c:pt>
                <c:pt idx="2">
                  <c:v>268.00371186015013</c:v>
                </c:pt>
                <c:pt idx="3">
                  <c:v>883.29966846336833</c:v>
                </c:pt>
              </c:numCache>
            </c:numRef>
          </c:val>
          <c:extLst>
            <c:ext xmlns:c16="http://schemas.microsoft.com/office/drawing/2014/chart" uri="{C3380CC4-5D6E-409C-BE32-E72D297353CC}">
              <c16:uniqueId val="{00000003-4D87-427A-BD8C-D3E6DD9208F7}"/>
            </c:ext>
          </c:extLst>
        </c:ser>
        <c:dLbls>
          <c:showLegendKey val="0"/>
          <c:showVal val="0"/>
          <c:showCatName val="0"/>
          <c:showSerName val="0"/>
          <c:showPercent val="0"/>
          <c:showBubbleSize val="0"/>
        </c:dLbls>
        <c:gapWidth val="150"/>
        <c:overlap val="100"/>
        <c:axId val="396922216"/>
        <c:axId val="396922608"/>
      </c:barChart>
      <c:catAx>
        <c:axId val="396922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6922608"/>
        <c:crosses val="autoZero"/>
        <c:auto val="1"/>
        <c:lblAlgn val="ctr"/>
        <c:lblOffset val="100"/>
        <c:noMultiLvlLbl val="0"/>
      </c:catAx>
      <c:valAx>
        <c:axId val="3969226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Mass (kg)</a:t>
                </a:r>
              </a:p>
            </c:rich>
          </c:tx>
          <c:layout>
            <c:manualLayout>
              <c:xMode val="edge"/>
              <c:yMode val="edge"/>
              <c:x val="2.7777777777777776E-2"/>
              <c:y val="0.34500911344415286"/>
            </c:manualLayout>
          </c:layout>
          <c:overlay val="0"/>
          <c:spPr>
            <a:noFill/>
            <a:ln>
              <a:noFill/>
            </a:ln>
            <a:effectLst/>
          </c:sp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6922216"/>
        <c:crosses val="autoZero"/>
        <c:crossBetween val="between"/>
        <c:minorUnit val="1000"/>
      </c:valAx>
    </c:plotArea>
    <c:legend>
      <c:legendPos val="b"/>
      <c:layout>
        <c:manualLayout>
          <c:xMode val="edge"/>
          <c:yMode val="edge"/>
          <c:x val="0.29537707786526685"/>
          <c:y val="0.16261519393409155"/>
          <c:w val="0.6203567366579178"/>
          <c:h val="0.14294036162146395"/>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Gold King Mine Release to Animas River</a:t>
            </a:r>
          </a:p>
        </c:rich>
      </c:tx>
      <c:layout>
        <c:manualLayout>
          <c:xMode val="edge"/>
          <c:yMode val="edge"/>
          <c:x val="0.25847222222222221"/>
          <c:y val="2.7777777777777776E-2"/>
        </c:manualLayout>
      </c:layout>
      <c:overlay val="0"/>
      <c:spPr>
        <a:noFill/>
        <a:ln>
          <a:noFill/>
        </a:ln>
        <a:effectLst/>
      </c:spPr>
    </c:title>
    <c:autoTitleDeleted val="0"/>
    <c:plotArea>
      <c:layout>
        <c:manualLayout>
          <c:layoutTarget val="inner"/>
          <c:xMode val="edge"/>
          <c:yMode val="edge"/>
          <c:x val="0.14307436570428697"/>
          <c:y val="0.17050962379702536"/>
          <c:w val="0.82637007874015744"/>
          <c:h val="0.58330453484981049"/>
        </c:manualLayout>
      </c:layout>
      <c:barChart>
        <c:barDir val="col"/>
        <c:grouping val="stacked"/>
        <c:varyColors val="0"/>
        <c:ser>
          <c:idx val="1"/>
          <c:order val="0"/>
          <c:tx>
            <c:strRef>
              <c:f>'Mass Delivered Figs 3-19, 3-20'!$K$4</c:f>
              <c:strCache>
                <c:ptCount val="1"/>
                <c:pt idx="0">
                  <c:v>Dissolved</c:v>
                </c:pt>
              </c:strCache>
            </c:strRef>
          </c:tx>
          <c:spPr>
            <a:solidFill>
              <a:schemeClr val="tx2">
                <a:lumMod val="60000"/>
                <a:lumOff val="40000"/>
              </a:schemeClr>
            </a:solidFill>
            <a:ln>
              <a:solidFill>
                <a:schemeClr val="bg1">
                  <a:lumMod val="50000"/>
                </a:schemeClr>
              </a:solidFill>
            </a:ln>
            <a:effectLst/>
          </c:spPr>
          <c:invertIfNegative val="0"/>
          <c:cat>
            <c:strRef>
              <c:f>'Mass Delivered Figs 3-19, 3-20'!$H$15:$H$20</c:f>
              <c:strCache>
                <c:ptCount val="6"/>
                <c:pt idx="0">
                  <c:v>Barium</c:v>
                </c:pt>
                <c:pt idx="1">
                  <c:v>Arsenic</c:v>
                </c:pt>
                <c:pt idx="2">
                  <c:v>Vanadium</c:v>
                </c:pt>
                <c:pt idx="3">
                  <c:v>Molybdenum</c:v>
                </c:pt>
                <c:pt idx="4">
                  <c:v>Silver</c:v>
                </c:pt>
                <c:pt idx="5">
                  <c:v>Chromium</c:v>
                </c:pt>
              </c:strCache>
            </c:strRef>
          </c:cat>
          <c:val>
            <c:numRef>
              <c:f>'Mass Delivered Figs 3-19, 3-20'!$K$15:$K$20</c:f>
              <c:numCache>
                <c:formatCode>#,##0.00</c:formatCode>
                <c:ptCount val="6"/>
                <c:pt idx="0">
                  <c:v>1.4659831439661308</c:v>
                </c:pt>
                <c:pt idx="1">
                  <c:v>2.9523447175815689</c:v>
                </c:pt>
                <c:pt idx="2">
                  <c:v>0.8004163131523665</c:v>
                </c:pt>
                <c:pt idx="3">
                  <c:v>0.34497635289459816</c:v>
                </c:pt>
                <c:pt idx="4">
                  <c:v>0.20440855973356231</c:v>
                </c:pt>
                <c:pt idx="5">
                  <c:v>0.20706137198391647</c:v>
                </c:pt>
              </c:numCache>
            </c:numRef>
          </c:val>
          <c:extLst>
            <c:ext xmlns:c16="http://schemas.microsoft.com/office/drawing/2014/chart" uri="{C3380CC4-5D6E-409C-BE32-E72D297353CC}">
              <c16:uniqueId val="{00000001-FE46-45C7-BA04-6CFFB36DB6DB}"/>
            </c:ext>
          </c:extLst>
        </c:ser>
        <c:ser>
          <c:idx val="0"/>
          <c:order val="1"/>
          <c:tx>
            <c:strRef>
              <c:f>'Mass Delivered Figs 3-19, 3-20'!$L$4</c:f>
              <c:strCache>
                <c:ptCount val="1"/>
                <c:pt idx="0">
                  <c:v>Colloid/Particulate</c:v>
                </c:pt>
              </c:strCache>
            </c:strRef>
          </c:tx>
          <c:spPr>
            <a:solidFill>
              <a:srgbClr val="FFC000"/>
            </a:solidFill>
            <a:ln>
              <a:solidFill>
                <a:schemeClr val="bg1">
                  <a:lumMod val="50000"/>
                </a:schemeClr>
              </a:solidFill>
            </a:ln>
            <a:effectLst/>
          </c:spPr>
          <c:invertIfNegative val="0"/>
          <c:cat>
            <c:strRef>
              <c:f>'Mass Delivered Figs 3-19, 3-20'!$H$15:$H$20</c:f>
              <c:strCache>
                <c:ptCount val="6"/>
                <c:pt idx="0">
                  <c:v>Barium</c:v>
                </c:pt>
                <c:pt idx="1">
                  <c:v>Arsenic</c:v>
                </c:pt>
                <c:pt idx="2">
                  <c:v>Vanadium</c:v>
                </c:pt>
                <c:pt idx="3">
                  <c:v>Molybdenum</c:v>
                </c:pt>
                <c:pt idx="4">
                  <c:v>Silver</c:v>
                </c:pt>
                <c:pt idx="5">
                  <c:v>Chromium</c:v>
                </c:pt>
              </c:strCache>
            </c:strRef>
          </c:cat>
          <c:val>
            <c:numRef>
              <c:f>'Mass Delivered Figs 3-19, 3-20'!$L$15:$L$20</c:f>
              <c:numCache>
                <c:formatCode>#,##0</c:formatCode>
                <c:ptCount val="6"/>
                <c:pt idx="0">
                  <c:v>416.08973562606582</c:v>
                </c:pt>
                <c:pt idx="1">
                  <c:v>355.40923334594936</c:v>
                </c:pt>
                <c:pt idx="2">
                  <c:v>237.02478145595728</c:v>
                </c:pt>
                <c:pt idx="3">
                  <c:v>86.476265422596157</c:v>
                </c:pt>
                <c:pt idx="4">
                  <c:v>47.243238528033764</c:v>
                </c:pt>
                <c:pt idx="5">
                  <c:v>30.384470215275346</c:v>
                </c:pt>
              </c:numCache>
            </c:numRef>
          </c:val>
          <c:extLst>
            <c:ext xmlns:c16="http://schemas.microsoft.com/office/drawing/2014/chart" uri="{C3380CC4-5D6E-409C-BE32-E72D297353CC}">
              <c16:uniqueId val="{00000003-FE46-45C7-BA04-6CFFB36DB6DB}"/>
            </c:ext>
          </c:extLst>
        </c:ser>
        <c:dLbls>
          <c:showLegendKey val="0"/>
          <c:showVal val="0"/>
          <c:showCatName val="0"/>
          <c:showSerName val="0"/>
          <c:showPercent val="0"/>
          <c:showBubbleSize val="0"/>
        </c:dLbls>
        <c:gapWidth val="150"/>
        <c:overlap val="100"/>
        <c:axId val="396922216"/>
        <c:axId val="396922608"/>
      </c:barChart>
      <c:catAx>
        <c:axId val="396922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6922608"/>
        <c:crosses val="autoZero"/>
        <c:auto val="1"/>
        <c:lblAlgn val="ctr"/>
        <c:lblOffset val="100"/>
        <c:noMultiLvlLbl val="0"/>
      </c:catAx>
      <c:valAx>
        <c:axId val="3969226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Mass (kg)</a:t>
                </a:r>
              </a:p>
            </c:rich>
          </c:tx>
          <c:layout>
            <c:manualLayout>
              <c:xMode val="edge"/>
              <c:yMode val="edge"/>
              <c:x val="1.1111111111111112E-2"/>
              <c:y val="0.35426837270341205"/>
            </c:manualLayout>
          </c:layout>
          <c:overlay val="0"/>
          <c:spPr>
            <a:noFill/>
            <a:ln>
              <a:noFill/>
            </a:ln>
            <a:effectLst/>
          </c:sp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6922216"/>
        <c:crosses val="autoZero"/>
        <c:crossBetween val="between"/>
        <c:minorUnit val="50"/>
      </c:valAx>
    </c:plotArea>
    <c:legend>
      <c:legendPos val="b"/>
      <c:layout>
        <c:manualLayout>
          <c:xMode val="edge"/>
          <c:yMode val="edge"/>
          <c:x val="0.29537707786526685"/>
          <c:y val="0.16261519393409155"/>
          <c:w val="0.6203567366579178"/>
          <c:h val="0.14294036162146395"/>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Gold King Mine Release to Animas River</a:t>
            </a:r>
          </a:p>
        </c:rich>
      </c:tx>
      <c:layout>
        <c:manualLayout>
          <c:xMode val="edge"/>
          <c:yMode val="edge"/>
          <c:x val="0.2828129242465382"/>
          <c:y val="2.7777652793400824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4307436570428697"/>
          <c:y val="0.17050962379702536"/>
          <c:w val="0.82637007874015744"/>
          <c:h val="0.58330453484981049"/>
        </c:manualLayout>
      </c:layout>
      <c:barChart>
        <c:barDir val="col"/>
        <c:grouping val="stacked"/>
        <c:varyColors val="0"/>
        <c:ser>
          <c:idx val="1"/>
          <c:order val="0"/>
          <c:tx>
            <c:strRef>
              <c:f>'Mass Delivered Figs 3-19, 3-20'!$K$4</c:f>
              <c:strCache>
                <c:ptCount val="1"/>
                <c:pt idx="0">
                  <c:v>Dissolved</c:v>
                </c:pt>
              </c:strCache>
            </c:strRef>
          </c:tx>
          <c:spPr>
            <a:solidFill>
              <a:schemeClr val="tx2">
                <a:lumMod val="60000"/>
                <a:lumOff val="40000"/>
              </a:schemeClr>
            </a:solidFill>
            <a:ln>
              <a:solidFill>
                <a:schemeClr val="bg1">
                  <a:lumMod val="50000"/>
                </a:schemeClr>
              </a:solidFill>
            </a:ln>
            <a:effectLst/>
          </c:spPr>
          <c:invertIfNegative val="0"/>
          <c:cat>
            <c:strRef>
              <c:f>'Mass Delivered Figs 3-19, 3-20'!$H$21:$H$28</c:f>
              <c:strCache>
                <c:ptCount val="8"/>
                <c:pt idx="0">
                  <c:v>Cobalt</c:v>
                </c:pt>
                <c:pt idx="1">
                  <c:v>Antimony</c:v>
                </c:pt>
                <c:pt idx="2">
                  <c:v>Nickel</c:v>
                </c:pt>
                <c:pt idx="3">
                  <c:v>Selenium</c:v>
                </c:pt>
                <c:pt idx="4">
                  <c:v>Cadmium</c:v>
                </c:pt>
                <c:pt idx="5">
                  <c:v>Beryllium</c:v>
                </c:pt>
                <c:pt idx="6">
                  <c:v>Thallium</c:v>
                </c:pt>
                <c:pt idx="7">
                  <c:v>Mercury</c:v>
                </c:pt>
              </c:strCache>
            </c:strRef>
          </c:cat>
          <c:val>
            <c:numRef>
              <c:f>'Mass Delivered Figs 3-19, 3-20'!$K$21:$K$28</c:f>
              <c:numCache>
                <c:formatCode>#,##0.00</c:formatCode>
                <c:ptCount val="8"/>
                <c:pt idx="0">
                  <c:v>13.869912482795504</c:v>
                </c:pt>
                <c:pt idx="1">
                  <c:v>0.19442030652793313</c:v>
                </c:pt>
                <c:pt idx="2">
                  <c:v>6.157628085869197</c:v>
                </c:pt>
                <c:pt idx="3">
                  <c:v>0.4155086178721118</c:v>
                </c:pt>
                <c:pt idx="4">
                  <c:v>7.2315237786816908</c:v>
                </c:pt>
                <c:pt idx="5">
                  <c:v>2.4240599160451719</c:v>
                </c:pt>
                <c:pt idx="6">
                  <c:v>0.2021595678703843</c:v>
                </c:pt>
                <c:pt idx="7">
                  <c:v>1</c:v>
                </c:pt>
              </c:numCache>
            </c:numRef>
          </c:val>
          <c:extLst>
            <c:ext xmlns:c16="http://schemas.microsoft.com/office/drawing/2014/chart" uri="{C3380CC4-5D6E-409C-BE32-E72D297353CC}">
              <c16:uniqueId val="{00000000-004A-40BF-83A0-E11541BFA62B}"/>
            </c:ext>
          </c:extLst>
        </c:ser>
        <c:ser>
          <c:idx val="0"/>
          <c:order val="1"/>
          <c:tx>
            <c:strRef>
              <c:f>'Mass Delivered Figs 3-19, 3-20'!$L$4</c:f>
              <c:strCache>
                <c:ptCount val="1"/>
                <c:pt idx="0">
                  <c:v>Colloid/Particulate</c:v>
                </c:pt>
              </c:strCache>
            </c:strRef>
          </c:tx>
          <c:spPr>
            <a:solidFill>
              <a:srgbClr val="FFC000"/>
            </a:solidFill>
            <a:ln>
              <a:solidFill>
                <a:schemeClr val="bg1">
                  <a:lumMod val="50000"/>
                </a:schemeClr>
              </a:solidFill>
            </a:ln>
            <a:effectLst/>
          </c:spPr>
          <c:invertIfNegative val="0"/>
          <c:cat>
            <c:strRef>
              <c:f>'Mass Delivered Figs 3-19, 3-20'!$H$21:$H$28</c:f>
              <c:strCache>
                <c:ptCount val="8"/>
                <c:pt idx="0">
                  <c:v>Cobalt</c:v>
                </c:pt>
                <c:pt idx="1">
                  <c:v>Antimony</c:v>
                </c:pt>
                <c:pt idx="2">
                  <c:v>Nickel</c:v>
                </c:pt>
                <c:pt idx="3">
                  <c:v>Selenium</c:v>
                </c:pt>
                <c:pt idx="4">
                  <c:v>Cadmium</c:v>
                </c:pt>
                <c:pt idx="5">
                  <c:v>Beryllium</c:v>
                </c:pt>
                <c:pt idx="6">
                  <c:v>Thallium</c:v>
                </c:pt>
                <c:pt idx="7">
                  <c:v>Mercury</c:v>
                </c:pt>
              </c:strCache>
            </c:strRef>
          </c:cat>
          <c:val>
            <c:numRef>
              <c:f>'Mass Delivered Figs 3-19, 3-20'!$L$21:$L$28</c:f>
              <c:numCache>
                <c:formatCode>#,##0</c:formatCode>
                <c:ptCount val="8"/>
                <c:pt idx="0">
                  <c:v>3.8137279369108104</c:v>
                </c:pt>
                <c:pt idx="1">
                  <c:v>13.969238423919505</c:v>
                </c:pt>
                <c:pt idx="2">
                  <c:v>6.3085918945215003</c:v>
                </c:pt>
                <c:pt idx="3">
                  <c:v>10.802955588803767</c:v>
                </c:pt>
                <c:pt idx="4">
                  <c:v>0.45703951809970356</c:v>
                </c:pt>
                <c:pt idx="5">
                  <c:v>3.5834250879993466</c:v>
                </c:pt>
                <c:pt idx="6">
                  <c:v>5.4062700245475543</c:v>
                </c:pt>
                <c:pt idx="7">
                  <c:v>0</c:v>
                </c:pt>
              </c:numCache>
            </c:numRef>
          </c:val>
          <c:extLst>
            <c:ext xmlns:c16="http://schemas.microsoft.com/office/drawing/2014/chart" uri="{C3380CC4-5D6E-409C-BE32-E72D297353CC}">
              <c16:uniqueId val="{00000001-004A-40BF-83A0-E11541BFA62B}"/>
            </c:ext>
          </c:extLst>
        </c:ser>
        <c:dLbls>
          <c:showLegendKey val="0"/>
          <c:showVal val="0"/>
          <c:showCatName val="0"/>
          <c:showSerName val="0"/>
          <c:showPercent val="0"/>
          <c:showBubbleSize val="0"/>
        </c:dLbls>
        <c:gapWidth val="150"/>
        <c:overlap val="100"/>
        <c:axId val="396922216"/>
        <c:axId val="396922608"/>
      </c:barChart>
      <c:catAx>
        <c:axId val="3969222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ysClr val="windowText" lastClr="000000"/>
                </a:solidFill>
                <a:latin typeface="+mn-lt"/>
                <a:ea typeface="+mn-ea"/>
                <a:cs typeface="+mn-cs"/>
              </a:defRPr>
            </a:pPr>
            <a:endParaRPr lang="en-US"/>
          </a:p>
        </c:txPr>
        <c:crossAx val="396922608"/>
        <c:crosses val="autoZero"/>
        <c:auto val="1"/>
        <c:lblAlgn val="ctr"/>
        <c:lblOffset val="100"/>
        <c:noMultiLvlLbl val="0"/>
      </c:catAx>
      <c:valAx>
        <c:axId val="3969226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sz="1100"/>
                  <a:t>Mass (kg)</a:t>
                </a:r>
              </a:p>
            </c:rich>
          </c:tx>
          <c:layout>
            <c:manualLayout>
              <c:xMode val="edge"/>
              <c:yMode val="edge"/>
              <c:x val="2.7777777777777776E-2"/>
              <c:y val="0.3450091134441528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out"/>
        <c:tickLblPos val="nextTo"/>
        <c:spPr>
          <a:noFill/>
          <a:ln>
            <a:solidFill>
              <a:schemeClr val="bg1">
                <a:lumMod val="50000"/>
              </a:schemeClr>
            </a:solidFill>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396922216"/>
        <c:crosses val="autoZero"/>
        <c:crossBetween val="between"/>
      </c:valAx>
      <c:spPr>
        <a:noFill/>
        <a:ln>
          <a:noFill/>
        </a:ln>
        <a:effectLst/>
      </c:spPr>
    </c:plotArea>
    <c:legend>
      <c:legendPos val="b"/>
      <c:layout>
        <c:manualLayout>
          <c:xMode val="edge"/>
          <c:yMode val="edge"/>
          <c:x val="0.29537707786526685"/>
          <c:y val="0.16261519393409155"/>
          <c:w val="0.6203567366579178"/>
          <c:h val="0.14294036162146395"/>
        </c:manualLayout>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r>
              <a:rPr lang="en-US" sz="1800"/>
              <a:t>Total Metals Mass Delivered to Animas River (kg)  </a:t>
            </a:r>
          </a:p>
        </c:rich>
      </c:tx>
      <c:layout>
        <c:manualLayout>
          <c:xMode val="edge"/>
          <c:yMode val="edge"/>
          <c:x val="0.17015668550589441"/>
          <c:y val="4.9080170100695368E-2"/>
        </c:manualLayout>
      </c:layout>
      <c:overlay val="0"/>
      <c:spPr>
        <a:noFill/>
        <a:ln>
          <a:noFill/>
        </a:ln>
        <a:effectLst/>
      </c:spPr>
      <c:txPr>
        <a:bodyPr rot="0" spcFirstLastPara="1" vertOverflow="ellipsis" vert="horz" wrap="square" anchor="ctr" anchorCtr="1"/>
        <a:lstStyle/>
        <a:p>
          <a:pPr>
            <a:defRPr sz="1800" b="1" i="0" u="none" strike="noStrike" kern="1200" spc="0" baseline="0">
              <a:solidFill>
                <a:sysClr val="windowText" lastClr="000000"/>
              </a:solidFill>
              <a:latin typeface="+mn-lt"/>
              <a:ea typeface="+mn-ea"/>
              <a:cs typeface="+mn-cs"/>
            </a:defRPr>
          </a:pPr>
          <a:endParaRPr lang="en-U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8.896300838901379E-2"/>
          <c:y val="0.26744612681628432"/>
          <c:w val="0.8302164781657716"/>
          <c:h val="0.64803494887715341"/>
        </c:manualLayout>
      </c:layout>
      <c:pie3DChart>
        <c:varyColors val="1"/>
        <c:ser>
          <c:idx val="0"/>
          <c:order val="0"/>
          <c:explosion val="16"/>
          <c:dPt>
            <c:idx val="0"/>
            <c:bubble3D val="0"/>
            <c:spPr>
              <a:solidFill>
                <a:schemeClr val="accent2">
                  <a:lumMod val="7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1-1633-4DA9-B8F0-1BA678D9028A}"/>
              </c:ext>
            </c:extLst>
          </c:dPt>
          <c:dPt>
            <c:idx val="1"/>
            <c:bubble3D val="0"/>
            <c:explosion val="22"/>
            <c:spPr>
              <a:solidFill>
                <a:schemeClr val="bg1">
                  <a:lumMod val="65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3-1633-4DA9-B8F0-1BA678D9028A}"/>
              </c:ext>
            </c:extLst>
          </c:dPt>
          <c:dPt>
            <c:idx val="2"/>
            <c:bubble3D val="0"/>
            <c:spPr>
              <a:solidFill>
                <a:schemeClr val="accent5">
                  <a:lumMod val="20000"/>
                  <a:lumOff val="80000"/>
                </a:schemeClr>
              </a:solidFill>
              <a:ln w="25400">
                <a:solidFill>
                  <a:schemeClr val="lt1"/>
                </a:solidFill>
              </a:ln>
              <a:effectLst/>
              <a:sp3d contourW="25400">
                <a:contourClr>
                  <a:schemeClr val="lt1"/>
                </a:contourClr>
              </a:sp3d>
            </c:spPr>
            <c:extLst>
              <c:ext xmlns:c16="http://schemas.microsoft.com/office/drawing/2014/chart" uri="{C3380CC4-5D6E-409C-BE32-E72D297353CC}">
                <c16:uniqueId val="{00000005-1633-4DA9-B8F0-1BA678D9028A}"/>
              </c:ext>
            </c:extLst>
          </c:dPt>
          <c:dPt>
            <c:idx val="3"/>
            <c:bubble3D val="0"/>
            <c:spPr>
              <a:solidFill>
                <a:srgbClr val="352BF5"/>
              </a:solidFill>
              <a:ln w="25400">
                <a:solidFill>
                  <a:schemeClr val="lt1"/>
                </a:solidFill>
              </a:ln>
              <a:effectLst/>
              <a:sp3d contourW="25400">
                <a:contourClr>
                  <a:schemeClr val="lt1"/>
                </a:contourClr>
              </a:sp3d>
            </c:spPr>
            <c:extLst>
              <c:ext xmlns:c16="http://schemas.microsoft.com/office/drawing/2014/chart" uri="{C3380CC4-5D6E-409C-BE32-E72D297353CC}">
                <c16:uniqueId val="{00000007-1633-4DA9-B8F0-1BA678D9028A}"/>
              </c:ext>
            </c:extLst>
          </c:dPt>
          <c:dLbls>
            <c:dLbl>
              <c:idx val="0"/>
              <c:layout>
                <c:manualLayout>
                  <c:x val="-9.3293597530580114E-2"/>
                  <c:y val="-0.40610858097942887"/>
                </c:manualLayout>
              </c:layout>
              <c:numFmt formatCode="#,##0" sourceLinked="0"/>
              <c:spPr>
                <a:noFill/>
                <a:ln>
                  <a:noFill/>
                </a:ln>
                <a:effectLst/>
              </c:spPr>
              <c:txPr>
                <a:bodyPr rot="0" spcFirstLastPara="1" vertOverflow="ellipsis" vert="horz" wrap="square" anchor="ctr" anchorCtr="1"/>
                <a:lstStyle/>
                <a:p>
                  <a:pPr>
                    <a:defRPr sz="1400" b="1" i="0" u="none" strike="noStrike" kern="1200" baseline="0">
                      <a:solidFill>
                        <a:schemeClr val="bg1"/>
                      </a:solidFill>
                      <a:latin typeface="+mn-lt"/>
                      <a:ea typeface="+mn-ea"/>
                      <a:cs typeface="+mn-cs"/>
                    </a:defRPr>
                  </a:pPr>
                  <a:endParaRPr lang="en-US"/>
                </a:p>
              </c:txPr>
              <c:showLegendKey val="0"/>
              <c:showVal val="0"/>
              <c:showCatName val="1"/>
              <c:showSerName val="0"/>
              <c:showPercent val="0"/>
              <c:showBubbleSize val="0"/>
              <c:extLst>
                <c:ext xmlns:c15="http://schemas.microsoft.com/office/drawing/2012/chart" uri="{CE6537A1-D6FC-4f65-9D91-7224C49458BB}">
                  <c15:layout>
                    <c:manualLayout>
                      <c:w val="0.15226465544904416"/>
                      <c:h val="0.14737274026925395"/>
                    </c:manualLayout>
                  </c15:layout>
                </c:ext>
                <c:ext xmlns:c16="http://schemas.microsoft.com/office/drawing/2014/chart" uri="{C3380CC4-5D6E-409C-BE32-E72D297353CC}">
                  <c16:uniqueId val="{00000001-1633-4DA9-B8F0-1BA678D9028A}"/>
                </c:ext>
              </c:extLst>
            </c:dLbl>
            <c:dLbl>
              <c:idx val="1"/>
              <c:layout>
                <c:manualLayout>
                  <c:x val="-3.2752865340765019E-2"/>
                  <c:y val="0.10458737155141556"/>
                </c:manualLayout>
              </c:layout>
              <c:showLegendKey val="0"/>
              <c:showVal val="0"/>
              <c:showCatName val="1"/>
              <c:showSerName val="0"/>
              <c:showPercent val="0"/>
              <c:showBubbleSize val="0"/>
              <c:extLst>
                <c:ext xmlns:c15="http://schemas.microsoft.com/office/drawing/2012/chart" uri="{CE6537A1-D6FC-4f65-9D91-7224C49458BB}">
                  <c15:layout>
                    <c:manualLayout>
                      <c:w val="0.25916535579978056"/>
                      <c:h val="0.14737274026925395"/>
                    </c:manualLayout>
                  </c15:layout>
                </c:ext>
                <c:ext xmlns:c16="http://schemas.microsoft.com/office/drawing/2014/chart" uri="{C3380CC4-5D6E-409C-BE32-E72D297353CC}">
                  <c16:uniqueId val="{00000003-1633-4DA9-B8F0-1BA678D9028A}"/>
                </c:ext>
              </c:extLst>
            </c:dLbl>
            <c:dLbl>
              <c:idx val="2"/>
              <c:layout>
                <c:manualLayout>
                  <c:x val="5.7349451199046497E-2"/>
                  <c:y val="-3.433199893772932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633-4DA9-B8F0-1BA678D9028A}"/>
                </c:ext>
              </c:extLst>
            </c:dLbl>
            <c:dLbl>
              <c:idx val="3"/>
              <c:layout>
                <c:manualLayout>
                  <c:x val="8.1997168078726951E-2"/>
                  <c:y val="-2.5331991667760727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633-4DA9-B8F0-1BA678D9028A}"/>
                </c:ext>
              </c:extLst>
            </c:dLbl>
            <c:numFmt formatCode="#,##0" sourceLinked="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showLegendKey val="0"/>
            <c:showVal val="0"/>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'Mass Delivered Figs 3-19, 3-20'!$K$44:$K$47</c:f>
              <c:strCache>
                <c:ptCount val="4"/>
                <c:pt idx="0">
                  <c:v>Iron, Al, Mn (477,600)</c:v>
                </c:pt>
                <c:pt idx="1">
                  <c:v>Major Metals               (Pb, Cu, Zn, Cd, As) (11,600)</c:v>
                </c:pt>
                <c:pt idx="2">
                  <c:v>Major Cations       (Ca, K, Mg, Na) 47,100</c:v>
                </c:pt>
                <c:pt idx="3">
                  <c:v>Trace Metals (900)</c:v>
                </c:pt>
              </c:strCache>
            </c:strRef>
          </c:cat>
          <c:val>
            <c:numRef>
              <c:f>'Mass Delivered Figs 3-19, 3-20'!$M$44:$M$47</c:f>
              <c:numCache>
                <c:formatCode>#,##0</c:formatCode>
                <c:ptCount val="4"/>
                <c:pt idx="0">
                  <c:v>477600</c:v>
                </c:pt>
                <c:pt idx="1">
                  <c:v>11618</c:v>
                </c:pt>
                <c:pt idx="2">
                  <c:v>47300</c:v>
                </c:pt>
                <c:pt idx="3">
                  <c:v>873</c:v>
                </c:pt>
              </c:numCache>
            </c:numRef>
          </c:val>
          <c:extLst>
            <c:ext xmlns:c16="http://schemas.microsoft.com/office/drawing/2014/chart" uri="{C3380CC4-5D6E-409C-BE32-E72D297353CC}">
              <c16:uniqueId val="{00000008-1633-4DA9-B8F0-1BA678D9028A}"/>
            </c:ext>
          </c:extLst>
        </c:ser>
        <c:dLbls>
          <c:showLegendKey val="0"/>
          <c:showVal val="0"/>
          <c:showCatName val="0"/>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1400" b="1">
          <a:solidFill>
            <a:sysClr val="windowText" lastClr="000000"/>
          </a:solidFill>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r>
              <a:rPr lang="en-US" sz="1100"/>
              <a:t>Metals Mass Delivered to Animas River, Minus Major Cations (~490,000 kg)</a:t>
            </a:r>
          </a:p>
        </c:rich>
      </c:tx>
      <c:layout>
        <c:manualLayout>
          <c:xMode val="edge"/>
          <c:yMode val="edge"/>
          <c:x val="0.12997373165558454"/>
          <c:y val="3.404254812195631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2758796499069272"/>
          <c:y val="0.21777789426438163"/>
          <c:w val="0.6806635667287152"/>
          <c:h val="0.65282617183951575"/>
        </c:manualLayout>
      </c:layout>
      <c:barChart>
        <c:barDir val="col"/>
        <c:grouping val="stacked"/>
        <c:varyColors val="0"/>
        <c:ser>
          <c:idx val="0"/>
          <c:order val="0"/>
          <c:tx>
            <c:strRef>
              <c:f>'Mass Delivered Figs 3-19, 3-20'!$B$50</c:f>
              <c:strCache>
                <c:ptCount val="1"/>
                <c:pt idx="0">
                  <c:v>Dissolved</c:v>
                </c:pt>
              </c:strCache>
            </c:strRef>
          </c:tx>
          <c:spPr>
            <a:solidFill>
              <a:srgbClr val="B6CBD8"/>
            </a:solidFill>
            <a:ln>
              <a:noFill/>
            </a:ln>
            <a:effectLst/>
          </c:spPr>
          <c:invertIfNegative val="0"/>
          <c:dLbls>
            <c:dLbl>
              <c:idx val="0"/>
              <c:layout>
                <c:manualLayout>
                  <c:x val="0.12641973342358567"/>
                  <c:y val="-8.3215117631448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101-4284-A166-D9045A1D82AE}"/>
                </c:ext>
              </c:extLst>
            </c:dLbl>
            <c:dLbl>
              <c:idx val="1"/>
              <c:layout>
                <c:manualLayout>
                  <c:x val="-0.18172836679640458"/>
                  <c:y val="-0.1739952459566656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101-4284-A166-D9045A1D82AE}"/>
                </c:ext>
              </c:extLst>
            </c:dLbl>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'Mass Delivered Figs 3-19, 3-20'!$C$49:$D$49</c:f>
              <c:strCache>
                <c:ptCount val="2"/>
                <c:pt idx="0">
                  <c:v>Gold King Mine</c:v>
                </c:pt>
                <c:pt idx="1">
                  <c:v>Cement Creek</c:v>
                </c:pt>
              </c:strCache>
            </c:strRef>
          </c:cat>
          <c:val>
            <c:numRef>
              <c:f>'Mass Delivered Figs 3-19, 3-20'!$C$50:$D$50</c:f>
              <c:numCache>
                <c:formatCode>#,##0</c:formatCode>
                <c:ptCount val="2"/>
                <c:pt idx="0">
                  <c:v>2900</c:v>
                </c:pt>
                <c:pt idx="1">
                  <c:v>15000</c:v>
                </c:pt>
              </c:numCache>
            </c:numRef>
          </c:val>
          <c:extLst>
            <c:ext xmlns:c16="http://schemas.microsoft.com/office/drawing/2014/chart" uri="{C3380CC4-5D6E-409C-BE32-E72D297353CC}">
              <c16:uniqueId val="{00000000-4101-4284-A166-D9045A1D82AE}"/>
            </c:ext>
          </c:extLst>
        </c:ser>
        <c:ser>
          <c:idx val="1"/>
          <c:order val="1"/>
          <c:tx>
            <c:strRef>
              <c:f>'Mass Delivered Figs 3-19, 3-20'!$B$51</c:f>
              <c:strCache>
                <c:ptCount val="1"/>
                <c:pt idx="0">
                  <c:v>Colloidal/Particulate</c:v>
                </c:pt>
              </c:strCache>
            </c:strRef>
          </c:tx>
          <c:spPr>
            <a:solidFill>
              <a:srgbClr val="BC5610"/>
            </a:solidFill>
            <a:ln>
              <a:noFill/>
            </a:ln>
            <a:effectLst/>
          </c:spPr>
          <c:invertIfNegative val="0"/>
          <c:dLbls>
            <c:dLbl>
              <c:idx val="0"/>
              <c:layout>
                <c:manualLayout>
                  <c:x val="-5.5308633372818765E-2"/>
                  <c:y val="-4.539006416260848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101-4284-A166-D9045A1D82AE}"/>
                </c:ext>
              </c:extLst>
            </c:dLbl>
            <c:dLbl>
              <c:idx val="1"/>
              <c:layout>
                <c:manualLayout>
                  <c:x val="-0.17777775012691746"/>
                  <c:y val="-6.80850962439126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101-4284-A166-D9045A1D82AE}"/>
                </c:ext>
              </c:extLst>
            </c:dLbl>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ysClr val="windowText" lastClr="000000"/>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'Mass Delivered Figs 3-19, 3-20'!$C$49:$D$49</c:f>
              <c:strCache>
                <c:ptCount val="2"/>
                <c:pt idx="0">
                  <c:v>Gold King Mine</c:v>
                </c:pt>
                <c:pt idx="1">
                  <c:v>Cement Creek</c:v>
                </c:pt>
              </c:strCache>
            </c:strRef>
          </c:cat>
          <c:val>
            <c:numRef>
              <c:f>'Mass Delivered Figs 3-19, 3-20'!$C$51:$D$51</c:f>
              <c:numCache>
                <c:formatCode>#,##0</c:formatCode>
                <c:ptCount val="2"/>
                <c:pt idx="0">
                  <c:v>0.5</c:v>
                </c:pt>
                <c:pt idx="1">
                  <c:v>475000</c:v>
                </c:pt>
              </c:numCache>
            </c:numRef>
          </c:val>
          <c:extLst>
            <c:ext xmlns:c16="http://schemas.microsoft.com/office/drawing/2014/chart" uri="{C3380CC4-5D6E-409C-BE32-E72D297353CC}">
              <c16:uniqueId val="{00000001-4101-4284-A166-D9045A1D82AE}"/>
            </c:ext>
          </c:extLst>
        </c:ser>
        <c:dLbls>
          <c:showLegendKey val="0"/>
          <c:showVal val="0"/>
          <c:showCatName val="0"/>
          <c:showSerName val="0"/>
          <c:showPercent val="0"/>
          <c:showBubbleSize val="0"/>
        </c:dLbls>
        <c:gapWidth val="150"/>
        <c:overlap val="100"/>
        <c:axId val="579719312"/>
        <c:axId val="579736696"/>
      </c:barChart>
      <c:catAx>
        <c:axId val="579719312"/>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crossAx val="579736696"/>
        <c:crosses val="autoZero"/>
        <c:auto val="1"/>
        <c:lblAlgn val="ctr"/>
        <c:lblOffset val="100"/>
        <c:noMultiLvlLbl val="0"/>
      </c:catAx>
      <c:valAx>
        <c:axId val="579736696"/>
        <c:scaling>
          <c:logBase val="10"/>
          <c:orientation val="minMax"/>
          <c:min val="1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r>
                  <a:rPr lang="en-US"/>
                  <a:t>Total Mass of Metals (kg)</a:t>
                </a:r>
              </a:p>
            </c:rich>
          </c:tx>
          <c:layout>
            <c:manualLayout>
              <c:xMode val="edge"/>
              <c:yMode val="edge"/>
              <c:x val="8.5413714777823856E-3"/>
              <c:y val="0.3030993014874181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ysClr val="windowText" lastClr="000000"/>
                  </a:solidFill>
                  <a:latin typeface="+mn-lt"/>
                  <a:ea typeface="+mn-ea"/>
                  <a:cs typeface="+mn-cs"/>
                </a:defRPr>
              </a:pPr>
              <a:endParaRPr lang="en-US"/>
            </a:p>
          </c:txPr>
        </c:title>
        <c:numFmt formatCode="#,##0" sourceLinked="1"/>
        <c:majorTickMark val="out"/>
        <c:minorTickMark val="out"/>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crossAx val="579719312"/>
        <c:crosses val="autoZero"/>
        <c:crossBetween val="between"/>
      </c:valAx>
      <c:spPr>
        <a:noFill/>
        <a:ln>
          <a:noFill/>
        </a:ln>
        <a:effectLst/>
      </c:spPr>
    </c:plotArea>
    <c:legend>
      <c:legendPos val="b"/>
      <c:layout>
        <c:manualLayout>
          <c:xMode val="edge"/>
          <c:yMode val="edge"/>
          <c:x val="0.23167069401447357"/>
          <c:y val="0.15160043162257864"/>
          <c:w val="0.7683294411105247"/>
          <c:h val="7.070157730472966E-2"/>
        </c:manualLayout>
      </c:layout>
      <c:overlay val="0"/>
      <c:spPr>
        <a:noFill/>
        <a:ln>
          <a:noFill/>
        </a:ln>
        <a:effectLst/>
      </c:spPr>
      <c:txPr>
        <a:bodyPr rot="0" spcFirstLastPara="1" vertOverflow="ellipsis" vert="horz" wrap="square" anchor="ctr" anchorCtr="1"/>
        <a:lstStyle/>
        <a:p>
          <a:pPr>
            <a:defRPr sz="1050" b="1"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100" b="1">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ALUMINUM</a:t>
            </a:r>
          </a:p>
        </c:rich>
      </c:tx>
      <c:layout>
        <c:manualLayout>
          <c:xMode val="edge"/>
          <c:yMode val="edge"/>
          <c:x val="0.46338440050887059"/>
          <c:y val="1.5023695557740704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1.0271973236132631E-2"/>
                  <c:y val="0.25151186222423538"/>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-0.0006x + 27.317</a:t>
                    </a:r>
                    <a:br>
                      <a:rPr lang="en-US" sz="1050" baseline="0">
                        <a:latin typeface="Gill Sans MT" panose="020B0502020104020203" pitchFamily="34" charset="0"/>
                      </a:rPr>
                    </a:br>
                    <a:r>
                      <a:rPr lang="en-US" sz="1050" baseline="0">
                        <a:latin typeface="Gill Sans MT" panose="020B0502020104020203" pitchFamily="34" charset="0"/>
                      </a:rPr>
                      <a:t>R² = 0.44</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3-9'!$B$5:$E$5</c:f>
              <c:numCache>
                <c:formatCode>0</c:formatCode>
                <c:ptCount val="4"/>
                <c:pt idx="0">
                  <c:v>32</c:v>
                </c:pt>
                <c:pt idx="1">
                  <c:v>31</c:v>
                </c:pt>
                <c:pt idx="2" formatCode="General">
                  <c:v>34</c:v>
                </c:pt>
                <c:pt idx="3" formatCode="General">
                  <c:v>32</c:v>
                </c:pt>
              </c:numCache>
            </c:numRef>
          </c:yVal>
          <c:smooth val="0"/>
          <c:extLst>
            <c:ext xmlns:c16="http://schemas.microsoft.com/office/drawing/2014/chart" uri="{C3380CC4-5D6E-409C-BE32-E72D297353CC}">
              <c16:uniqueId val="{00000000-89C3-4025-8F76-62F6FA667964}"/>
            </c:ext>
          </c:extLst>
        </c:ser>
        <c:dLbls>
          <c:showLegendKey val="0"/>
          <c:showVal val="0"/>
          <c:showCatName val="0"/>
          <c:showSerName val="0"/>
          <c:showPercent val="0"/>
          <c:showBubbleSize val="0"/>
        </c:dLbls>
        <c:axId val="398281384"/>
        <c:axId val="394926240"/>
      </c:scatterChart>
      <c:valAx>
        <c:axId val="398281384"/>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6240"/>
        <c:crosses val="autoZero"/>
        <c:crossBetween val="midCat"/>
        <c:majorUnit val="7"/>
      </c:valAx>
      <c:valAx>
        <c:axId val="394926240"/>
        <c:scaling>
          <c:orientation val="minMax"/>
          <c:max val="40"/>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3.267895928213068E-2"/>
              <c:y val="0.182711168021263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8281384"/>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ANTIMONY</a:t>
            </a:r>
          </a:p>
        </c:rich>
      </c:tx>
      <c:layout>
        <c:manualLayout>
          <c:xMode val="edge"/>
          <c:yMode val="edge"/>
          <c:x val="0.45592519414493415"/>
          <c:y val="1.502346973539766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xVal>
            <c:numRef>
              <c:f>'Effluent Conc Fig 3-9'!$B$4:$E$4</c:f>
              <c:numCache>
                <c:formatCode>d\-mmm</c:formatCode>
                <c:ptCount val="4"/>
                <c:pt idx="0">
                  <c:v>42223</c:v>
                </c:pt>
                <c:pt idx="1">
                  <c:v>42227</c:v>
                </c:pt>
                <c:pt idx="2">
                  <c:v>42231</c:v>
                </c:pt>
                <c:pt idx="3">
                  <c:v>42268</c:v>
                </c:pt>
              </c:numCache>
            </c:numRef>
          </c:xVal>
          <c:yVal>
            <c:numRef>
              <c:f>'Effluent Conc Fig 3-9'!$B$6:$E$6</c:f>
              <c:numCache>
                <c:formatCode>0.000</c:formatCode>
                <c:ptCount val="4"/>
                <c:pt idx="2" formatCode="0.0000">
                  <c:v>3.7000000000000002E-3</c:v>
                </c:pt>
                <c:pt idx="3">
                  <c:v>6.3E-3</c:v>
                </c:pt>
              </c:numCache>
            </c:numRef>
          </c:yVal>
          <c:smooth val="0"/>
          <c:extLst>
            <c:ext xmlns:c16="http://schemas.microsoft.com/office/drawing/2014/chart" uri="{C3380CC4-5D6E-409C-BE32-E72D297353CC}">
              <c16:uniqueId val="{00000000-4A3A-42C6-BE17-376E0D4DB417}"/>
            </c:ext>
          </c:extLst>
        </c:ser>
        <c:dLbls>
          <c:showLegendKey val="0"/>
          <c:showVal val="0"/>
          <c:showCatName val="0"/>
          <c:showSerName val="0"/>
          <c:showPercent val="0"/>
          <c:showBubbleSize val="0"/>
        </c:dLbls>
        <c:axId val="394928592"/>
        <c:axId val="394927024"/>
      </c:scatterChart>
      <c:valAx>
        <c:axId val="394928592"/>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7024"/>
        <c:crosses val="autoZero"/>
        <c:crossBetween val="midCat"/>
        <c:majorUnit val="7"/>
      </c:valAx>
      <c:valAx>
        <c:axId val="3949270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421338263849155E-3"/>
              <c:y val="0.14339901862437066"/>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859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IRON</a:t>
            </a:r>
          </a:p>
        </c:rich>
      </c:tx>
      <c:layout>
        <c:manualLayout>
          <c:xMode val="edge"/>
          <c:yMode val="edge"/>
          <c:x val="0.47457321005477532"/>
          <c:y val="1.5023695557740704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6.8651925358645241E-2"/>
                  <c:y val="9.1416976812093653E-2"/>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3-9'!$B$15:$E$15</c:f>
              <c:numCache>
                <c:formatCode>0</c:formatCode>
                <c:ptCount val="4"/>
                <c:pt idx="0">
                  <c:v>185</c:v>
                </c:pt>
                <c:pt idx="2" formatCode="General">
                  <c:v>150</c:v>
                </c:pt>
                <c:pt idx="3" formatCode="General">
                  <c:v>120</c:v>
                </c:pt>
              </c:numCache>
            </c:numRef>
          </c:yVal>
          <c:smooth val="0"/>
          <c:extLst>
            <c:ext xmlns:c16="http://schemas.microsoft.com/office/drawing/2014/chart" uri="{C3380CC4-5D6E-409C-BE32-E72D297353CC}">
              <c16:uniqueId val="{00000000-9977-497D-B690-52478BACB35E}"/>
            </c:ext>
          </c:extLst>
        </c:ser>
        <c:dLbls>
          <c:showLegendKey val="0"/>
          <c:showVal val="0"/>
          <c:showCatName val="0"/>
          <c:showSerName val="0"/>
          <c:showPercent val="0"/>
          <c:showBubbleSize val="0"/>
        </c:dLbls>
        <c:axId val="394926632"/>
        <c:axId val="394924280"/>
      </c:scatterChart>
      <c:valAx>
        <c:axId val="394926632"/>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4280"/>
        <c:crosses val="autoZero"/>
        <c:crossBetween val="midCat"/>
        <c:majorUnit val="7"/>
      </c:valAx>
      <c:valAx>
        <c:axId val="394924280"/>
        <c:scaling>
          <c:orientation val="minMax"/>
          <c:min val="5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2.8949356100162457E-2"/>
              <c:y val="0.1630551534355720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6632"/>
        <c:crosses val="autoZero"/>
        <c:crossBetween val="midCat"/>
        <c:minorUnit val="5"/>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MANGANESE</a:t>
            </a:r>
          </a:p>
        </c:rich>
      </c:tx>
      <c:layout>
        <c:manualLayout>
          <c:xMode val="edge"/>
          <c:yMode val="edge"/>
          <c:x val="0.38879233686950626"/>
          <c:y val="2.812770528153501E-2"/>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1.724662485595509E-2"/>
                  <c:y val="0.28607342991779555"/>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0.1886x - 7927.6</a:t>
                    </a:r>
                    <a:br>
                      <a:rPr lang="en-US" sz="1050" baseline="0">
                        <a:latin typeface="Gill Sans MT" panose="020B0502020104020203" pitchFamily="34" charset="0"/>
                      </a:rPr>
                    </a:br>
                    <a:r>
                      <a:rPr lang="en-US" sz="1050" baseline="0">
                        <a:latin typeface="Gill Sans MT" panose="020B0502020104020203" pitchFamily="34" charset="0"/>
                      </a:rPr>
                      <a:t>R² = 0.94</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3-9'!$B$18:$E$18</c:f>
              <c:numCache>
                <c:formatCode>0</c:formatCode>
                <c:ptCount val="4"/>
                <c:pt idx="0">
                  <c:v>34</c:v>
                </c:pt>
                <c:pt idx="1">
                  <c:v>33</c:v>
                </c:pt>
                <c:pt idx="2" formatCode="General">
                  <c:v>36</c:v>
                </c:pt>
                <c:pt idx="3" formatCode="General">
                  <c:v>42</c:v>
                </c:pt>
              </c:numCache>
            </c:numRef>
          </c:yVal>
          <c:smooth val="0"/>
          <c:extLst>
            <c:ext xmlns:c16="http://schemas.microsoft.com/office/drawing/2014/chart" uri="{C3380CC4-5D6E-409C-BE32-E72D297353CC}">
              <c16:uniqueId val="{00000000-923B-450C-99EF-F6F629CE68B3}"/>
            </c:ext>
          </c:extLst>
        </c:ser>
        <c:dLbls>
          <c:showLegendKey val="0"/>
          <c:showVal val="0"/>
          <c:showCatName val="0"/>
          <c:showSerName val="0"/>
          <c:showPercent val="0"/>
          <c:showBubbleSize val="0"/>
        </c:dLbls>
        <c:axId val="394923496"/>
        <c:axId val="394930160"/>
      </c:scatterChart>
      <c:valAx>
        <c:axId val="394923496"/>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30160"/>
        <c:crosses val="autoZero"/>
        <c:crossBetween val="midCat"/>
        <c:majorUnit val="7"/>
      </c:valAx>
      <c:valAx>
        <c:axId val="394930160"/>
        <c:scaling>
          <c:orientation val="minMax"/>
          <c:min val="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3.267895928213068E-2"/>
              <c:y val="0.182711168021263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3496"/>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r>
              <a:rPr lang="en-US" sz="1100">
                <a:latin typeface="Gill Sans MT" panose="020B0502020104020203" pitchFamily="34" charset="0"/>
              </a:rPr>
              <a:t>COPPER</a:t>
            </a:r>
          </a:p>
        </c:rich>
      </c:tx>
      <c:layout>
        <c:manualLayout>
          <c:xMode val="edge"/>
          <c:yMode val="edge"/>
          <c:x val="0.47457321005477532"/>
          <c:y val="1.9196858339464008E-3"/>
        </c:manualLayout>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Gill Sans MT" panose="020B0502020104020203" pitchFamily="34" charset="0"/>
              <a:ea typeface="+mn-ea"/>
              <a:cs typeface="+mn-cs"/>
            </a:defRPr>
          </a:pPr>
          <a:endParaRPr lang="en-US"/>
        </a:p>
      </c:txPr>
    </c:title>
    <c:autoTitleDeleted val="0"/>
    <c:plotArea>
      <c:layout>
        <c:manualLayout>
          <c:layoutTarget val="inner"/>
          <c:xMode val="edge"/>
          <c:yMode val="edge"/>
          <c:x val="0.17591069861634659"/>
          <c:y val="0.18846942783056364"/>
          <c:w val="0.73620311125259452"/>
          <c:h val="0.63727133569292505"/>
        </c:manualLayout>
      </c:layout>
      <c:scatterChart>
        <c:scatterStyle val="lineMarker"/>
        <c:varyColors val="0"/>
        <c:ser>
          <c:idx val="0"/>
          <c:order val="0"/>
          <c:spPr>
            <a:ln w="19050" cap="rnd">
              <a:solidFill>
                <a:schemeClr val="accent1"/>
              </a:solidFill>
              <a:round/>
            </a:ln>
            <a:effectLst/>
          </c:spPr>
          <c:marker>
            <c:symbol val="circle"/>
            <c:size val="7"/>
            <c:spPr>
              <a:solidFill>
                <a:srgbClr val="0033CC"/>
              </a:solidFill>
              <a:ln w="9525">
                <a:solidFill>
                  <a:schemeClr val="bg1">
                    <a:lumMod val="75000"/>
                  </a:schemeClr>
                </a:solidFill>
              </a:ln>
              <a:effectLst/>
            </c:spPr>
          </c:marker>
          <c:trendline>
            <c:spPr>
              <a:ln w="19050" cap="rnd">
                <a:solidFill>
                  <a:schemeClr val="accent1"/>
                </a:solidFill>
                <a:prstDash val="sysDot"/>
              </a:ln>
              <a:effectLst/>
            </c:spPr>
            <c:trendlineType val="linear"/>
            <c:dispRSqr val="1"/>
            <c:dispEq val="1"/>
            <c:trendlineLbl>
              <c:layout>
                <c:manualLayout>
                  <c:x val="2.519038596400551E-2"/>
                  <c:y val="0.29684709271551191"/>
                </c:manualLayout>
              </c:layout>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r>
                      <a:rPr lang="en-US" sz="1050" baseline="0">
                        <a:latin typeface="Gill Sans MT" panose="020B0502020104020203" pitchFamily="34" charset="0"/>
                      </a:rPr>
                      <a:t>y = 0.0401x - 1686</a:t>
                    </a:r>
                    <a:br>
                      <a:rPr lang="en-US" sz="1050" baseline="0">
                        <a:latin typeface="Gill Sans MT" panose="020B0502020104020203" pitchFamily="34" charset="0"/>
                      </a:rPr>
                    </a:br>
                    <a:r>
                      <a:rPr lang="en-US" sz="1050" baseline="0">
                        <a:latin typeface="Gill Sans MT" panose="020B0502020104020203" pitchFamily="34" charset="0"/>
                      </a:rPr>
                      <a:t>R² = 0.35</a:t>
                    </a:r>
                    <a:endParaRPr lang="en-US" sz="1050">
                      <a:latin typeface="Gill Sans MT" panose="020B0502020104020203" pitchFamily="34" charset="0"/>
                    </a:endParaRPr>
                  </a:p>
                </c:rich>
              </c:tx>
              <c:numFmt formatCode="General" sourceLinked="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rendlineLbl>
          </c:trendline>
          <c:xVal>
            <c:numRef>
              <c:f>'Effluent Conc Fig 3-9'!$B$4:$E$4</c:f>
              <c:numCache>
                <c:formatCode>d\-mmm</c:formatCode>
                <c:ptCount val="4"/>
                <c:pt idx="0">
                  <c:v>42223</c:v>
                </c:pt>
                <c:pt idx="1">
                  <c:v>42227</c:v>
                </c:pt>
                <c:pt idx="2">
                  <c:v>42231</c:v>
                </c:pt>
                <c:pt idx="3">
                  <c:v>42268</c:v>
                </c:pt>
              </c:numCache>
            </c:numRef>
          </c:xVal>
          <c:yVal>
            <c:numRef>
              <c:f>'Effluent Conc Fig 3-9'!$B$14:$E$14</c:f>
              <c:numCache>
                <c:formatCode>0.0</c:formatCode>
                <c:ptCount val="4"/>
                <c:pt idx="0">
                  <c:v>6</c:v>
                </c:pt>
                <c:pt idx="1">
                  <c:v>7.2</c:v>
                </c:pt>
                <c:pt idx="2" formatCode="General">
                  <c:v>4.5999999999999996</c:v>
                </c:pt>
                <c:pt idx="3" formatCode="General">
                  <c:v>7.8</c:v>
                </c:pt>
              </c:numCache>
            </c:numRef>
          </c:yVal>
          <c:smooth val="0"/>
          <c:extLst>
            <c:ext xmlns:c16="http://schemas.microsoft.com/office/drawing/2014/chart" uri="{C3380CC4-5D6E-409C-BE32-E72D297353CC}">
              <c16:uniqueId val="{00000000-D5F1-43CE-9267-1FC43E418D92}"/>
            </c:ext>
          </c:extLst>
        </c:ser>
        <c:dLbls>
          <c:showLegendKey val="0"/>
          <c:showVal val="0"/>
          <c:showCatName val="0"/>
          <c:showSerName val="0"/>
          <c:showPercent val="0"/>
          <c:showBubbleSize val="0"/>
        </c:dLbls>
        <c:axId val="394924672"/>
        <c:axId val="394925064"/>
      </c:scatterChart>
      <c:valAx>
        <c:axId val="394924672"/>
        <c:scaling>
          <c:orientation val="minMax"/>
          <c:max val="42270"/>
        </c:scaling>
        <c:delete val="0"/>
        <c:axPos val="b"/>
        <c:majorGridlines>
          <c:spPr>
            <a:ln w="9525" cap="flat" cmpd="sng" algn="ctr">
              <a:noFill/>
              <a:round/>
            </a:ln>
            <a:effectLst/>
          </c:spPr>
        </c:majorGridlines>
        <c:numFmt formatCode="d\-mmm" sourceLinked="1"/>
        <c:majorTickMark val="none"/>
        <c:minorTickMark val="none"/>
        <c:tickLblPos val="nextTo"/>
        <c:spPr>
          <a:noFill/>
          <a:ln w="9525" cap="flat" cmpd="sng" algn="ctr">
            <a:solidFill>
              <a:schemeClr val="bg1">
                <a:lumMod val="50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5064"/>
        <c:crosses val="autoZero"/>
        <c:crossBetween val="midCat"/>
        <c:majorUnit val="7"/>
      </c:valAx>
      <c:valAx>
        <c:axId val="3949250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r>
                  <a:rPr lang="en-US">
                    <a:latin typeface="Gill Sans MT" panose="020B0502020104020203" pitchFamily="34" charset="0"/>
                  </a:rPr>
                  <a:t>Concentraiton (mg/L)</a:t>
                </a:r>
              </a:p>
            </c:rich>
          </c:tx>
          <c:layout>
            <c:manualLayout>
              <c:xMode val="edge"/>
              <c:yMode val="edge"/>
              <c:x val="3.267895928213068E-2"/>
              <c:y val="0.182711168021263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title>
        <c:numFmt formatCode="0.0" sourceLinked="1"/>
        <c:majorTickMark val="none"/>
        <c:minorTickMark val="none"/>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Gill Sans MT" panose="020B0502020104020203" pitchFamily="34" charset="0"/>
                <a:ea typeface="+mn-ea"/>
                <a:cs typeface="+mn-cs"/>
              </a:defRPr>
            </a:pPr>
            <a:endParaRPr lang="en-US"/>
          </a:p>
        </c:txPr>
        <c:crossAx val="394924672"/>
        <c:crosses val="autoZero"/>
        <c:crossBetween val="midCat"/>
      </c:valAx>
      <c:spPr>
        <a:noFill/>
        <a:ln>
          <a:solidFill>
            <a:schemeClr val="bg1">
              <a:lumMod val="50000"/>
            </a:schemeClr>
          </a:solid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 Id="rId4" Type="http://schemas.openxmlformats.org/officeDocument/2006/relationships/chart" Target="../charts/chart35.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38.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1.xml"/><Relationship Id="rId2" Type="http://schemas.openxmlformats.org/officeDocument/2006/relationships/chart" Target="../charts/chart40.xml"/><Relationship Id="rId1" Type="http://schemas.openxmlformats.org/officeDocument/2006/relationships/chart" Target="../charts/chart39.xml"/><Relationship Id="rId6" Type="http://schemas.openxmlformats.org/officeDocument/2006/relationships/chart" Target="../charts/chart44.xml"/><Relationship Id="rId5" Type="http://schemas.openxmlformats.org/officeDocument/2006/relationships/chart" Target="../charts/chart43.xml"/><Relationship Id="rId4" Type="http://schemas.openxmlformats.org/officeDocument/2006/relationships/chart" Target="../charts/chart4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0.xml"/><Relationship Id="rId13" Type="http://schemas.openxmlformats.org/officeDocument/2006/relationships/chart" Target="../charts/chart15.xml"/><Relationship Id="rId18" Type="http://schemas.openxmlformats.org/officeDocument/2006/relationships/chart" Target="../charts/chart20.xml"/><Relationship Id="rId3" Type="http://schemas.openxmlformats.org/officeDocument/2006/relationships/chart" Target="../charts/chart5.xml"/><Relationship Id="rId21" Type="http://schemas.openxmlformats.org/officeDocument/2006/relationships/chart" Target="../charts/chart23.xml"/><Relationship Id="rId7" Type="http://schemas.openxmlformats.org/officeDocument/2006/relationships/chart" Target="../charts/chart9.xml"/><Relationship Id="rId12" Type="http://schemas.openxmlformats.org/officeDocument/2006/relationships/chart" Target="../charts/chart14.xml"/><Relationship Id="rId17" Type="http://schemas.openxmlformats.org/officeDocument/2006/relationships/chart" Target="../charts/chart19.xml"/><Relationship Id="rId2" Type="http://schemas.openxmlformats.org/officeDocument/2006/relationships/chart" Target="../charts/chart4.xml"/><Relationship Id="rId16" Type="http://schemas.openxmlformats.org/officeDocument/2006/relationships/chart" Target="../charts/chart18.xml"/><Relationship Id="rId20" Type="http://schemas.openxmlformats.org/officeDocument/2006/relationships/chart" Target="../charts/chart22.xml"/><Relationship Id="rId1" Type="http://schemas.openxmlformats.org/officeDocument/2006/relationships/chart" Target="../charts/chart3.xml"/><Relationship Id="rId6" Type="http://schemas.openxmlformats.org/officeDocument/2006/relationships/chart" Target="../charts/chart8.xml"/><Relationship Id="rId11" Type="http://schemas.openxmlformats.org/officeDocument/2006/relationships/chart" Target="../charts/chart13.xml"/><Relationship Id="rId24" Type="http://schemas.openxmlformats.org/officeDocument/2006/relationships/chart" Target="../charts/chart26.xml"/><Relationship Id="rId5" Type="http://schemas.openxmlformats.org/officeDocument/2006/relationships/chart" Target="../charts/chart7.xml"/><Relationship Id="rId15" Type="http://schemas.openxmlformats.org/officeDocument/2006/relationships/chart" Target="../charts/chart17.xml"/><Relationship Id="rId23" Type="http://schemas.openxmlformats.org/officeDocument/2006/relationships/chart" Target="../charts/chart25.xml"/><Relationship Id="rId10" Type="http://schemas.openxmlformats.org/officeDocument/2006/relationships/chart" Target="../charts/chart12.xml"/><Relationship Id="rId19" Type="http://schemas.openxmlformats.org/officeDocument/2006/relationships/chart" Target="../charts/chart21.xml"/><Relationship Id="rId4" Type="http://schemas.openxmlformats.org/officeDocument/2006/relationships/chart" Target="../charts/chart6.xml"/><Relationship Id="rId9" Type="http://schemas.openxmlformats.org/officeDocument/2006/relationships/chart" Target="../charts/chart11.xml"/><Relationship Id="rId14" Type="http://schemas.openxmlformats.org/officeDocument/2006/relationships/chart" Target="../charts/chart16.xml"/><Relationship Id="rId22" Type="http://schemas.openxmlformats.org/officeDocument/2006/relationships/chart" Target="../charts/chart2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7.xml"/></Relationships>
</file>

<file path=xl/drawings/_rels/drawing7.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chart" Target="../charts/chart28.xml"/><Relationship Id="rId4" Type="http://schemas.openxmlformats.org/officeDocument/2006/relationships/chart" Target="../charts/chart31.xml"/></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142875</xdr:rowOff>
    </xdr:from>
    <xdr:to>
      <xdr:col>12</xdr:col>
      <xdr:colOff>9525</xdr:colOff>
      <xdr:row>0</xdr:row>
      <xdr:rowOff>1095375</xdr:rowOff>
    </xdr:to>
    <xdr:sp macro="" textlink="">
      <xdr:nvSpPr>
        <xdr:cNvPr id="2" name="TextBox 1"/>
        <xdr:cNvSpPr txBox="1"/>
      </xdr:nvSpPr>
      <xdr:spPr>
        <a:xfrm>
          <a:off x="38100" y="142875"/>
          <a:ext cx="8505825" cy="95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Table 3-1. Metal concentrations in samples collected from the mine adit. Four samples were collected from the effluent in the Gold King Mine over a period of six weeks after the release. Sample total metal concentrations are reported. 100% of each metal was in the dissolved fraction in the Aug 15 sample except arsenic that was 75% dissolved (see Fig. 3-10). The average of the adit samples and the value selected to represent the effluent in calculations of mass delivered from the release are also listed. The selected value primarily used the August 15 sample for reasons described in the text. The main difference between the August 15 and September 21 samples was an increase in calcium.</a:t>
          </a:r>
        </a:p>
        <a:p>
          <a:endParaRPr 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57778</xdr:colOff>
      <xdr:row>43</xdr:row>
      <xdr:rowOff>99377</xdr:rowOff>
    </xdr:from>
    <xdr:to>
      <xdr:col>12</xdr:col>
      <xdr:colOff>41902</xdr:colOff>
      <xdr:row>64</xdr:row>
      <xdr:rowOff>70629</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110802</xdr:colOff>
      <xdr:row>24</xdr:row>
      <xdr:rowOff>94603</xdr:rowOff>
    </xdr:from>
    <xdr:to>
      <xdr:col>14</xdr:col>
      <xdr:colOff>55960</xdr:colOff>
      <xdr:row>42</xdr:row>
      <xdr:rowOff>156158</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252704</xdr:colOff>
      <xdr:row>2</xdr:row>
      <xdr:rowOff>145789</xdr:rowOff>
    </xdr:from>
    <xdr:to>
      <xdr:col>13</xdr:col>
      <xdr:colOff>204108</xdr:colOff>
      <xdr:row>20</xdr:row>
      <xdr:rowOff>9718</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168256</xdr:colOff>
      <xdr:row>21</xdr:row>
      <xdr:rowOff>113825</xdr:rowOff>
    </xdr:from>
    <xdr:to>
      <xdr:col>19</xdr:col>
      <xdr:colOff>309232</xdr:colOff>
      <xdr:row>42</xdr:row>
      <xdr:rowOff>22397</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613833</xdr:colOff>
      <xdr:row>13</xdr:row>
      <xdr:rowOff>52916</xdr:rowOff>
    </xdr:from>
    <xdr:to>
      <xdr:col>5</xdr:col>
      <xdr:colOff>793750</xdr:colOff>
      <xdr:row>30</xdr:row>
      <xdr:rowOff>95249</xdr:rowOff>
    </xdr:to>
    <xdr:sp macro="" textlink="">
      <xdr:nvSpPr>
        <xdr:cNvPr id="2" name="TextBox 1"/>
        <xdr:cNvSpPr txBox="1"/>
      </xdr:nvSpPr>
      <xdr:spPr>
        <a:xfrm>
          <a:off x="3206750" y="3069166"/>
          <a:ext cx="2794000" cy="27410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200" b="1">
              <a:solidFill>
                <a:schemeClr val="dk1"/>
              </a:solidFill>
              <a:effectLst/>
              <a:latin typeface="+mn-lt"/>
              <a:ea typeface="+mn-ea"/>
              <a:cs typeface="+mn-cs"/>
            </a:rPr>
            <a:t>Figure 3-12. Mass of metals in effluent released from the Gold King Mine. A) General categories of summed constituents.  Masses determined with “selected concentration” in Table 3.1 B) Metals including sulfates and the major cations calcium, magnesium, potassium, and sodium are included in “other”. C) Major metals including iron and aluminum that made up most of the load. D) Trace elements present in small quantities (&lt; 1 kg). This category included lead, arsenic, and cadmium. </a:t>
          </a:r>
        </a:p>
        <a:p>
          <a:endParaRPr lang="en-US" sz="1100"/>
        </a:p>
      </xdr:txBody>
    </xdr:sp>
    <xdr:clientData/>
  </xdr:twoCellAnchor>
  <xdr:twoCellAnchor>
    <xdr:from>
      <xdr:col>6</xdr:col>
      <xdr:colOff>105834</xdr:colOff>
      <xdr:row>44</xdr:row>
      <xdr:rowOff>84667</xdr:rowOff>
    </xdr:from>
    <xdr:to>
      <xdr:col>7</xdr:col>
      <xdr:colOff>10598</xdr:colOff>
      <xdr:row>46</xdr:row>
      <xdr:rowOff>116406</xdr:rowOff>
    </xdr:to>
    <xdr:sp macro="" textlink="">
      <xdr:nvSpPr>
        <xdr:cNvPr id="7" name="TextBox 1"/>
        <xdr:cNvSpPr txBox="1"/>
      </xdr:nvSpPr>
      <xdr:spPr>
        <a:xfrm>
          <a:off x="6138334" y="8403167"/>
          <a:ext cx="518597" cy="349239"/>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200"/>
            <a:t>A)</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0.01378</cdr:x>
      <cdr:y>0.02725</cdr:y>
    </cdr:from>
    <cdr:to>
      <cdr:x>0.13408</cdr:x>
      <cdr:y>0.15571</cdr:y>
    </cdr:to>
    <cdr:sp macro="" textlink="">
      <cdr:nvSpPr>
        <cdr:cNvPr id="2" name="TextBox 1"/>
        <cdr:cNvSpPr txBox="1"/>
      </cdr:nvSpPr>
      <cdr:spPr>
        <a:xfrm xmlns:a="http://schemas.openxmlformats.org/drawingml/2006/main">
          <a:off x="69115" y="85314"/>
          <a:ext cx="603250" cy="402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a:t>B)</a:t>
          </a:r>
        </a:p>
      </cdr:txBody>
    </cdr:sp>
  </cdr:relSizeAnchor>
</c:userShapes>
</file>

<file path=xl/drawings/drawing12.xml><?xml version="1.0" encoding="utf-8"?>
<c:userShapes xmlns:c="http://schemas.openxmlformats.org/drawingml/2006/chart">
  <cdr:relSizeAnchor xmlns:cdr="http://schemas.openxmlformats.org/drawingml/2006/chartDrawing">
    <cdr:from>
      <cdr:x>0.01153</cdr:x>
      <cdr:y>0.01726</cdr:y>
    </cdr:from>
    <cdr:to>
      <cdr:x>0.16283</cdr:x>
      <cdr:y>0.11434</cdr:y>
    </cdr:to>
    <cdr:sp macro="" textlink="">
      <cdr:nvSpPr>
        <cdr:cNvPr id="3" name="TextBox 1"/>
        <cdr:cNvSpPr txBox="1"/>
      </cdr:nvSpPr>
      <cdr:spPr>
        <a:xfrm xmlns:a="http://schemas.openxmlformats.org/drawingml/2006/main">
          <a:off x="50800" y="50800"/>
          <a:ext cx="666778" cy="2857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400"/>
            <a:t>C)</a:t>
          </a:r>
        </a:p>
      </cdr:txBody>
    </cdr:sp>
  </cdr:relSizeAnchor>
</c:userShapes>
</file>

<file path=xl/drawings/drawing13.xml><?xml version="1.0" encoding="utf-8"?>
<c:userShapes xmlns:c="http://schemas.openxmlformats.org/drawingml/2006/chart">
  <cdr:relSizeAnchor xmlns:cdr="http://schemas.openxmlformats.org/drawingml/2006/chartDrawing">
    <cdr:from>
      <cdr:x>0.01562</cdr:x>
      <cdr:y>0.01471</cdr:y>
    </cdr:from>
    <cdr:to>
      <cdr:x>0.16855</cdr:x>
      <cdr:y>0.13115</cdr:y>
    </cdr:to>
    <cdr:sp macro="" textlink="">
      <cdr:nvSpPr>
        <cdr:cNvPr id="3" name="TextBox 1"/>
        <cdr:cNvSpPr txBox="1"/>
      </cdr:nvSpPr>
      <cdr:spPr>
        <a:xfrm xmlns:a="http://schemas.openxmlformats.org/drawingml/2006/main">
          <a:off x="50800" y="50800"/>
          <a:ext cx="497401" cy="4021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b="1"/>
            <a:t>D)</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323848</xdr:colOff>
      <xdr:row>14</xdr:row>
      <xdr:rowOff>119062</xdr:rowOff>
    </xdr:from>
    <xdr:to>
      <xdr:col>3</xdr:col>
      <xdr:colOff>266700</xdr:colOff>
      <xdr:row>35</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1104900</xdr:colOff>
      <xdr:row>36</xdr:row>
      <xdr:rowOff>133350</xdr:rowOff>
    </xdr:from>
    <xdr:to>
      <xdr:col>4</xdr:col>
      <xdr:colOff>133350</xdr:colOff>
      <xdr:row>42</xdr:row>
      <xdr:rowOff>142875</xdr:rowOff>
    </xdr:to>
    <xdr:sp macro="" textlink="">
      <xdr:nvSpPr>
        <xdr:cNvPr id="4" name="TextBox 3"/>
        <xdr:cNvSpPr txBox="1"/>
      </xdr:nvSpPr>
      <xdr:spPr>
        <a:xfrm>
          <a:off x="1104900" y="7315200"/>
          <a:ext cx="4981575" cy="981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3-15. Comparison of summed metals concentrations in dissolved and colloidal/particulate fractions in the mine effluent; the measured concentration in the GKM plume in Cement Creek at RK 12.5 at 16:00 hours and the estimated concentration at RK 12.5 at the flood peak at 12:45.</a:t>
          </a:r>
        </a:p>
        <a:p>
          <a:endParaRPr lang="en-US" sz="1100"/>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85725</xdr:colOff>
      <xdr:row>6</xdr:row>
      <xdr:rowOff>19050</xdr:rowOff>
    </xdr:from>
    <xdr:to>
      <xdr:col>9</xdr:col>
      <xdr:colOff>85725</xdr:colOff>
      <xdr:row>26</xdr:row>
      <xdr:rowOff>76201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57149</xdr:colOff>
      <xdr:row>27</xdr:row>
      <xdr:rowOff>47625</xdr:rowOff>
    </xdr:from>
    <xdr:to>
      <xdr:col>9</xdr:col>
      <xdr:colOff>371474</xdr:colOff>
      <xdr:row>33</xdr:row>
      <xdr:rowOff>28575</xdr:rowOff>
    </xdr:to>
    <xdr:sp macro="" textlink="">
      <xdr:nvSpPr>
        <xdr:cNvPr id="4" name="TextBox 3"/>
        <xdr:cNvSpPr txBox="1"/>
      </xdr:nvSpPr>
      <xdr:spPr>
        <a:xfrm>
          <a:off x="3762374" y="4705350"/>
          <a:ext cx="3971925" cy="95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3-15. Comparison of summed metals concentrations in dissolved and colloidal/particulate fractions in the mine effluent; the measured concentration in the GKM plume in Cement Creek at RK 12.5 at 16:00 hours and the estimated concentration at RK 12.5 at the flood peak at 12:45.</a:t>
          </a:r>
          <a:endParaRPr lang="en-US" sz="1100" b="1"/>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309563</xdr:colOff>
      <xdr:row>32</xdr:row>
      <xdr:rowOff>90487</xdr:rowOff>
    </xdr:from>
    <xdr:to>
      <xdr:col>15</xdr:col>
      <xdr:colOff>762001</xdr:colOff>
      <xdr:row>53</xdr:row>
      <xdr:rowOff>133350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152400</xdr:colOff>
      <xdr:row>54</xdr:row>
      <xdr:rowOff>76200</xdr:rowOff>
    </xdr:from>
    <xdr:to>
      <xdr:col>16</xdr:col>
      <xdr:colOff>304800</xdr:colOff>
      <xdr:row>60</xdr:row>
      <xdr:rowOff>28575</xdr:rowOff>
    </xdr:to>
    <xdr:sp macro="" textlink="">
      <xdr:nvSpPr>
        <xdr:cNvPr id="5" name="TextBox 4"/>
        <xdr:cNvSpPr txBox="1"/>
      </xdr:nvSpPr>
      <xdr:spPr>
        <a:xfrm>
          <a:off x="10115550" y="10848975"/>
          <a:ext cx="4533900" cy="923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3-17. Dissolved concentrations of metals observed in Cement Creek at 16:00 relative to the mine effluent. After mixing the effluent with Cement Creek (e.g. Figure 3-16), a portion of the increase was explained by concentrations from the mine effluent. </a:t>
          </a:r>
          <a:endParaRPr lang="en-US" sz="1100" b="1"/>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14</xdr:col>
      <xdr:colOff>253205</xdr:colOff>
      <xdr:row>3</xdr:row>
      <xdr:rowOff>78184</xdr:rowOff>
    </xdr:from>
    <xdr:to>
      <xdr:col>21</xdr:col>
      <xdr:colOff>277416</xdr:colOff>
      <xdr:row>19</xdr:row>
      <xdr:rowOff>49609</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386626</xdr:colOff>
      <xdr:row>19</xdr:row>
      <xdr:rowOff>108419</xdr:rowOff>
    </xdr:from>
    <xdr:to>
      <xdr:col>21</xdr:col>
      <xdr:colOff>472749</xdr:colOff>
      <xdr:row>37</xdr:row>
      <xdr:rowOff>46462</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30419</xdr:colOff>
      <xdr:row>3</xdr:row>
      <xdr:rowOff>78351</xdr:rowOff>
    </xdr:from>
    <xdr:to>
      <xdr:col>29</xdr:col>
      <xdr:colOff>335219</xdr:colOff>
      <xdr:row>20</xdr:row>
      <xdr:rowOff>154551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313629</xdr:colOff>
      <xdr:row>21</xdr:row>
      <xdr:rowOff>44860</xdr:rowOff>
    </xdr:from>
    <xdr:to>
      <xdr:col>29</xdr:col>
      <xdr:colOff>460272</xdr:colOff>
      <xdr:row>37</xdr:row>
      <xdr:rowOff>151006</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68853</xdr:colOff>
      <xdr:row>42</xdr:row>
      <xdr:rowOff>73214</xdr:rowOff>
    </xdr:from>
    <xdr:to>
      <xdr:col>24</xdr:col>
      <xdr:colOff>330018</xdr:colOff>
      <xdr:row>69</xdr:row>
      <xdr:rowOff>43073</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414337</xdr:colOff>
      <xdr:row>38</xdr:row>
      <xdr:rowOff>128586</xdr:rowOff>
    </xdr:from>
    <xdr:to>
      <xdr:col>9</xdr:col>
      <xdr:colOff>371475</xdr:colOff>
      <xdr:row>57</xdr:row>
      <xdr:rowOff>28574</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685336</xdr:colOff>
      <xdr:row>39</xdr:row>
      <xdr:rowOff>92927</xdr:rowOff>
    </xdr:from>
    <xdr:to>
      <xdr:col>29</xdr:col>
      <xdr:colOff>267165</xdr:colOff>
      <xdr:row>42</xdr:row>
      <xdr:rowOff>139390</xdr:rowOff>
    </xdr:to>
    <xdr:sp macro="" textlink="">
      <xdr:nvSpPr>
        <xdr:cNvPr id="2" name="TextBox 1"/>
        <xdr:cNvSpPr txBox="1"/>
      </xdr:nvSpPr>
      <xdr:spPr>
        <a:xfrm>
          <a:off x="15042531" y="7387683"/>
          <a:ext cx="8862896" cy="696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Figure 3-20.  Colloidal/particulate and dissolved metals load, by metal, delivered to the Animas River from the Gold King Mine release. Iron, not shown, was the largest constituent making up 88% of load. </a:t>
          </a:r>
        </a:p>
        <a:p>
          <a:r>
            <a:rPr lang="en-US" sz="1100">
              <a:solidFill>
                <a:schemeClr val="dk1"/>
              </a:solidFill>
              <a:effectLst/>
              <a:latin typeface="+mn-lt"/>
              <a:ea typeface="+mn-ea"/>
              <a:cs typeface="+mn-cs"/>
            </a:rPr>
            <a:t> </a:t>
          </a:r>
        </a:p>
        <a:p>
          <a:endParaRPr lang="en-US" sz="1100"/>
        </a:p>
      </xdr:txBody>
    </xdr:sp>
    <xdr:clientData/>
  </xdr:twoCellAnchor>
  <xdr:twoCellAnchor>
    <xdr:from>
      <xdr:col>3</xdr:col>
      <xdr:colOff>638872</xdr:colOff>
      <xdr:row>58</xdr:row>
      <xdr:rowOff>92927</xdr:rowOff>
    </xdr:from>
    <xdr:to>
      <xdr:col>11</xdr:col>
      <xdr:colOff>499482</xdr:colOff>
      <xdr:row>63</xdr:row>
      <xdr:rowOff>69695</xdr:rowOff>
    </xdr:to>
    <xdr:sp macro="" textlink="">
      <xdr:nvSpPr>
        <xdr:cNvPr id="3" name="TextBox 2"/>
        <xdr:cNvSpPr txBox="1"/>
      </xdr:nvSpPr>
      <xdr:spPr>
        <a:xfrm>
          <a:off x="4158476" y="10733049"/>
          <a:ext cx="7445762" cy="78987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3-19. Estimated mass of metals delivered to the Animas River from the Gold King release. A) Comparison of dissolved and total metals mass from inside the mine and estimated at Cement Creek. Note data is presented on a log scale. B) Composition of the summed total metals mass released to Cement Creek. </a:t>
          </a:r>
          <a:endParaRPr lang="en-US" sz="11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28574</xdr:colOff>
      <xdr:row>1</xdr:row>
      <xdr:rowOff>85725</xdr:rowOff>
    </xdr:from>
    <xdr:to>
      <xdr:col>5</xdr:col>
      <xdr:colOff>219074</xdr:colOff>
      <xdr:row>1</xdr:row>
      <xdr:rowOff>485775</xdr:rowOff>
    </xdr:to>
    <xdr:sp macro="" textlink="">
      <xdr:nvSpPr>
        <xdr:cNvPr id="2" name="TextBox 1"/>
        <xdr:cNvSpPr txBox="1"/>
      </xdr:nvSpPr>
      <xdr:spPr>
        <a:xfrm>
          <a:off x="28574" y="381000"/>
          <a:ext cx="5934075" cy="400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Table 3-2.  Estimated Mass of Metals Delivered to the Animas River from the Gold King Mine Release.</a:t>
          </a: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0</xdr:colOff>
      <xdr:row>61</xdr:row>
      <xdr:rowOff>0</xdr:rowOff>
    </xdr:from>
    <xdr:to>
      <xdr:col>32</xdr:col>
      <xdr:colOff>409575</xdr:colOff>
      <xdr:row>78</xdr:row>
      <xdr:rowOff>42864</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66675</xdr:colOff>
      <xdr:row>80</xdr:row>
      <xdr:rowOff>114300</xdr:rowOff>
    </xdr:from>
    <xdr:to>
      <xdr:col>32</xdr:col>
      <xdr:colOff>190500</xdr:colOff>
      <xdr:row>97</xdr:row>
      <xdr:rowOff>28575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14287</xdr:colOff>
      <xdr:row>68</xdr:row>
      <xdr:rowOff>71437</xdr:rowOff>
    </xdr:from>
    <xdr:to>
      <xdr:col>15</xdr:col>
      <xdr:colOff>371475</xdr:colOff>
      <xdr:row>80</xdr:row>
      <xdr:rowOff>142875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457200</xdr:colOff>
      <xdr:row>68</xdr:row>
      <xdr:rowOff>104775</xdr:rowOff>
    </xdr:from>
    <xdr:to>
      <xdr:col>9</xdr:col>
      <xdr:colOff>400050</xdr:colOff>
      <xdr:row>80</xdr:row>
      <xdr:rowOff>100013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39</xdr:row>
      <xdr:rowOff>123825</xdr:rowOff>
    </xdr:from>
    <xdr:to>
      <xdr:col>4</xdr:col>
      <xdr:colOff>128588</xdr:colOff>
      <xdr:row>51</xdr:row>
      <xdr:rowOff>119063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68</xdr:row>
      <xdr:rowOff>66675</xdr:rowOff>
    </xdr:from>
    <xdr:to>
      <xdr:col>4</xdr:col>
      <xdr:colOff>138113</xdr:colOff>
      <xdr:row>80</xdr:row>
      <xdr:rowOff>61913</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371475</xdr:colOff>
      <xdr:row>39</xdr:row>
      <xdr:rowOff>19050</xdr:rowOff>
    </xdr:from>
    <xdr:to>
      <xdr:col>9</xdr:col>
      <xdr:colOff>257175</xdr:colOff>
      <xdr:row>51</xdr:row>
      <xdr:rowOff>14288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447675</xdr:colOff>
      <xdr:row>39</xdr:row>
      <xdr:rowOff>38100</xdr:rowOff>
    </xdr:from>
    <xdr:to>
      <xdr:col>15</xdr:col>
      <xdr:colOff>195263</xdr:colOff>
      <xdr:row>52</xdr:row>
      <xdr:rowOff>33338</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54</xdr:row>
      <xdr:rowOff>76200</xdr:rowOff>
    </xdr:from>
    <xdr:to>
      <xdr:col>4</xdr:col>
      <xdr:colOff>128588</xdr:colOff>
      <xdr:row>66</xdr:row>
      <xdr:rowOff>71438</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400050</xdr:colOff>
      <xdr:row>54</xdr:row>
      <xdr:rowOff>95250</xdr:rowOff>
    </xdr:from>
    <xdr:to>
      <xdr:col>9</xdr:col>
      <xdr:colOff>276225</xdr:colOff>
      <xdr:row>66</xdr:row>
      <xdr:rowOff>90488</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10</xdr:col>
      <xdr:colOff>0</xdr:colOff>
      <xdr:row>54</xdr:row>
      <xdr:rowOff>114300</xdr:rowOff>
    </xdr:from>
    <xdr:to>
      <xdr:col>15</xdr:col>
      <xdr:colOff>357188</xdr:colOff>
      <xdr:row>66</xdr:row>
      <xdr:rowOff>109538</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17</xdr:col>
      <xdr:colOff>390525</xdr:colOff>
      <xdr:row>54</xdr:row>
      <xdr:rowOff>76200</xdr:rowOff>
    </xdr:from>
    <xdr:to>
      <xdr:col>22</xdr:col>
      <xdr:colOff>423863</xdr:colOff>
      <xdr:row>66</xdr:row>
      <xdr:rowOff>71438</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17</xdr:col>
      <xdr:colOff>390525</xdr:colOff>
      <xdr:row>68</xdr:row>
      <xdr:rowOff>19050</xdr:rowOff>
    </xdr:from>
    <xdr:to>
      <xdr:col>22</xdr:col>
      <xdr:colOff>423863</xdr:colOff>
      <xdr:row>80</xdr:row>
      <xdr:rowOff>90488</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23</xdr:col>
      <xdr:colOff>38100</xdr:colOff>
      <xdr:row>68</xdr:row>
      <xdr:rowOff>76200</xdr:rowOff>
    </xdr:from>
    <xdr:to>
      <xdr:col>28</xdr:col>
      <xdr:colOff>395288</xdr:colOff>
      <xdr:row>80</xdr:row>
      <xdr:rowOff>147638</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17</xdr:col>
      <xdr:colOff>304800</xdr:colOff>
      <xdr:row>39</xdr:row>
      <xdr:rowOff>66675</xdr:rowOff>
    </xdr:from>
    <xdr:to>
      <xdr:col>22</xdr:col>
      <xdr:colOff>338138</xdr:colOff>
      <xdr:row>52</xdr:row>
      <xdr:rowOff>61913</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23</xdr:col>
      <xdr:colOff>57150</xdr:colOff>
      <xdr:row>39</xdr:row>
      <xdr:rowOff>66675</xdr:rowOff>
    </xdr:from>
    <xdr:to>
      <xdr:col>28</xdr:col>
      <xdr:colOff>414338</xdr:colOff>
      <xdr:row>52</xdr:row>
      <xdr:rowOff>61913</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28</xdr:col>
      <xdr:colOff>457200</xdr:colOff>
      <xdr:row>39</xdr:row>
      <xdr:rowOff>66675</xdr:rowOff>
    </xdr:from>
    <xdr:to>
      <xdr:col>34</xdr:col>
      <xdr:colOff>204788</xdr:colOff>
      <xdr:row>52</xdr:row>
      <xdr:rowOff>61913</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34</xdr:col>
      <xdr:colOff>257175</xdr:colOff>
      <xdr:row>39</xdr:row>
      <xdr:rowOff>19050</xdr:rowOff>
    </xdr:from>
    <xdr:to>
      <xdr:col>40</xdr:col>
      <xdr:colOff>4763</xdr:colOff>
      <xdr:row>52</xdr:row>
      <xdr:rowOff>14288</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28</xdr:col>
      <xdr:colOff>323850</xdr:colOff>
      <xdr:row>68</xdr:row>
      <xdr:rowOff>38100</xdr:rowOff>
    </xdr:from>
    <xdr:to>
      <xdr:col>34</xdr:col>
      <xdr:colOff>71438</xdr:colOff>
      <xdr:row>80</xdr:row>
      <xdr:rowOff>109538</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34</xdr:col>
      <xdr:colOff>200025</xdr:colOff>
      <xdr:row>68</xdr:row>
      <xdr:rowOff>142875</xdr:rowOff>
    </xdr:from>
    <xdr:to>
      <xdr:col>39</xdr:col>
      <xdr:colOff>557213</xdr:colOff>
      <xdr:row>80</xdr:row>
      <xdr:rowOff>138113</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23</xdr:col>
      <xdr:colOff>0</xdr:colOff>
      <xdr:row>54</xdr:row>
      <xdr:rowOff>123825</xdr:rowOff>
    </xdr:from>
    <xdr:to>
      <xdr:col>28</xdr:col>
      <xdr:colOff>357188</xdr:colOff>
      <xdr:row>66</xdr:row>
      <xdr:rowOff>119063</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28</xdr:col>
      <xdr:colOff>247650</xdr:colOff>
      <xdr:row>81</xdr:row>
      <xdr:rowOff>85725</xdr:rowOff>
    </xdr:from>
    <xdr:to>
      <xdr:col>33</xdr:col>
      <xdr:colOff>604838</xdr:colOff>
      <xdr:row>93</xdr:row>
      <xdr:rowOff>157163</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34</xdr:col>
      <xdr:colOff>257175</xdr:colOff>
      <xdr:row>81</xdr:row>
      <xdr:rowOff>19050</xdr:rowOff>
    </xdr:from>
    <xdr:to>
      <xdr:col>40</xdr:col>
      <xdr:colOff>4763</xdr:colOff>
      <xdr:row>93</xdr:row>
      <xdr:rowOff>90488</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0</xdr:col>
      <xdr:colOff>0</xdr:colOff>
      <xdr:row>83</xdr:row>
      <xdr:rowOff>0</xdr:rowOff>
    </xdr:from>
    <xdr:to>
      <xdr:col>4</xdr:col>
      <xdr:colOff>257175</xdr:colOff>
      <xdr:row>94</xdr:row>
      <xdr:rowOff>157163</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9</xdr:col>
      <xdr:colOff>533400</xdr:colOff>
      <xdr:row>2</xdr:row>
      <xdr:rowOff>66675</xdr:rowOff>
    </xdr:from>
    <xdr:to>
      <xdr:col>19</xdr:col>
      <xdr:colOff>23813</xdr:colOff>
      <xdr:row>14</xdr:row>
      <xdr:rowOff>180974</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10</xdr:col>
      <xdr:colOff>19050</xdr:colOff>
      <xdr:row>15</xdr:row>
      <xdr:rowOff>180975</xdr:rowOff>
    </xdr:from>
    <xdr:to>
      <xdr:col>19</xdr:col>
      <xdr:colOff>104775</xdr:colOff>
      <xdr:row>31</xdr:row>
      <xdr:rowOff>85724</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oneCellAnchor>
    <xdr:from>
      <xdr:col>7</xdr:col>
      <xdr:colOff>666750</xdr:colOff>
      <xdr:row>31</xdr:row>
      <xdr:rowOff>104775</xdr:rowOff>
    </xdr:from>
    <xdr:ext cx="6553200" cy="609013"/>
    <xdr:sp macro="" textlink="">
      <xdr:nvSpPr>
        <xdr:cNvPr id="11" name="TextBox 10"/>
        <xdr:cNvSpPr txBox="1"/>
      </xdr:nvSpPr>
      <xdr:spPr>
        <a:xfrm>
          <a:off x="6353175" y="8201025"/>
          <a:ext cx="6553200" cy="60901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i="0" u="none" strike="noStrike">
              <a:solidFill>
                <a:schemeClr val="tx1"/>
              </a:solidFill>
              <a:effectLst/>
              <a:latin typeface="+mn-lt"/>
              <a:ea typeface="+mn-ea"/>
              <a:cs typeface="+mn-cs"/>
            </a:rPr>
            <a:t>Figure 3-9. Trends in effluent concentration in the Gold King Mine after the release. Colorado Department of Public Health and Environment collected samples August 7 and 11. EPA collected samples August 15 and September 21.</a:t>
          </a:r>
          <a:r>
            <a:rPr lang="en-US" b="1">
              <a:effectLst/>
            </a:rPr>
            <a:t> </a:t>
          </a:r>
          <a:endParaRPr lang="en-US" sz="1100" b="1"/>
        </a:p>
      </xdr:txBody>
    </xdr:sp>
    <xdr:clientData/>
  </xdr:oneCellAnchor>
</xdr:wsDr>
</file>

<file path=xl/drawings/drawing5.xml><?xml version="1.0" encoding="utf-8"?>
<c:userShapes xmlns:c="http://schemas.openxmlformats.org/drawingml/2006/chart">
  <cdr:relSizeAnchor xmlns:cdr="http://schemas.openxmlformats.org/drawingml/2006/chartDrawing">
    <cdr:from>
      <cdr:x>0.16455</cdr:x>
      <cdr:y>0.92507</cdr:y>
    </cdr:from>
    <cdr:to>
      <cdr:x>0.74992</cdr:x>
      <cdr:y>1</cdr:y>
    </cdr:to>
    <cdr:sp macro="" textlink="">
      <cdr:nvSpPr>
        <cdr:cNvPr id="4" name="TextBox 1"/>
        <cdr:cNvSpPr txBox="1"/>
      </cdr:nvSpPr>
      <cdr:spPr>
        <a:xfrm xmlns:a="http://schemas.openxmlformats.org/drawingml/2006/main">
          <a:off x="803275" y="3057524"/>
          <a:ext cx="2857500" cy="2476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i="1"/>
            <a:t>CDPHE</a:t>
          </a:r>
          <a:r>
            <a:rPr lang="en-US" sz="1100" i="1" baseline="0"/>
            <a:t>: Aug 7, 11            EPA: Aug 15, Sep 21</a:t>
          </a:r>
          <a:endParaRPr lang="en-US" sz="1100" i="1"/>
        </a:p>
      </cdr:txBody>
    </cdr:sp>
  </cdr:relSizeAnchor>
</c:userShapes>
</file>

<file path=xl/drawings/drawing6.xml><?xml version="1.0" encoding="utf-8"?>
<xdr:wsDr xmlns:xdr="http://schemas.openxmlformats.org/drawingml/2006/spreadsheetDrawing" xmlns:a="http://schemas.openxmlformats.org/drawingml/2006/main">
  <xdr:twoCellAnchor>
    <xdr:from>
      <xdr:col>7</xdr:col>
      <xdr:colOff>95249</xdr:colOff>
      <xdr:row>32</xdr:row>
      <xdr:rowOff>100012</xdr:rowOff>
    </xdr:from>
    <xdr:to>
      <xdr:col>14</xdr:col>
      <xdr:colOff>9524</xdr:colOff>
      <xdr:row>55</xdr:row>
      <xdr:rowOff>28575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800100</xdr:colOff>
      <xdr:row>47</xdr:row>
      <xdr:rowOff>104775</xdr:rowOff>
    </xdr:from>
    <xdr:to>
      <xdr:col>6</xdr:col>
      <xdr:colOff>57150</xdr:colOff>
      <xdr:row>49</xdr:row>
      <xdr:rowOff>66675</xdr:rowOff>
    </xdr:to>
    <xdr:sp macro="" textlink="">
      <xdr:nvSpPr>
        <xdr:cNvPr id="10" name="TextBox 1"/>
        <xdr:cNvSpPr txBox="1"/>
      </xdr:nvSpPr>
      <xdr:spPr>
        <a:xfrm>
          <a:off x="800100" y="8820150"/>
          <a:ext cx="3705225" cy="285750"/>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1100" i="1"/>
            <a:t>Data Source: Colorado DPHE: Aug 7, 11     EPA  Aug 15</a:t>
          </a:r>
        </a:p>
      </xdr:txBody>
    </xdr:sp>
    <xdr:clientData/>
  </xdr:twoCellAnchor>
  <xdr:twoCellAnchor>
    <xdr:from>
      <xdr:col>7</xdr:col>
      <xdr:colOff>28575</xdr:colOff>
      <xdr:row>56</xdr:row>
      <xdr:rowOff>47625</xdr:rowOff>
    </xdr:from>
    <xdr:to>
      <xdr:col>17</xdr:col>
      <xdr:colOff>95250</xdr:colOff>
      <xdr:row>60</xdr:row>
      <xdr:rowOff>38100</xdr:rowOff>
    </xdr:to>
    <xdr:sp macro="" textlink="">
      <xdr:nvSpPr>
        <xdr:cNvPr id="2" name="TextBox 1"/>
        <xdr:cNvSpPr txBox="1"/>
      </xdr:nvSpPr>
      <xdr:spPr>
        <a:xfrm>
          <a:off x="5095875" y="10010775"/>
          <a:ext cx="6162675"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Figure 3-10. Ratio of dissolved to total fraction of metals in the Gold King mine after the release in three samples collected August 7, 11 and 15. The figure includes the subset of metals that reported dissolved and total metals for the 3 sampling events. </a:t>
          </a:r>
        </a:p>
        <a:p>
          <a:endParaRPr 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19049</xdr:colOff>
      <xdr:row>3</xdr:row>
      <xdr:rowOff>23811</xdr:rowOff>
    </xdr:from>
    <xdr:to>
      <xdr:col>20</xdr:col>
      <xdr:colOff>923924</xdr:colOff>
      <xdr:row>19</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533399</xdr:colOff>
      <xdr:row>22</xdr:row>
      <xdr:rowOff>119062</xdr:rowOff>
    </xdr:from>
    <xdr:to>
      <xdr:col>20</xdr:col>
      <xdr:colOff>542924</xdr:colOff>
      <xdr:row>38</xdr:row>
      <xdr:rowOff>142875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0</xdr:colOff>
      <xdr:row>4</xdr:row>
      <xdr:rowOff>0</xdr:rowOff>
    </xdr:from>
    <xdr:to>
      <xdr:col>32</xdr:col>
      <xdr:colOff>409575</xdr:colOff>
      <xdr:row>21</xdr:row>
      <xdr:rowOff>42864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66675</xdr:colOff>
      <xdr:row>23</xdr:row>
      <xdr:rowOff>114300</xdr:rowOff>
    </xdr:from>
    <xdr:to>
      <xdr:col>32</xdr:col>
      <xdr:colOff>190500</xdr:colOff>
      <xdr:row>40</xdr:row>
      <xdr:rowOff>28575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495300</xdr:colOff>
      <xdr:row>39</xdr:row>
      <xdr:rowOff>66675</xdr:rowOff>
    </xdr:from>
    <xdr:to>
      <xdr:col>20</xdr:col>
      <xdr:colOff>190500</xdr:colOff>
      <xdr:row>46</xdr:row>
      <xdr:rowOff>19050</xdr:rowOff>
    </xdr:to>
    <xdr:sp macro="" textlink="">
      <xdr:nvSpPr>
        <xdr:cNvPr id="3" name="TextBox 2"/>
        <xdr:cNvSpPr txBox="1"/>
      </xdr:nvSpPr>
      <xdr:spPr>
        <a:xfrm>
          <a:off x="9201150" y="7286625"/>
          <a:ext cx="7105650" cy="1085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Figure 3-11. Comparison of dissolved metals concentrations measured in the Gold King adit.  Dissolved concentration of metals in the August 15 sample were selected to represent most of the metals in the pre-event mine pool in calculating the release mass. Also shown are the average of the August 7, 11, and 15 samples, and the selected value. (Dissolved metals were not reported for the Sep 21 sample.) The dissolved concentration of the sample collected in the Gold King plume in lower Cement Creek August 5 16:00 is also shown for comparison. </a:t>
          </a:r>
        </a:p>
        <a:p>
          <a:r>
            <a:rPr lang="en-US" sz="1100">
              <a:solidFill>
                <a:schemeClr val="dk1"/>
              </a:solidFill>
              <a:effectLst/>
              <a:latin typeface="+mn-lt"/>
              <a:ea typeface="+mn-ea"/>
              <a:cs typeface="+mn-cs"/>
            </a:rPr>
            <a:t> </a:t>
          </a:r>
        </a:p>
        <a:p>
          <a:endParaRPr lang="en-US" sz="1100"/>
        </a:p>
      </xdr:txBody>
    </xdr:sp>
    <xdr:clientData/>
  </xdr:twoCellAnchor>
</xdr:wsDr>
</file>

<file path=xl/drawings/drawing8.xml><?xml version="1.0" encoding="utf-8"?>
<c:userShapes xmlns:c="http://schemas.openxmlformats.org/drawingml/2006/chart">
  <cdr:relSizeAnchor xmlns:cdr="http://schemas.openxmlformats.org/drawingml/2006/chartDrawing">
    <cdr:from>
      <cdr:x>0.11413</cdr:x>
      <cdr:y>0.92703</cdr:y>
    </cdr:from>
    <cdr:to>
      <cdr:x>0.80758</cdr:x>
      <cdr:y>1</cdr:y>
    </cdr:to>
    <cdr:sp macro="" textlink="">
      <cdr:nvSpPr>
        <cdr:cNvPr id="2" name="TextBox 1"/>
        <cdr:cNvSpPr txBox="1"/>
      </cdr:nvSpPr>
      <cdr:spPr>
        <a:xfrm xmlns:a="http://schemas.openxmlformats.org/drawingml/2006/main">
          <a:off x="879475" y="2662239"/>
          <a:ext cx="5343525" cy="2095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00" i="1" baseline="30000"/>
            <a:t>1</a:t>
          </a:r>
          <a:r>
            <a:rPr lang="en-US" sz="900" i="1"/>
            <a:t>Selected to represent the dissolved metals concentrations in the GKM effluent</a:t>
          </a:r>
          <a:r>
            <a:rPr lang="en-US" sz="900" i="1" baseline="0"/>
            <a:t> at the time of the relase</a:t>
          </a:r>
          <a:endParaRPr lang="en-US" sz="900" i="1"/>
        </a:p>
      </cdr:txBody>
    </cdr:sp>
  </cdr:relSizeAnchor>
  <cdr:relSizeAnchor xmlns:cdr="http://schemas.openxmlformats.org/drawingml/2006/chartDrawing">
    <cdr:from>
      <cdr:x>0.63576</cdr:x>
      <cdr:y>0.84356</cdr:y>
    </cdr:from>
    <cdr:to>
      <cdr:x>0.66049</cdr:x>
      <cdr:y>0.92979</cdr:y>
    </cdr:to>
    <cdr:sp macro="" textlink="">
      <cdr:nvSpPr>
        <cdr:cNvPr id="3" name="TextBox 2"/>
        <cdr:cNvSpPr txBox="1"/>
      </cdr:nvSpPr>
      <cdr:spPr>
        <a:xfrm xmlns:a="http://schemas.openxmlformats.org/drawingml/2006/main">
          <a:off x="4899025" y="2422525"/>
          <a:ext cx="190501"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1</a:t>
          </a:r>
        </a:p>
      </cdr:txBody>
    </cdr:sp>
  </cdr:relSizeAnchor>
</c:userShapes>
</file>

<file path=xl/drawings/drawing9.xml><?xml version="1.0" encoding="utf-8"?>
<c:userShapes xmlns:c="http://schemas.openxmlformats.org/drawingml/2006/chart">
  <cdr:relSizeAnchor xmlns:cdr="http://schemas.openxmlformats.org/drawingml/2006/chartDrawing">
    <cdr:from>
      <cdr:x>0.12195</cdr:x>
      <cdr:y>0.92869</cdr:y>
    </cdr:from>
    <cdr:to>
      <cdr:x>0.84211</cdr:x>
      <cdr:y>1</cdr:y>
    </cdr:to>
    <cdr:sp macro="" textlink="">
      <cdr:nvSpPr>
        <cdr:cNvPr id="2" name="TextBox 1"/>
        <cdr:cNvSpPr txBox="1"/>
      </cdr:nvSpPr>
      <cdr:spPr>
        <a:xfrm xmlns:a="http://schemas.openxmlformats.org/drawingml/2006/main">
          <a:off x="904876" y="2728913"/>
          <a:ext cx="5343525"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i="1" baseline="30000"/>
            <a:t>1</a:t>
          </a:r>
          <a:r>
            <a:rPr lang="en-US" sz="900" i="1"/>
            <a:t>Selected to represent the dissolved metals concentrations in the GKM effluent</a:t>
          </a:r>
          <a:r>
            <a:rPr lang="en-US" sz="900" i="1" baseline="0"/>
            <a:t> at the time of the relase</a:t>
          </a:r>
          <a:endParaRPr lang="en-US" sz="900" i="1"/>
        </a:p>
      </cdr:txBody>
    </cdr:sp>
  </cdr:relSizeAnchor>
  <cdr:relSizeAnchor xmlns:cdr="http://schemas.openxmlformats.org/drawingml/2006/chartDrawing">
    <cdr:from>
      <cdr:x>0.56012</cdr:x>
      <cdr:y>0.78876</cdr:y>
    </cdr:from>
    <cdr:to>
      <cdr:x>0.58579</cdr:x>
      <cdr:y>0.87304</cdr:y>
    </cdr:to>
    <cdr:sp macro="" textlink="">
      <cdr:nvSpPr>
        <cdr:cNvPr id="3" name="TextBox 2"/>
        <cdr:cNvSpPr txBox="1"/>
      </cdr:nvSpPr>
      <cdr:spPr>
        <a:xfrm xmlns:a="http://schemas.openxmlformats.org/drawingml/2006/main">
          <a:off x="4156075" y="2317750"/>
          <a:ext cx="190501" cy="2476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Priv/AnimasRiver/ARP_ANALYTICS/Empirical%20Analyses/Water%20Concentrations/Analysis%20of%20Increase%20Dissolved%20in%20Plume%20Cem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Inc Dissolved"/>
      <sheetName val="How is Dissolved Different 1600"/>
      <sheetName val="How is Dissolved Diff at Peak"/>
      <sheetName val="Summary Graphic"/>
      <sheetName val="README"/>
    </sheetNames>
    <sheetDataSet>
      <sheetData sheetId="0" refreshError="1"/>
      <sheetData sheetId="1">
        <row r="38">
          <cell r="D38" t="str">
            <v>Increase Due to Effluent</v>
          </cell>
          <cell r="E38" t="str">
            <v>Unexplained Gain Observed</v>
          </cell>
        </row>
        <row r="52">
          <cell r="B52" t="str">
            <v>Arsenic</v>
          </cell>
          <cell r="D52">
            <v>1.0101829999999999E-2</v>
          </cell>
          <cell r="E52">
            <v>-7.6808300000000005E-3</v>
          </cell>
        </row>
        <row r="53">
          <cell r="B53" t="str">
            <v>Lead</v>
          </cell>
          <cell r="D53">
            <v>0</v>
          </cell>
          <cell r="E53">
            <v>0.126</v>
          </cell>
        </row>
        <row r="54">
          <cell r="B54" t="str">
            <v>Copper</v>
          </cell>
          <cell r="D54">
            <v>1.5667599999999999</v>
          </cell>
          <cell r="E54">
            <v>8.745239999999999</v>
          </cell>
        </row>
        <row r="55">
          <cell r="B55" t="str">
            <v>Zinc</v>
          </cell>
          <cell r="D55">
            <v>4.9450000000000003</v>
          </cell>
          <cell r="E55">
            <v>16.355</v>
          </cell>
        </row>
        <row r="56">
          <cell r="B56" t="str">
            <v>Nickel</v>
          </cell>
          <cell r="D56">
            <v>1.2650000000000002E-2</v>
          </cell>
          <cell r="E56">
            <v>6.1849999999999995E-2</v>
          </cell>
        </row>
        <row r="57">
          <cell r="B57" t="str">
            <v>Cadmium</v>
          </cell>
          <cell r="D57">
            <v>1.5409999999999997E-2</v>
          </cell>
          <cell r="E57">
            <v>6.4890000000000003E-2</v>
          </cell>
        </row>
        <row r="58">
          <cell r="B58" t="str">
            <v>Iron</v>
          </cell>
          <cell r="D58">
            <v>24.219000000000001</v>
          </cell>
          <cell r="E58">
            <v>10.581</v>
          </cell>
        </row>
        <row r="59">
          <cell r="B59" t="str">
            <v>Aluminum</v>
          </cell>
          <cell r="D59">
            <v>7.0380000000000003</v>
          </cell>
          <cell r="E59">
            <v>82.462000000000003</v>
          </cell>
        </row>
        <row r="60">
          <cell r="B60" t="str">
            <v>Manganese</v>
          </cell>
          <cell r="D60">
            <v>5.98</v>
          </cell>
          <cell r="E60">
            <v>21.12</v>
          </cell>
        </row>
      </sheetData>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4.xml"/></Relationships>
</file>

<file path=xl/worksheets/_rels/sheet11.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6.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workbookViewId="0">
      <selection activeCell="F4" sqref="F4"/>
    </sheetView>
  </sheetViews>
  <sheetFormatPr defaultRowHeight="12.75" x14ac:dyDescent="0.2"/>
  <cols>
    <col min="1" max="1" width="83.7109375" style="597" customWidth="1"/>
    <col min="2" max="2" width="22.7109375" customWidth="1"/>
    <col min="3" max="3" width="33.5703125" customWidth="1"/>
  </cols>
  <sheetData>
    <row r="1" spans="1:3" ht="18.75" x14ac:dyDescent="0.3">
      <c r="A1" s="598" t="s">
        <v>284</v>
      </c>
    </row>
    <row r="2" spans="1:3" ht="39" customHeight="1" x14ac:dyDescent="0.25">
      <c r="A2" s="599" t="s">
        <v>282</v>
      </c>
    </row>
    <row r="4" spans="1:3" ht="20.25" customHeight="1" x14ac:dyDescent="0.2">
      <c r="A4" s="597" t="s">
        <v>283</v>
      </c>
    </row>
    <row r="7" spans="1:3" ht="15" x14ac:dyDescent="0.25">
      <c r="A7" s="600" t="s">
        <v>285</v>
      </c>
      <c r="B7" s="606" t="s">
        <v>286</v>
      </c>
      <c r="C7" s="606"/>
    </row>
    <row r="8" spans="1:3" ht="15" x14ac:dyDescent="0.25">
      <c r="A8" s="601"/>
      <c r="B8" s="602" t="s">
        <v>287</v>
      </c>
      <c r="C8" s="602" t="s">
        <v>180</v>
      </c>
    </row>
    <row r="9" spans="1:3" ht="15.75" x14ac:dyDescent="0.25">
      <c r="A9"/>
      <c r="B9" s="603" t="s">
        <v>289</v>
      </c>
      <c r="C9" s="24" t="s">
        <v>292</v>
      </c>
    </row>
    <row r="10" spans="1:3" ht="15.75" x14ac:dyDescent="0.25">
      <c r="A10"/>
      <c r="B10" s="603" t="s">
        <v>290</v>
      </c>
      <c r="C10" s="24" t="s">
        <v>293</v>
      </c>
    </row>
    <row r="11" spans="1:3" ht="15.75" x14ac:dyDescent="0.25">
      <c r="A11"/>
      <c r="B11" s="603" t="s">
        <v>291</v>
      </c>
      <c r="C11" s="24" t="s">
        <v>294</v>
      </c>
    </row>
    <row r="12" spans="1:3" ht="26.25" x14ac:dyDescent="0.25">
      <c r="A12" s="597" t="s">
        <v>288</v>
      </c>
      <c r="B12" s="603" t="s">
        <v>295</v>
      </c>
      <c r="C12" s="24" t="s">
        <v>296</v>
      </c>
    </row>
    <row r="13" spans="1:3" ht="15.75" x14ac:dyDescent="0.25">
      <c r="B13" s="603" t="s">
        <v>297</v>
      </c>
      <c r="C13" s="24" t="s">
        <v>298</v>
      </c>
    </row>
    <row r="14" spans="1:3" ht="15.75" x14ac:dyDescent="0.25">
      <c r="B14" s="603" t="s">
        <v>299</v>
      </c>
      <c r="C14" s="24" t="s">
        <v>300</v>
      </c>
    </row>
    <row r="15" spans="1:3" ht="15.75" x14ac:dyDescent="0.25">
      <c r="B15" s="603" t="s">
        <v>301</v>
      </c>
      <c r="C15" s="24" t="s">
        <v>302</v>
      </c>
    </row>
    <row r="16" spans="1:3" ht="15.75" x14ac:dyDescent="0.25">
      <c r="B16" s="603" t="s">
        <v>303</v>
      </c>
      <c r="C16" s="24" t="s">
        <v>302</v>
      </c>
    </row>
    <row r="17" spans="2:3" ht="15.75" x14ac:dyDescent="0.25">
      <c r="B17" s="603"/>
    </row>
    <row r="18" spans="2:3" ht="15.75" x14ac:dyDescent="0.25">
      <c r="B18" s="603" t="s">
        <v>304</v>
      </c>
      <c r="C18" s="24" t="s">
        <v>307</v>
      </c>
    </row>
    <row r="19" spans="2:3" ht="15.75" x14ac:dyDescent="0.25">
      <c r="B19" s="603" t="s">
        <v>305</v>
      </c>
      <c r="C19" s="24" t="s">
        <v>306</v>
      </c>
    </row>
  </sheetData>
  <sheetProtection algorithmName="SHA-512" hashValue="oVGhM1CNcggGm1+jfyOU+978g6cl5B/+RDbOBUICDc6qhQJ2XjPoJqlxmtV1mtawLn7rj/g8gJ0X9LUIzhm8mA==" saltValue="QWlm6y/iAtimwQ12Aiv5ug==" spinCount="100000" sheet="1" objects="1" scenarios="1"/>
  <mergeCells count="1">
    <mergeCell ref="B7:C7"/>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sheetPr>
  <dimension ref="A1:F32"/>
  <sheetViews>
    <sheetView topLeftCell="A22" workbookViewId="0">
      <selection activeCell="E16" sqref="E16"/>
    </sheetView>
  </sheetViews>
  <sheetFormatPr defaultRowHeight="12.75" x14ac:dyDescent="0.2"/>
  <cols>
    <col min="1" max="1" width="25.7109375" customWidth="1"/>
    <col min="2" max="2" width="24.5703125" customWidth="1"/>
    <col min="3" max="3" width="18.42578125" customWidth="1"/>
    <col min="4" max="4" width="20.5703125" customWidth="1"/>
    <col min="5" max="5" width="11.7109375" customWidth="1"/>
    <col min="6" max="6" width="43.28515625" customWidth="1"/>
    <col min="7" max="7" width="11.28515625" customWidth="1"/>
    <col min="8" max="8" width="11.5703125" customWidth="1"/>
    <col min="9" max="9" width="16.140625" customWidth="1"/>
    <col min="10" max="10" width="11.5703125" customWidth="1"/>
    <col min="11" max="11" width="11.85546875" customWidth="1"/>
    <col min="12" max="12" width="16.28515625" customWidth="1"/>
    <col min="13" max="13" width="20.5703125" customWidth="1"/>
    <col min="14" max="14" width="10.5703125" customWidth="1"/>
    <col min="19" max="19" width="11.5703125" customWidth="1"/>
    <col min="20" max="20" width="11.28515625" customWidth="1"/>
    <col min="23" max="23" width="25.85546875" customWidth="1"/>
    <col min="24" max="24" width="18" customWidth="1"/>
    <col min="25" max="25" width="11.28515625" customWidth="1"/>
  </cols>
  <sheetData>
    <row r="1" spans="1:6" s="19" customFormat="1" ht="27" customHeight="1" x14ac:dyDescent="0.3">
      <c r="A1" s="79" t="s">
        <v>221</v>
      </c>
    </row>
    <row r="2" spans="1:6" ht="33.75" customHeight="1" x14ac:dyDescent="0.35">
      <c r="B2" s="31"/>
      <c r="C2" s="632" t="s">
        <v>228</v>
      </c>
      <c r="D2" s="632"/>
      <c r="E2" s="632"/>
    </row>
    <row r="3" spans="1:6" ht="33.75" customHeight="1" x14ac:dyDescent="0.35">
      <c r="B3" s="31"/>
      <c r="C3" s="167" t="s">
        <v>28</v>
      </c>
      <c r="D3" s="167" t="s">
        <v>109</v>
      </c>
      <c r="E3" s="510" t="s">
        <v>229</v>
      </c>
      <c r="F3" s="9" t="s">
        <v>230</v>
      </c>
    </row>
    <row r="4" spans="1:6" ht="15.75" x14ac:dyDescent="0.25">
      <c r="A4" s="79" t="s">
        <v>225</v>
      </c>
      <c r="B4" t="s">
        <v>227</v>
      </c>
      <c r="C4" s="167" t="s">
        <v>69</v>
      </c>
      <c r="D4" s="167" t="s">
        <v>69</v>
      </c>
      <c r="E4" s="167" t="s">
        <v>69</v>
      </c>
      <c r="F4" s="251" t="s">
        <v>224</v>
      </c>
    </row>
    <row r="5" spans="1:6" x14ac:dyDescent="0.2">
      <c r="A5" s="39" t="s">
        <v>226</v>
      </c>
      <c r="B5" t="s">
        <v>164</v>
      </c>
      <c r="C5" s="13">
        <v>656</v>
      </c>
      <c r="D5" s="13">
        <v>1</v>
      </c>
      <c r="E5" s="13">
        <f>C5+D5</f>
        <v>657</v>
      </c>
      <c r="F5" t="str">
        <f>'Cement Est 1245 Peak'!D1</f>
        <v>ESTIMATED PEAK Concentration at 12:45 Aug 5, 2015</v>
      </c>
    </row>
    <row r="6" spans="1:6" x14ac:dyDescent="0.2">
      <c r="A6" s="39" t="s">
        <v>47</v>
      </c>
      <c r="B6" t="s">
        <v>165</v>
      </c>
      <c r="C6" s="13">
        <v>4019</v>
      </c>
      <c r="D6" s="13">
        <v>39082</v>
      </c>
      <c r="E6" s="13">
        <f>C6+D6</f>
        <v>43101</v>
      </c>
      <c r="F6" t="str">
        <f>'Cement Est 1245 Peak'!D1</f>
        <v>ESTIMATED PEAK Concentration at 12:45 Aug 5, 2015</v>
      </c>
    </row>
    <row r="7" spans="1:6" x14ac:dyDescent="0.2">
      <c r="A7" s="39" t="s">
        <v>47</v>
      </c>
      <c r="B7" t="s">
        <v>166</v>
      </c>
      <c r="C7" s="13">
        <v>725</v>
      </c>
      <c r="D7" s="13">
        <v>11485</v>
      </c>
      <c r="E7" s="13">
        <f>C7+D7</f>
        <v>12210</v>
      </c>
    </row>
    <row r="10" spans="1:6" ht="15.75" x14ac:dyDescent="0.25">
      <c r="A10" s="79" t="s">
        <v>225</v>
      </c>
      <c r="B10" s="79" t="s">
        <v>65</v>
      </c>
    </row>
    <row r="11" spans="1:6" x14ac:dyDescent="0.2">
      <c r="A11" s="39" t="s">
        <v>226</v>
      </c>
      <c r="B11" s="39" t="s">
        <v>132</v>
      </c>
      <c r="C11" s="13">
        <v>656</v>
      </c>
      <c r="D11" s="13">
        <v>1</v>
      </c>
    </row>
    <row r="12" spans="1:6" x14ac:dyDescent="0.2">
      <c r="A12" s="39" t="s">
        <v>47</v>
      </c>
      <c r="B12" s="39" t="s">
        <v>134</v>
      </c>
      <c r="C12" s="13">
        <v>4000</v>
      </c>
      <c r="D12" s="13">
        <v>39000</v>
      </c>
    </row>
    <row r="13" spans="1:6" x14ac:dyDescent="0.2">
      <c r="A13" s="39" t="s">
        <v>47</v>
      </c>
      <c r="B13" t="s">
        <v>231</v>
      </c>
      <c r="C13" s="13">
        <v>725</v>
      </c>
      <c r="D13" s="13">
        <v>11500</v>
      </c>
    </row>
    <row r="14" spans="1:6" x14ac:dyDescent="0.2">
      <c r="C14" s="13"/>
      <c r="D14" s="13"/>
    </row>
    <row r="28" spans="1:5" s="24" customFormat="1" ht="21" customHeight="1" x14ac:dyDescent="0.25">
      <c r="A28"/>
      <c r="B28"/>
      <c r="C28"/>
      <c r="D28"/>
      <c r="E28"/>
    </row>
    <row r="29" spans="1:5" s="24" customFormat="1" ht="21" customHeight="1" x14ac:dyDescent="0.25"/>
    <row r="30" spans="1:5" s="24" customFormat="1" ht="21" customHeight="1" x14ac:dyDescent="0.25"/>
    <row r="31" spans="1:5" s="24" customFormat="1" ht="21" customHeight="1" x14ac:dyDescent="0.25"/>
    <row r="32" spans="1:5" ht="15.75" x14ac:dyDescent="0.25">
      <c r="A32" s="24"/>
      <c r="B32" s="24"/>
      <c r="C32" s="24"/>
      <c r="D32" s="24"/>
      <c r="E32" s="24"/>
    </row>
  </sheetData>
  <sheetProtection algorithmName="SHA-512" hashValue="BBLAUIVIepeGU8UFa+T3fE0YUxVpIA7wASYkYKHzA+HBGGO8KDbFor2UaKP6ASg5tMHep9wMhs9zBtYF6sdaiw==" saltValue="O76W4HphUc6ugBhlUCC9KQ==" spinCount="100000" sheet="1" scenarios="1"/>
  <mergeCells count="1">
    <mergeCell ref="C2:E2"/>
  </mergeCells>
  <pageMargins left="0.7" right="0.7" top="0.75" bottom="0.75" header="0.3" footer="0.3"/>
  <drawing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6"/>
  <sheetViews>
    <sheetView workbookViewId="0">
      <selection activeCell="Q1" sqref="Q1"/>
    </sheetView>
  </sheetViews>
  <sheetFormatPr defaultRowHeight="12.75" x14ac:dyDescent="0.2"/>
  <cols>
    <col min="1" max="1" width="11.5703125" customWidth="1"/>
    <col min="2" max="2" width="11.7109375" customWidth="1"/>
    <col min="4" max="5" width="11.7109375" customWidth="1"/>
    <col min="7" max="7" width="11.28515625" customWidth="1"/>
    <col min="8" max="8" width="12.85546875" customWidth="1"/>
    <col min="9" max="9" width="16.28515625" customWidth="1"/>
    <col min="10" max="10" width="11.5703125" customWidth="1"/>
    <col min="11" max="11" width="9.28515625" customWidth="1"/>
    <col min="14" max="14" width="12" customWidth="1"/>
    <col min="15" max="15" width="10.140625" customWidth="1"/>
    <col min="17" max="17" width="10.140625" customWidth="1"/>
    <col min="18" max="18" width="9.85546875" customWidth="1"/>
    <col min="19" max="19" width="13.85546875" customWidth="1"/>
  </cols>
  <sheetData>
    <row r="1" spans="1:20" s="19" customFormat="1" ht="27" customHeight="1" x14ac:dyDescent="0.3">
      <c r="A1" s="19" t="s">
        <v>126</v>
      </c>
    </row>
    <row r="2" spans="1:20" s="19" customFormat="1" ht="27" customHeight="1" x14ac:dyDescent="0.3">
      <c r="E2" s="19" t="s">
        <v>249</v>
      </c>
      <c r="H2" s="19" t="s">
        <v>250</v>
      </c>
      <c r="J2" s="19" t="s">
        <v>249</v>
      </c>
      <c r="O2" s="19" t="s">
        <v>69</v>
      </c>
      <c r="R2" s="19" t="s">
        <v>69</v>
      </c>
      <c r="T2" s="19" t="s">
        <v>69</v>
      </c>
    </row>
    <row r="3" spans="1:20" ht="33.75" customHeight="1" x14ac:dyDescent="0.25">
      <c r="A3" s="190"/>
      <c r="B3" s="191"/>
      <c r="C3" s="192"/>
      <c r="D3" s="635" t="s">
        <v>83</v>
      </c>
      <c r="E3" s="636"/>
      <c r="F3" s="79"/>
      <c r="G3" s="637" t="s">
        <v>108</v>
      </c>
      <c r="H3" s="638"/>
      <c r="I3" s="639" t="s">
        <v>109</v>
      </c>
      <c r="J3" s="640"/>
      <c r="K3" s="80"/>
      <c r="L3" s="250"/>
      <c r="M3" s="192"/>
      <c r="N3" s="635" t="s">
        <v>83</v>
      </c>
      <c r="O3" s="636"/>
      <c r="P3" s="24"/>
      <c r="Q3" s="637" t="s">
        <v>108</v>
      </c>
      <c r="R3" s="638"/>
      <c r="S3" s="633" t="s">
        <v>109</v>
      </c>
      <c r="T3" s="634"/>
    </row>
    <row r="4" spans="1:20" x14ac:dyDescent="0.2">
      <c r="A4" s="45" t="s">
        <v>112</v>
      </c>
      <c r="B4" s="45" t="s">
        <v>113</v>
      </c>
      <c r="C4" s="45" t="s">
        <v>114</v>
      </c>
      <c r="D4" s="254" t="s">
        <v>115</v>
      </c>
      <c r="E4" s="255" t="s">
        <v>116</v>
      </c>
      <c r="F4" s="45"/>
      <c r="G4" s="258" t="s">
        <v>115</v>
      </c>
      <c r="H4" s="152" t="s">
        <v>117</v>
      </c>
      <c r="I4" s="258" t="s">
        <v>115</v>
      </c>
      <c r="J4" s="152" t="s">
        <v>117</v>
      </c>
      <c r="K4" s="45"/>
      <c r="L4" s="45" t="s">
        <v>113</v>
      </c>
      <c r="M4" s="45" t="s">
        <v>114</v>
      </c>
      <c r="N4" s="254" t="s">
        <v>115</v>
      </c>
      <c r="O4" s="255" t="s">
        <v>168</v>
      </c>
      <c r="P4" s="45"/>
      <c r="Q4" s="254" t="s">
        <v>115</v>
      </c>
      <c r="R4" s="255" t="s">
        <v>168</v>
      </c>
      <c r="S4" s="254" t="s">
        <v>115</v>
      </c>
      <c r="T4" s="255" t="s">
        <v>168</v>
      </c>
    </row>
    <row r="5" spans="1:20" ht="15.75" x14ac:dyDescent="0.25">
      <c r="A5" s="79" t="s">
        <v>118</v>
      </c>
      <c r="B5" s="206">
        <v>42221</v>
      </c>
      <c r="C5" s="231" t="s">
        <v>125</v>
      </c>
      <c r="D5" s="208" t="s">
        <v>0</v>
      </c>
      <c r="E5" s="256">
        <v>91900</v>
      </c>
      <c r="F5" s="210"/>
      <c r="G5" s="208" t="s">
        <v>0</v>
      </c>
      <c r="H5" s="256">
        <v>945000</v>
      </c>
      <c r="I5" s="208" t="s">
        <v>0</v>
      </c>
      <c r="J5" s="256">
        <f>H5-E5</f>
        <v>853100</v>
      </c>
      <c r="K5" s="243"/>
      <c r="L5" s="206">
        <v>42221</v>
      </c>
      <c r="M5" s="231" t="s">
        <v>125</v>
      </c>
      <c r="N5" s="208" t="s">
        <v>0</v>
      </c>
      <c r="O5" s="265">
        <f>E5/1000</f>
        <v>91.9</v>
      </c>
      <c r="P5" s="210"/>
      <c r="Q5" s="208" t="s">
        <v>0</v>
      </c>
      <c r="R5" s="256">
        <f>H5/1000</f>
        <v>945</v>
      </c>
      <c r="S5" s="208" t="s">
        <v>0</v>
      </c>
      <c r="T5" s="263">
        <f>R5-O5</f>
        <v>853.1</v>
      </c>
    </row>
    <row r="6" spans="1:20" x14ac:dyDescent="0.2">
      <c r="B6" s="206">
        <v>42221</v>
      </c>
      <c r="C6" s="231" t="s">
        <v>125</v>
      </c>
      <c r="D6" s="208" t="s">
        <v>1</v>
      </c>
      <c r="E6" s="266">
        <v>2.5</v>
      </c>
      <c r="F6" s="210"/>
      <c r="G6" s="208" t="s">
        <v>1</v>
      </c>
      <c r="H6" s="256">
        <v>321</v>
      </c>
      <c r="I6" s="208" t="s">
        <v>1</v>
      </c>
      <c r="J6" s="256">
        <f t="shared" ref="J6:J27" si="0">H6-E6</f>
        <v>318.5</v>
      </c>
      <c r="K6" s="243"/>
      <c r="L6" s="206">
        <v>42221</v>
      </c>
      <c r="M6" s="231" t="s">
        <v>125</v>
      </c>
      <c r="N6" s="208" t="s">
        <v>1</v>
      </c>
      <c r="O6" s="265">
        <f t="shared" ref="O6:O27" si="1">E6/1000</f>
        <v>2.5000000000000001E-3</v>
      </c>
      <c r="P6" s="210"/>
      <c r="Q6" s="208" t="s">
        <v>1</v>
      </c>
      <c r="R6" s="256">
        <f t="shared" ref="R6:R27" si="2">H6/1000</f>
        <v>0.32100000000000001</v>
      </c>
      <c r="S6" s="208" t="s">
        <v>1</v>
      </c>
      <c r="T6" s="263">
        <f t="shared" ref="T6:T27" si="3">R6-O6</f>
        <v>0.31850000000000001</v>
      </c>
    </row>
    <row r="7" spans="1:20" x14ac:dyDescent="0.2">
      <c r="B7" s="206">
        <v>42221</v>
      </c>
      <c r="C7" s="231" t="s">
        <v>125</v>
      </c>
      <c r="D7" s="208" t="s">
        <v>2</v>
      </c>
      <c r="E7" s="360">
        <v>2.5</v>
      </c>
      <c r="F7" s="210"/>
      <c r="G7" s="208" t="s">
        <v>2</v>
      </c>
      <c r="H7" s="256">
        <v>8230</v>
      </c>
      <c r="I7" s="208" t="s">
        <v>2</v>
      </c>
      <c r="J7" s="256">
        <f t="shared" si="0"/>
        <v>8227.5</v>
      </c>
      <c r="K7" s="243"/>
      <c r="L7" s="206">
        <v>42221</v>
      </c>
      <c r="M7" s="231" t="s">
        <v>125</v>
      </c>
      <c r="N7" s="208" t="s">
        <v>2</v>
      </c>
      <c r="O7" s="265">
        <f t="shared" si="1"/>
        <v>2.5000000000000001E-3</v>
      </c>
      <c r="P7" s="210"/>
      <c r="Q7" s="208" t="s">
        <v>2</v>
      </c>
      <c r="R7" s="256">
        <f t="shared" si="2"/>
        <v>8.23</v>
      </c>
      <c r="S7" s="208" t="s">
        <v>2</v>
      </c>
      <c r="T7" s="263">
        <f t="shared" si="3"/>
        <v>8.2275000000000009</v>
      </c>
    </row>
    <row r="8" spans="1:20" x14ac:dyDescent="0.2">
      <c r="B8" s="206">
        <v>42221</v>
      </c>
      <c r="C8" s="231" t="s">
        <v>125</v>
      </c>
      <c r="D8" s="208" t="s">
        <v>3</v>
      </c>
      <c r="E8" s="360">
        <v>25</v>
      </c>
      <c r="F8" s="210"/>
      <c r="G8" s="208" t="s">
        <v>3</v>
      </c>
      <c r="H8" s="256">
        <v>9730</v>
      </c>
      <c r="I8" s="208" t="s">
        <v>3</v>
      </c>
      <c r="J8" s="256">
        <f t="shared" si="0"/>
        <v>9705</v>
      </c>
      <c r="K8" s="243"/>
      <c r="L8" s="206">
        <v>42221</v>
      </c>
      <c r="M8" s="231" t="s">
        <v>125</v>
      </c>
      <c r="N8" s="208" t="s">
        <v>3</v>
      </c>
      <c r="O8" s="265">
        <f t="shared" si="1"/>
        <v>2.5000000000000001E-2</v>
      </c>
      <c r="P8" s="210"/>
      <c r="Q8" s="208" t="s">
        <v>3</v>
      </c>
      <c r="R8" s="256">
        <f t="shared" si="2"/>
        <v>9.73</v>
      </c>
      <c r="S8" s="208" t="s">
        <v>3</v>
      </c>
      <c r="T8" s="263">
        <f t="shared" si="3"/>
        <v>9.7050000000000001</v>
      </c>
    </row>
    <row r="9" spans="1:20" x14ac:dyDescent="0.2">
      <c r="B9" s="206">
        <v>42221</v>
      </c>
      <c r="C9" s="231" t="s">
        <v>125</v>
      </c>
      <c r="D9" s="208" t="s">
        <v>4</v>
      </c>
      <c r="E9" s="361">
        <v>34.799999999999997</v>
      </c>
      <c r="F9" s="210"/>
      <c r="G9" s="208" t="s">
        <v>4</v>
      </c>
      <c r="H9" s="256">
        <v>135</v>
      </c>
      <c r="I9" s="208" t="s">
        <v>4</v>
      </c>
      <c r="J9" s="256">
        <f t="shared" si="0"/>
        <v>100.2</v>
      </c>
      <c r="K9" s="243"/>
      <c r="L9" s="206">
        <v>42221</v>
      </c>
      <c r="M9" s="231" t="s">
        <v>125</v>
      </c>
      <c r="N9" s="208" t="s">
        <v>4</v>
      </c>
      <c r="O9" s="265">
        <f t="shared" si="1"/>
        <v>3.4799999999999998E-2</v>
      </c>
      <c r="P9" s="210"/>
      <c r="Q9" s="208" t="s">
        <v>4</v>
      </c>
      <c r="R9" s="256">
        <f t="shared" si="2"/>
        <v>0.13500000000000001</v>
      </c>
      <c r="S9" s="208" t="s">
        <v>4</v>
      </c>
      <c r="T9" s="263">
        <f t="shared" si="3"/>
        <v>0.10020000000000001</v>
      </c>
    </row>
    <row r="10" spans="1:20" ht="15" x14ac:dyDescent="0.25">
      <c r="A10" s="203"/>
      <c r="B10" s="206">
        <v>42221</v>
      </c>
      <c r="C10" s="231" t="s">
        <v>125</v>
      </c>
      <c r="D10" s="208" t="s">
        <v>5</v>
      </c>
      <c r="E10" s="361">
        <v>98.3</v>
      </c>
      <c r="F10" s="210"/>
      <c r="G10" s="208" t="s">
        <v>5</v>
      </c>
      <c r="H10" s="256">
        <v>165</v>
      </c>
      <c r="I10" s="208" t="s">
        <v>5</v>
      </c>
      <c r="J10" s="256">
        <f t="shared" si="0"/>
        <v>66.7</v>
      </c>
      <c r="K10" s="243"/>
      <c r="L10" s="206">
        <v>42221</v>
      </c>
      <c r="M10" s="231" t="s">
        <v>125</v>
      </c>
      <c r="N10" s="208" t="s">
        <v>5</v>
      </c>
      <c r="O10" s="265">
        <f t="shared" si="1"/>
        <v>9.8299999999999998E-2</v>
      </c>
      <c r="P10" s="210"/>
      <c r="Q10" s="208" t="s">
        <v>5</v>
      </c>
      <c r="R10" s="256">
        <f t="shared" si="2"/>
        <v>0.16500000000000001</v>
      </c>
      <c r="S10" s="208" t="s">
        <v>5</v>
      </c>
      <c r="T10" s="263">
        <f t="shared" si="3"/>
        <v>6.6700000000000009E-2</v>
      </c>
    </row>
    <row r="11" spans="1:20" x14ac:dyDescent="0.2">
      <c r="B11" s="206">
        <v>42221</v>
      </c>
      <c r="C11" s="231" t="s">
        <v>125</v>
      </c>
      <c r="D11" s="208" t="s">
        <v>6</v>
      </c>
      <c r="E11" s="361">
        <v>461000</v>
      </c>
      <c r="F11" s="210"/>
      <c r="G11" s="208" t="s">
        <v>6</v>
      </c>
      <c r="H11" s="256">
        <v>454000</v>
      </c>
      <c r="I11" s="208" t="s">
        <v>6</v>
      </c>
      <c r="J11" s="256">
        <f t="shared" si="0"/>
        <v>-7000</v>
      </c>
      <c r="K11" s="243"/>
      <c r="L11" s="206">
        <v>42221</v>
      </c>
      <c r="M11" s="231" t="s">
        <v>125</v>
      </c>
      <c r="N11" s="208" t="s">
        <v>6</v>
      </c>
      <c r="O11" s="265">
        <f t="shared" si="1"/>
        <v>461</v>
      </c>
      <c r="P11" s="210"/>
      <c r="Q11" s="208" t="s">
        <v>6</v>
      </c>
      <c r="R11" s="256">
        <f t="shared" si="2"/>
        <v>454</v>
      </c>
      <c r="S11" s="208" t="s">
        <v>6</v>
      </c>
      <c r="T11" s="263">
        <f t="shared" si="3"/>
        <v>-7</v>
      </c>
    </row>
    <row r="12" spans="1:20" x14ac:dyDescent="0.2">
      <c r="B12" s="206">
        <v>42221</v>
      </c>
      <c r="C12" s="231" t="s">
        <v>125</v>
      </c>
      <c r="D12" s="208" t="s">
        <v>7</v>
      </c>
      <c r="E12" s="361">
        <v>5</v>
      </c>
      <c r="F12" s="210"/>
      <c r="G12" s="208" t="s">
        <v>7</v>
      </c>
      <c r="H12" s="256">
        <v>706</v>
      </c>
      <c r="I12" s="208" t="s">
        <v>7</v>
      </c>
      <c r="J12" s="256">
        <f t="shared" si="0"/>
        <v>701</v>
      </c>
      <c r="K12" s="243"/>
      <c r="L12" s="206">
        <v>42221</v>
      </c>
      <c r="M12" s="231" t="s">
        <v>125</v>
      </c>
      <c r="N12" s="208" t="s">
        <v>7</v>
      </c>
      <c r="O12" s="265">
        <f t="shared" si="1"/>
        <v>5.0000000000000001E-3</v>
      </c>
      <c r="P12" s="210"/>
      <c r="Q12" s="208" t="s">
        <v>7</v>
      </c>
      <c r="R12" s="256">
        <f t="shared" si="2"/>
        <v>0.70599999999999996</v>
      </c>
      <c r="S12" s="208" t="s">
        <v>7</v>
      </c>
      <c r="T12" s="263">
        <f t="shared" si="3"/>
        <v>0.70099999999999996</v>
      </c>
    </row>
    <row r="13" spans="1:20" x14ac:dyDescent="0.2">
      <c r="B13" s="206">
        <v>42221</v>
      </c>
      <c r="C13" s="231" t="s">
        <v>125</v>
      </c>
      <c r="D13" s="208" t="s">
        <v>8</v>
      </c>
      <c r="E13" s="361">
        <v>204</v>
      </c>
      <c r="F13" s="210"/>
      <c r="G13" s="208" t="s">
        <v>8</v>
      </c>
      <c r="H13" s="256">
        <v>384</v>
      </c>
      <c r="I13" s="208" t="s">
        <v>8</v>
      </c>
      <c r="J13" s="256">
        <f t="shared" si="0"/>
        <v>180</v>
      </c>
      <c r="K13" s="243"/>
      <c r="L13" s="206">
        <v>42221</v>
      </c>
      <c r="M13" s="231" t="s">
        <v>125</v>
      </c>
      <c r="N13" s="208" t="s">
        <v>8</v>
      </c>
      <c r="O13" s="265">
        <f t="shared" si="1"/>
        <v>0.20399999999999999</v>
      </c>
      <c r="P13" s="210"/>
      <c r="Q13" s="208" t="s">
        <v>8</v>
      </c>
      <c r="R13" s="256">
        <f t="shared" si="2"/>
        <v>0.38400000000000001</v>
      </c>
      <c r="S13" s="208" t="s">
        <v>8</v>
      </c>
      <c r="T13" s="263">
        <f t="shared" si="3"/>
        <v>0.18000000000000002</v>
      </c>
    </row>
    <row r="14" spans="1:20" x14ac:dyDescent="0.2">
      <c r="B14" s="206">
        <v>42221</v>
      </c>
      <c r="C14" s="231" t="s">
        <v>125</v>
      </c>
      <c r="D14" s="208" t="s">
        <v>9</v>
      </c>
      <c r="E14" s="361">
        <v>10400</v>
      </c>
      <c r="F14" s="210"/>
      <c r="G14" s="208" t="s">
        <v>9</v>
      </c>
      <c r="H14" s="256">
        <v>36700</v>
      </c>
      <c r="I14" s="208" t="s">
        <v>9</v>
      </c>
      <c r="J14" s="256">
        <f t="shared" si="0"/>
        <v>26300</v>
      </c>
      <c r="K14" s="243"/>
      <c r="L14" s="206">
        <v>42221</v>
      </c>
      <c r="M14" s="231" t="s">
        <v>125</v>
      </c>
      <c r="N14" s="208" t="s">
        <v>9</v>
      </c>
      <c r="O14" s="265">
        <f t="shared" si="1"/>
        <v>10.4</v>
      </c>
      <c r="P14" s="210"/>
      <c r="Q14" s="208" t="s">
        <v>9</v>
      </c>
      <c r="R14" s="256">
        <f t="shared" si="2"/>
        <v>36.700000000000003</v>
      </c>
      <c r="S14" s="208" t="s">
        <v>9</v>
      </c>
      <c r="T14" s="263">
        <f t="shared" si="3"/>
        <v>26.300000000000004</v>
      </c>
    </row>
    <row r="15" spans="1:20" x14ac:dyDescent="0.2">
      <c r="B15" s="206">
        <v>42221</v>
      </c>
      <c r="C15" s="231" t="s">
        <v>125</v>
      </c>
      <c r="D15" s="208" t="s">
        <v>10</v>
      </c>
      <c r="E15" s="361">
        <v>49500</v>
      </c>
      <c r="F15" s="210"/>
      <c r="G15" s="208" t="s">
        <v>10</v>
      </c>
      <c r="H15" s="256">
        <v>9930000</v>
      </c>
      <c r="I15" s="208" t="s">
        <v>10</v>
      </c>
      <c r="J15" s="256">
        <f t="shared" si="0"/>
        <v>9880500</v>
      </c>
      <c r="K15" s="243"/>
      <c r="L15" s="206">
        <v>42221</v>
      </c>
      <c r="M15" s="231" t="s">
        <v>125</v>
      </c>
      <c r="N15" s="208" t="s">
        <v>10</v>
      </c>
      <c r="O15" s="265">
        <f t="shared" si="1"/>
        <v>49.5</v>
      </c>
      <c r="P15" s="210"/>
      <c r="Q15" s="208" t="s">
        <v>10</v>
      </c>
      <c r="R15" s="256">
        <f t="shared" si="2"/>
        <v>9930</v>
      </c>
      <c r="S15" s="208" t="s">
        <v>10</v>
      </c>
      <c r="T15" s="263">
        <f t="shared" si="3"/>
        <v>9880.5</v>
      </c>
    </row>
    <row r="16" spans="1:20" x14ac:dyDescent="0.2">
      <c r="B16" s="206">
        <v>42221</v>
      </c>
      <c r="C16" s="231" t="s">
        <v>125</v>
      </c>
      <c r="D16" s="208" t="s">
        <v>11</v>
      </c>
      <c r="E16" s="361">
        <v>150</v>
      </c>
      <c r="F16" s="210"/>
      <c r="G16" s="208" t="s">
        <v>11</v>
      </c>
      <c r="H16" s="256">
        <v>179000</v>
      </c>
      <c r="I16" s="208" t="s">
        <v>11</v>
      </c>
      <c r="J16" s="256">
        <f t="shared" si="0"/>
        <v>178850</v>
      </c>
      <c r="K16" s="243"/>
      <c r="L16" s="206">
        <v>42221</v>
      </c>
      <c r="M16" s="231" t="s">
        <v>125</v>
      </c>
      <c r="N16" s="208" t="s">
        <v>11</v>
      </c>
      <c r="O16" s="265">
        <f t="shared" si="1"/>
        <v>0.15</v>
      </c>
      <c r="P16" s="210"/>
      <c r="Q16" s="208" t="s">
        <v>11</v>
      </c>
      <c r="R16" s="256">
        <f t="shared" si="2"/>
        <v>179</v>
      </c>
      <c r="S16" s="208" t="s">
        <v>11</v>
      </c>
      <c r="T16" s="263">
        <f t="shared" si="3"/>
        <v>178.85</v>
      </c>
    </row>
    <row r="17" spans="1:20" x14ac:dyDescent="0.2">
      <c r="B17" s="206">
        <v>42221</v>
      </c>
      <c r="C17" s="231" t="s">
        <v>125</v>
      </c>
      <c r="D17" s="208" t="s">
        <v>12</v>
      </c>
      <c r="E17" s="361">
        <v>36500</v>
      </c>
      <c r="F17" s="210"/>
      <c r="G17" s="208" t="s">
        <v>12</v>
      </c>
      <c r="H17" s="256">
        <v>279000</v>
      </c>
      <c r="I17" s="208" t="s">
        <v>12</v>
      </c>
      <c r="J17" s="256">
        <f t="shared" si="0"/>
        <v>242500</v>
      </c>
      <c r="K17" s="243"/>
      <c r="L17" s="206">
        <v>42221</v>
      </c>
      <c r="M17" s="231" t="s">
        <v>125</v>
      </c>
      <c r="N17" s="208" t="s">
        <v>12</v>
      </c>
      <c r="O17" s="265">
        <f t="shared" si="1"/>
        <v>36.5</v>
      </c>
      <c r="P17" s="210"/>
      <c r="Q17" s="208" t="s">
        <v>12</v>
      </c>
      <c r="R17" s="256">
        <f t="shared" si="2"/>
        <v>279</v>
      </c>
      <c r="S17" s="208" t="s">
        <v>12</v>
      </c>
      <c r="T17" s="263">
        <f t="shared" si="3"/>
        <v>242.5</v>
      </c>
    </row>
    <row r="18" spans="1:20" x14ac:dyDescent="0.2">
      <c r="B18" s="206">
        <v>42221</v>
      </c>
      <c r="C18" s="231" t="s">
        <v>125</v>
      </c>
      <c r="D18" s="208" t="s">
        <v>13</v>
      </c>
      <c r="E18" s="361">
        <v>37100</v>
      </c>
      <c r="F18" s="210"/>
      <c r="G18" s="208" t="s">
        <v>13</v>
      </c>
      <c r="H18" s="256">
        <v>78000</v>
      </c>
      <c r="I18" s="208" t="s">
        <v>13</v>
      </c>
      <c r="J18" s="256">
        <f t="shared" si="0"/>
        <v>40900</v>
      </c>
      <c r="K18" s="243"/>
      <c r="L18" s="206">
        <v>42221</v>
      </c>
      <c r="M18" s="231" t="s">
        <v>125</v>
      </c>
      <c r="N18" s="208" t="s">
        <v>13</v>
      </c>
      <c r="O18" s="265">
        <f t="shared" si="1"/>
        <v>37.1</v>
      </c>
      <c r="P18" s="210"/>
      <c r="Q18" s="208" t="s">
        <v>13</v>
      </c>
      <c r="R18" s="256">
        <f t="shared" si="2"/>
        <v>78</v>
      </c>
      <c r="S18" s="208" t="s">
        <v>13</v>
      </c>
      <c r="T18" s="263">
        <f t="shared" si="3"/>
        <v>40.9</v>
      </c>
    </row>
    <row r="19" spans="1:20" x14ac:dyDescent="0.2">
      <c r="B19" s="206">
        <v>42221</v>
      </c>
      <c r="C19" s="231" t="s">
        <v>125</v>
      </c>
      <c r="D19" s="208" t="s">
        <v>39</v>
      </c>
      <c r="E19" s="360">
        <v>5</v>
      </c>
      <c r="F19" s="210"/>
      <c r="G19" s="208" t="s">
        <v>39</v>
      </c>
      <c r="H19" s="256">
        <v>2010</v>
      </c>
      <c r="I19" s="208" t="s">
        <v>39</v>
      </c>
      <c r="J19" s="256">
        <f t="shared" si="0"/>
        <v>2005</v>
      </c>
      <c r="K19" s="243"/>
      <c r="L19" s="206">
        <v>42221</v>
      </c>
      <c r="M19" s="231" t="s">
        <v>125</v>
      </c>
      <c r="N19" s="208" t="s">
        <v>39</v>
      </c>
      <c r="O19" s="265">
        <f t="shared" si="1"/>
        <v>5.0000000000000001E-3</v>
      </c>
      <c r="P19" s="210"/>
      <c r="Q19" s="208" t="s">
        <v>39</v>
      </c>
      <c r="R19" s="256">
        <f t="shared" si="2"/>
        <v>2.0099999999999998</v>
      </c>
      <c r="S19" s="208" t="s">
        <v>39</v>
      </c>
      <c r="T19" s="263">
        <f t="shared" si="3"/>
        <v>2.0049999999999999</v>
      </c>
    </row>
    <row r="20" spans="1:20" x14ac:dyDescent="0.2">
      <c r="B20" s="206">
        <v>42221</v>
      </c>
      <c r="C20" s="231" t="s">
        <v>125</v>
      </c>
      <c r="D20" s="208" t="s">
        <v>16</v>
      </c>
      <c r="E20" s="361">
        <v>91.5</v>
      </c>
      <c r="F20" s="210"/>
      <c r="G20" s="208" t="s">
        <v>16</v>
      </c>
      <c r="H20" s="256">
        <v>276</v>
      </c>
      <c r="I20" s="208" t="s">
        <v>16</v>
      </c>
      <c r="J20" s="256">
        <f t="shared" si="0"/>
        <v>184.5</v>
      </c>
      <c r="K20" s="243"/>
      <c r="L20" s="206">
        <v>42221</v>
      </c>
      <c r="M20" s="231" t="s">
        <v>125</v>
      </c>
      <c r="N20" s="208" t="s">
        <v>16</v>
      </c>
      <c r="O20" s="265">
        <f t="shared" si="1"/>
        <v>9.1499999999999998E-2</v>
      </c>
      <c r="P20" s="210"/>
      <c r="Q20" s="208" t="s">
        <v>16</v>
      </c>
      <c r="R20" s="256">
        <f t="shared" si="2"/>
        <v>0.27600000000000002</v>
      </c>
      <c r="S20" s="208" t="s">
        <v>16</v>
      </c>
      <c r="T20" s="263">
        <f t="shared" si="3"/>
        <v>0.18450000000000003</v>
      </c>
    </row>
    <row r="21" spans="1:20" x14ac:dyDescent="0.2">
      <c r="B21" s="206">
        <v>42221</v>
      </c>
      <c r="C21" s="231" t="s">
        <v>125</v>
      </c>
      <c r="D21" s="217" t="s">
        <v>17</v>
      </c>
      <c r="E21" s="361">
        <v>6630</v>
      </c>
      <c r="F21" s="210"/>
      <c r="G21" s="208" t="s">
        <v>17</v>
      </c>
      <c r="H21" s="256">
        <v>212000</v>
      </c>
      <c r="I21" s="208" t="s">
        <v>17</v>
      </c>
      <c r="J21" s="256">
        <f t="shared" si="0"/>
        <v>205370</v>
      </c>
      <c r="K21" s="248"/>
      <c r="L21" s="206">
        <v>42221</v>
      </c>
      <c r="M21" s="231" t="s">
        <v>125</v>
      </c>
      <c r="N21" s="217" t="s">
        <v>17</v>
      </c>
      <c r="O21" s="266">
        <f t="shared" si="1"/>
        <v>6.63</v>
      </c>
      <c r="P21" s="210"/>
      <c r="Q21" s="217" t="s">
        <v>17</v>
      </c>
      <c r="R21" s="256">
        <f t="shared" si="2"/>
        <v>212</v>
      </c>
      <c r="S21" s="217" t="s">
        <v>17</v>
      </c>
      <c r="T21" s="263">
        <f t="shared" si="3"/>
        <v>205.37</v>
      </c>
    </row>
    <row r="22" spans="1:20" x14ac:dyDescent="0.2">
      <c r="B22" s="206">
        <v>42221</v>
      </c>
      <c r="C22" s="231" t="s">
        <v>125</v>
      </c>
      <c r="D22" s="217" t="s">
        <v>18</v>
      </c>
      <c r="E22" s="361">
        <v>5</v>
      </c>
      <c r="F22" s="210"/>
      <c r="G22" s="217" t="s">
        <v>18</v>
      </c>
      <c r="H22" s="361">
        <v>250</v>
      </c>
      <c r="I22" s="217" t="s">
        <v>18</v>
      </c>
      <c r="J22" s="256">
        <f t="shared" si="0"/>
        <v>245</v>
      </c>
      <c r="K22" s="248"/>
      <c r="L22" s="206">
        <v>42221</v>
      </c>
      <c r="M22" s="231" t="s">
        <v>125</v>
      </c>
      <c r="N22" s="217" t="s">
        <v>18</v>
      </c>
      <c r="O22" s="266">
        <f t="shared" si="1"/>
        <v>5.0000000000000001E-3</v>
      </c>
      <c r="P22" s="210"/>
      <c r="Q22" s="217" t="s">
        <v>18</v>
      </c>
      <c r="R22" s="256">
        <f t="shared" si="2"/>
        <v>0.25</v>
      </c>
      <c r="S22" s="217" t="s">
        <v>18</v>
      </c>
      <c r="T22" s="263">
        <f t="shared" si="3"/>
        <v>0.245</v>
      </c>
    </row>
    <row r="23" spans="1:20" x14ac:dyDescent="0.2">
      <c r="B23" s="206">
        <v>42221</v>
      </c>
      <c r="C23" s="231" t="s">
        <v>125</v>
      </c>
      <c r="D23" s="217" t="s">
        <v>19</v>
      </c>
      <c r="E23" s="360">
        <v>2.5</v>
      </c>
      <c r="F23" s="210"/>
      <c r="G23" s="217" t="s">
        <v>19</v>
      </c>
      <c r="H23" s="361">
        <v>1110</v>
      </c>
      <c r="I23" s="217" t="s">
        <v>19</v>
      </c>
      <c r="J23" s="256">
        <f t="shared" si="0"/>
        <v>1107.5</v>
      </c>
      <c r="K23" s="248"/>
      <c r="L23" s="206">
        <v>42221</v>
      </c>
      <c r="M23" s="231" t="s">
        <v>125</v>
      </c>
      <c r="N23" s="217" t="s">
        <v>19</v>
      </c>
      <c r="O23" s="266">
        <f t="shared" si="1"/>
        <v>2.5000000000000001E-3</v>
      </c>
      <c r="P23" s="210"/>
      <c r="Q23" s="217" t="s">
        <v>19</v>
      </c>
      <c r="R23" s="256">
        <f t="shared" si="2"/>
        <v>1.1100000000000001</v>
      </c>
      <c r="S23" s="217" t="s">
        <v>19</v>
      </c>
      <c r="T23" s="263">
        <f t="shared" si="3"/>
        <v>1.1075000000000002</v>
      </c>
    </row>
    <row r="24" spans="1:20" x14ac:dyDescent="0.2">
      <c r="B24" s="206">
        <v>42221</v>
      </c>
      <c r="C24" s="231" t="s">
        <v>125</v>
      </c>
      <c r="D24" s="217" t="s">
        <v>20</v>
      </c>
      <c r="E24" s="361">
        <v>4960</v>
      </c>
      <c r="F24" s="210"/>
      <c r="G24" s="217" t="s">
        <v>20</v>
      </c>
      <c r="H24" s="361">
        <v>23400</v>
      </c>
      <c r="I24" s="217" t="s">
        <v>20</v>
      </c>
      <c r="J24" s="256">
        <f t="shared" si="0"/>
        <v>18440</v>
      </c>
      <c r="K24" s="248"/>
      <c r="L24" s="206">
        <v>42221</v>
      </c>
      <c r="M24" s="231" t="s">
        <v>125</v>
      </c>
      <c r="N24" s="217" t="s">
        <v>20</v>
      </c>
      <c r="O24" s="266">
        <f t="shared" si="1"/>
        <v>4.96</v>
      </c>
      <c r="P24" s="210"/>
      <c r="Q24" s="217" t="s">
        <v>20</v>
      </c>
      <c r="R24" s="256">
        <f t="shared" si="2"/>
        <v>23.4</v>
      </c>
      <c r="S24" s="217" t="s">
        <v>20</v>
      </c>
      <c r="T24" s="263">
        <f t="shared" si="3"/>
        <v>18.439999999999998</v>
      </c>
    </row>
    <row r="25" spans="1:20" x14ac:dyDescent="0.2">
      <c r="B25" s="206">
        <v>42221</v>
      </c>
      <c r="C25" s="231" t="s">
        <v>125</v>
      </c>
      <c r="D25" s="217" t="s">
        <v>21</v>
      </c>
      <c r="E25" s="361">
        <v>2.5</v>
      </c>
      <c r="F25" s="210"/>
      <c r="G25" s="217" t="s">
        <v>21</v>
      </c>
      <c r="H25" s="361">
        <v>125</v>
      </c>
      <c r="I25" s="217" t="s">
        <v>21</v>
      </c>
      <c r="J25" s="256">
        <f t="shared" si="0"/>
        <v>122.5</v>
      </c>
      <c r="K25" s="248"/>
      <c r="L25" s="206">
        <v>42221</v>
      </c>
      <c r="M25" s="231" t="s">
        <v>125</v>
      </c>
      <c r="N25" s="217" t="s">
        <v>21</v>
      </c>
      <c r="O25" s="266">
        <f t="shared" si="1"/>
        <v>2.5000000000000001E-3</v>
      </c>
      <c r="P25" s="210"/>
      <c r="Q25" s="217" t="s">
        <v>21</v>
      </c>
      <c r="R25" s="256">
        <f t="shared" si="2"/>
        <v>0.125</v>
      </c>
      <c r="S25" s="217" t="s">
        <v>21</v>
      </c>
      <c r="T25" s="263">
        <f t="shared" si="3"/>
        <v>0.1225</v>
      </c>
    </row>
    <row r="26" spans="1:20" x14ac:dyDescent="0.2">
      <c r="B26" s="206">
        <v>42221</v>
      </c>
      <c r="C26" s="231" t="s">
        <v>125</v>
      </c>
      <c r="D26" s="208" t="s">
        <v>22</v>
      </c>
      <c r="E26" s="361">
        <v>10</v>
      </c>
      <c r="F26" s="210"/>
      <c r="G26" s="217" t="s">
        <v>22</v>
      </c>
      <c r="H26" s="361">
        <v>5470</v>
      </c>
      <c r="I26" s="217" t="s">
        <v>22</v>
      </c>
      <c r="J26" s="256">
        <f t="shared" si="0"/>
        <v>5460</v>
      </c>
      <c r="K26" s="248"/>
      <c r="L26" s="206">
        <v>42221</v>
      </c>
      <c r="M26" s="231" t="s">
        <v>125</v>
      </c>
      <c r="N26" s="208" t="s">
        <v>22</v>
      </c>
      <c r="O26" s="265">
        <f t="shared" si="1"/>
        <v>0.01</v>
      </c>
      <c r="P26" s="210"/>
      <c r="Q26" s="208" t="s">
        <v>22</v>
      </c>
      <c r="R26" s="256">
        <f t="shared" si="2"/>
        <v>5.47</v>
      </c>
      <c r="S26" s="208" t="s">
        <v>22</v>
      </c>
      <c r="T26" s="263">
        <f t="shared" si="3"/>
        <v>5.46</v>
      </c>
    </row>
    <row r="27" spans="1:20" x14ac:dyDescent="0.2">
      <c r="B27" s="219">
        <v>42221</v>
      </c>
      <c r="C27" s="244" t="s">
        <v>125</v>
      </c>
      <c r="D27" s="221" t="s">
        <v>23</v>
      </c>
      <c r="E27" s="362">
        <v>26800</v>
      </c>
      <c r="F27" s="223"/>
      <c r="G27" s="221" t="s">
        <v>23</v>
      </c>
      <c r="H27" s="257">
        <v>44000</v>
      </c>
      <c r="I27" s="221" t="s">
        <v>23</v>
      </c>
      <c r="J27" s="257">
        <f t="shared" si="0"/>
        <v>17200</v>
      </c>
      <c r="K27" s="252"/>
      <c r="L27" s="219">
        <v>42221</v>
      </c>
      <c r="M27" s="244" t="s">
        <v>125</v>
      </c>
      <c r="N27" s="221" t="s">
        <v>23</v>
      </c>
      <c r="O27" s="267">
        <f t="shared" si="1"/>
        <v>26.8</v>
      </c>
      <c r="P27" s="223"/>
      <c r="Q27" s="221" t="s">
        <v>23</v>
      </c>
      <c r="R27" s="257">
        <f t="shared" si="2"/>
        <v>44</v>
      </c>
      <c r="S27" s="221" t="s">
        <v>23</v>
      </c>
      <c r="T27" s="264">
        <f t="shared" si="3"/>
        <v>17.2</v>
      </c>
    </row>
    <row r="28" spans="1:20" s="24" customFormat="1" ht="21" customHeight="1" x14ac:dyDescent="0.25">
      <c r="B28" s="245"/>
      <c r="C28" s="246"/>
      <c r="D28" s="573" t="s">
        <v>251</v>
      </c>
      <c r="E28" s="259">
        <f>SUM(E5:E27)</f>
        <v>725428.6</v>
      </c>
      <c r="F28" s="203"/>
      <c r="G28" s="573" t="s">
        <v>251</v>
      </c>
      <c r="H28" s="259">
        <f>SUM(H5:H27)</f>
        <v>12210012</v>
      </c>
      <c r="I28" s="573" t="s">
        <v>251</v>
      </c>
      <c r="J28" s="259">
        <f>SUM(J5:J27)</f>
        <v>11484583.4</v>
      </c>
      <c r="K28" s="253"/>
      <c r="L28" s="245"/>
      <c r="M28" s="246"/>
      <c r="N28" s="573" t="s">
        <v>251</v>
      </c>
      <c r="O28" s="249">
        <f>SUM(O5:O27)</f>
        <v>725.42859999999996</v>
      </c>
      <c r="P28" s="383"/>
      <c r="Q28" s="573" t="s">
        <v>251</v>
      </c>
      <c r="R28" s="249">
        <f>SUM(R5:R27)</f>
        <v>12210.011999999999</v>
      </c>
      <c r="S28" s="573" t="s">
        <v>251</v>
      </c>
      <c r="T28" s="249">
        <f>SUM(T5:T27)</f>
        <v>11484.5834</v>
      </c>
    </row>
    <row r="29" spans="1:20" s="24" customFormat="1" ht="21" customHeight="1" x14ac:dyDescent="0.25">
      <c r="D29" s="260" t="s">
        <v>51</v>
      </c>
      <c r="E29" s="261">
        <f>E11+E17+E21+E24</f>
        <v>509090</v>
      </c>
      <c r="F29" s="23"/>
      <c r="G29" s="260" t="s">
        <v>51</v>
      </c>
      <c r="H29" s="261">
        <f t="shared" ref="H29:J29" si="4">H11+H17+H21+H24</f>
        <v>968400</v>
      </c>
      <c r="I29" s="260" t="s">
        <v>51</v>
      </c>
      <c r="J29" s="261">
        <f t="shared" si="4"/>
        <v>459310</v>
      </c>
      <c r="K29" s="253"/>
      <c r="N29" s="262" t="s">
        <v>51</v>
      </c>
      <c r="O29" s="146">
        <f>O11+O17+O21+O24</f>
        <v>509.09</v>
      </c>
      <c r="P29" s="79"/>
      <c r="Q29" s="262" t="s">
        <v>51</v>
      </c>
      <c r="R29" s="146">
        <f t="shared" ref="R29:T29" si="5">R11+R17+R21+R24</f>
        <v>968.4</v>
      </c>
      <c r="S29" s="262" t="s">
        <v>51</v>
      </c>
      <c r="T29" s="146">
        <f t="shared" si="5"/>
        <v>459.31</v>
      </c>
    </row>
    <row r="30" spans="1:20" s="24" customFormat="1" ht="21" customHeight="1" x14ac:dyDescent="0.25">
      <c r="D30" s="260" t="s">
        <v>127</v>
      </c>
      <c r="E30" s="261">
        <f>E28-E29</f>
        <v>216338.59999999998</v>
      </c>
      <c r="F30" s="23"/>
      <c r="G30" s="260" t="s">
        <v>127</v>
      </c>
      <c r="H30" s="261">
        <f t="shared" ref="H30:J30" si="6">H28-H29</f>
        <v>11241612</v>
      </c>
      <c r="I30" s="260" t="s">
        <v>127</v>
      </c>
      <c r="J30" s="261">
        <f t="shared" si="6"/>
        <v>11025273.4</v>
      </c>
      <c r="K30" s="146"/>
      <c r="N30" s="262" t="s">
        <v>127</v>
      </c>
      <c r="O30" s="146">
        <f>O28-O29</f>
        <v>216.33859999999999</v>
      </c>
      <c r="P30" s="79"/>
      <c r="Q30" s="262" t="s">
        <v>127</v>
      </c>
      <c r="R30" s="146">
        <f t="shared" ref="R30:T30" si="7">R28-R29</f>
        <v>11241.611999999999</v>
      </c>
      <c r="S30" s="262" t="s">
        <v>127</v>
      </c>
      <c r="T30" s="146">
        <f t="shared" si="7"/>
        <v>11025.2734</v>
      </c>
    </row>
    <row r="31" spans="1:20" s="24" customFormat="1" ht="21" customHeight="1" x14ac:dyDescent="0.25">
      <c r="B31" s="574" t="s">
        <v>74</v>
      </c>
      <c r="C31" s="574" t="s">
        <v>129</v>
      </c>
      <c r="D31" s="79"/>
      <c r="E31" s="79"/>
      <c r="F31" s="79"/>
      <c r="G31" s="79"/>
      <c r="H31" s="79"/>
      <c r="I31" s="79"/>
      <c r="J31" s="79"/>
      <c r="K31" s="79"/>
      <c r="N31" s="251"/>
      <c r="Q31" s="251"/>
      <c r="S31" s="251"/>
    </row>
    <row r="32" spans="1:20" x14ac:dyDescent="0.2">
      <c r="A32" t="s">
        <v>252</v>
      </c>
    </row>
    <row r="33" spans="1:14" x14ac:dyDescent="0.2">
      <c r="A33" t="s">
        <v>253</v>
      </c>
    </row>
    <row r="35" spans="1:14" ht="15.75" x14ac:dyDescent="0.25">
      <c r="C35" s="80" t="s">
        <v>130</v>
      </c>
      <c r="D35" s="79">
        <v>19.2</v>
      </c>
    </row>
    <row r="36" spans="1:14" ht="15.75" x14ac:dyDescent="0.25">
      <c r="M36" s="80" t="s">
        <v>131</v>
      </c>
      <c r="N36" s="79">
        <v>1.9199999999999998E-2</v>
      </c>
    </row>
  </sheetData>
  <sheetProtection algorithmName="SHA-512" hashValue="sbFL8IGS//qgpbjdEmUUX7Z0vkRn7iffei6RgBKCxcSra5L6TGFi5bplc8NuSLbzvENjGX+imztOl/Fu248pZQ==" saltValue="g+rXa1ngiO4ZsW/dufJ5vg==" spinCount="100000" sheet="1" scenarios="1"/>
  <mergeCells count="6">
    <mergeCell ref="S3:T3"/>
    <mergeCell ref="D3:E3"/>
    <mergeCell ref="G3:H3"/>
    <mergeCell ref="N3:O3"/>
    <mergeCell ref="Q3:R3"/>
    <mergeCell ref="I3:J3"/>
  </mergeCells>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03"/>
  <sheetViews>
    <sheetView workbookViewId="0">
      <selection activeCell="O1" sqref="O1"/>
    </sheetView>
  </sheetViews>
  <sheetFormatPr defaultRowHeight="12.75" x14ac:dyDescent="0.2"/>
  <cols>
    <col min="1" max="1" width="13" style="45" customWidth="1"/>
    <col min="2" max="2" width="13.42578125" style="45" customWidth="1"/>
    <col min="3" max="3" width="12.7109375" style="45" customWidth="1"/>
    <col min="4" max="4" width="13.5703125" customWidth="1"/>
    <col min="5" max="5" width="14" customWidth="1"/>
    <col min="6" max="6" width="9.5703125" customWidth="1"/>
    <col min="7" max="10" width="12.42578125" customWidth="1"/>
    <col min="11" max="11" width="7.85546875" customWidth="1"/>
    <col min="12" max="12" width="7.28515625" customWidth="1"/>
    <col min="13" max="13" width="13.7109375" customWidth="1"/>
    <col min="14" max="14" width="13.85546875" customWidth="1"/>
    <col min="15" max="15" width="13.85546875" bestFit="1" customWidth="1"/>
    <col min="16" max="16" width="11.140625" customWidth="1"/>
    <col min="17" max="17" width="10.28515625" customWidth="1"/>
    <col min="18" max="18" width="13" customWidth="1"/>
    <col min="19" max="19" width="12.42578125" customWidth="1"/>
    <col min="20" max="20" width="7.5703125" customWidth="1"/>
    <col min="21" max="21" width="13" customWidth="1"/>
    <col min="22" max="22" width="12.7109375" bestFit="1" customWidth="1"/>
    <col min="23" max="26" width="13.140625" customWidth="1"/>
    <col min="27" max="27" width="12.85546875" customWidth="1"/>
    <col min="28" max="28" width="10.7109375" customWidth="1"/>
    <col min="29" max="30" width="10.5703125" bestFit="1" customWidth="1"/>
  </cols>
  <sheetData>
    <row r="1" spans="1:24" ht="18.75" x14ac:dyDescent="0.3">
      <c r="A1" s="11" t="s">
        <v>106</v>
      </c>
      <c r="D1" s="187" t="s">
        <v>179</v>
      </c>
      <c r="E1" s="188"/>
      <c r="F1" s="188"/>
      <c r="G1" s="188"/>
      <c r="L1" s="189"/>
      <c r="N1" s="189"/>
      <c r="O1" s="189"/>
      <c r="R1" s="187"/>
      <c r="T1" s="188"/>
      <c r="U1" s="188"/>
      <c r="V1" s="39" t="s">
        <v>169</v>
      </c>
    </row>
    <row r="2" spans="1:24" ht="25.5" customHeight="1" x14ac:dyDescent="0.35">
      <c r="A2" s="190" t="s">
        <v>107</v>
      </c>
      <c r="B2" s="191"/>
      <c r="C2" s="192"/>
      <c r="D2" s="643" t="s">
        <v>83</v>
      </c>
      <c r="E2" s="644"/>
      <c r="F2" s="193" t="s">
        <v>94</v>
      </c>
      <c r="G2" s="643" t="s">
        <v>108</v>
      </c>
      <c r="H2" s="644"/>
      <c r="I2" s="641" t="s">
        <v>109</v>
      </c>
      <c r="J2" s="642"/>
      <c r="K2" s="80"/>
      <c r="L2" s="189"/>
      <c r="M2" s="645" t="s">
        <v>83</v>
      </c>
      <c r="N2" s="646"/>
      <c r="O2" s="194" t="s">
        <v>75</v>
      </c>
      <c r="P2" s="645" t="s">
        <v>108</v>
      </c>
      <c r="Q2" s="646"/>
      <c r="R2" s="641" t="s">
        <v>109</v>
      </c>
      <c r="S2" s="642"/>
      <c r="W2" t="s">
        <v>110</v>
      </c>
      <c r="X2" t="s">
        <v>111</v>
      </c>
    </row>
    <row r="3" spans="1:24" ht="15" x14ac:dyDescent="0.25">
      <c r="A3" s="45" t="s">
        <v>112</v>
      </c>
      <c r="B3" s="45" t="s">
        <v>113</v>
      </c>
      <c r="C3" s="45" t="s">
        <v>114</v>
      </c>
      <c r="D3" s="195" t="s">
        <v>115</v>
      </c>
      <c r="E3" s="196" t="s">
        <v>116</v>
      </c>
      <c r="F3" s="95"/>
      <c r="G3" s="197" t="s">
        <v>115</v>
      </c>
      <c r="H3" s="198" t="s">
        <v>117</v>
      </c>
      <c r="I3" s="199" t="s">
        <v>115</v>
      </c>
      <c r="J3" s="200" t="s">
        <v>116</v>
      </c>
      <c r="K3" s="38"/>
      <c r="M3" s="201" t="s">
        <v>115</v>
      </c>
      <c r="N3" s="202" t="s">
        <v>168</v>
      </c>
      <c r="O3" s="203"/>
      <c r="P3" s="204" t="s">
        <v>115</v>
      </c>
      <c r="Q3" s="205" t="s">
        <v>167</v>
      </c>
      <c r="R3" s="199" t="s">
        <v>115</v>
      </c>
      <c r="S3" s="200" t="s">
        <v>168</v>
      </c>
      <c r="V3" s="328" t="s">
        <v>115</v>
      </c>
      <c r="W3" s="358" t="s">
        <v>116</v>
      </c>
      <c r="X3" s="358" t="s">
        <v>116</v>
      </c>
    </row>
    <row r="4" spans="1:24" ht="15.75" x14ac:dyDescent="0.25">
      <c r="A4" s="79" t="s">
        <v>118</v>
      </c>
      <c r="B4" s="206">
        <v>42221</v>
      </c>
      <c r="C4" s="207">
        <v>0.53125</v>
      </c>
      <c r="D4" s="208" t="s">
        <v>0</v>
      </c>
      <c r="E4" s="209">
        <v>618770.00000000012</v>
      </c>
      <c r="F4" s="210" t="s">
        <v>67</v>
      </c>
      <c r="G4" s="208" t="s">
        <v>0</v>
      </c>
      <c r="H4" s="211">
        <v>3335850</v>
      </c>
      <c r="I4" s="208" t="s">
        <v>0</v>
      </c>
      <c r="J4" s="212">
        <f>H4-E4</f>
        <v>2717080</v>
      </c>
      <c r="K4" s="213"/>
      <c r="M4" s="208" t="s">
        <v>0</v>
      </c>
      <c r="N4" s="215">
        <f t="shared" ref="N4:N27" si="0">E4/1000</f>
        <v>618.7700000000001</v>
      </c>
      <c r="O4" s="210" t="s">
        <v>69</v>
      </c>
      <c r="P4" s="208" t="s">
        <v>0</v>
      </c>
      <c r="Q4" s="211">
        <f t="shared" ref="Q4:Q27" si="1">H4/1000</f>
        <v>3335.85</v>
      </c>
      <c r="R4" s="208" t="s">
        <v>0</v>
      </c>
      <c r="S4" s="212">
        <f>Q4-N4</f>
        <v>2717.08</v>
      </c>
      <c r="V4" s="214" t="s">
        <v>0</v>
      </c>
      <c r="W4" s="13">
        <f t="shared" ref="W4:W27" si="2">H4*0.33</f>
        <v>1100830.5</v>
      </c>
      <c r="X4" s="13">
        <f t="shared" ref="X4:X27" si="3">H4*0.5</f>
        <v>1667925</v>
      </c>
    </row>
    <row r="5" spans="1:24" x14ac:dyDescent="0.2">
      <c r="A5"/>
      <c r="B5" s="206">
        <v>42221</v>
      </c>
      <c r="C5" s="207">
        <v>0.53125</v>
      </c>
      <c r="D5" s="208" t="s">
        <v>1</v>
      </c>
      <c r="E5" s="209">
        <v>15.206</v>
      </c>
      <c r="F5" s="210" t="s">
        <v>67</v>
      </c>
      <c r="G5" s="208" t="s">
        <v>1</v>
      </c>
      <c r="H5" s="211">
        <v>1133.1299999999999</v>
      </c>
      <c r="I5" s="208" t="s">
        <v>1</v>
      </c>
      <c r="J5" s="216">
        <f t="shared" ref="J5:J27" si="4">H5-E5</f>
        <v>1117.924</v>
      </c>
      <c r="K5" s="213"/>
      <c r="M5" s="208" t="s">
        <v>1</v>
      </c>
      <c r="N5" s="215">
        <f t="shared" si="0"/>
        <v>1.5205999999999999E-2</v>
      </c>
      <c r="O5" s="210" t="s">
        <v>69</v>
      </c>
      <c r="P5" s="208" t="s">
        <v>1</v>
      </c>
      <c r="Q5" s="211">
        <f t="shared" si="1"/>
        <v>1.13313</v>
      </c>
      <c r="R5" s="208" t="s">
        <v>1</v>
      </c>
      <c r="S5" s="216">
        <f t="shared" ref="S5:S27" si="5">Q5-N5</f>
        <v>1.1179239999999999</v>
      </c>
      <c r="V5" s="214" t="s">
        <v>1</v>
      </c>
      <c r="W5" s="13">
        <f t="shared" si="2"/>
        <v>373.93289999999996</v>
      </c>
      <c r="X5" s="13">
        <f t="shared" si="3"/>
        <v>566.56499999999994</v>
      </c>
    </row>
    <row r="6" spans="1:24" x14ac:dyDescent="0.2">
      <c r="A6"/>
      <c r="B6" s="206">
        <v>42221</v>
      </c>
      <c r="C6" s="207">
        <v>0.53125</v>
      </c>
      <c r="D6" s="217" t="s">
        <v>2</v>
      </c>
      <c r="E6" s="209">
        <v>301.45606000000004</v>
      </c>
      <c r="F6" s="210" t="s">
        <v>67</v>
      </c>
      <c r="G6" s="208" t="s">
        <v>2</v>
      </c>
      <c r="H6" s="211">
        <v>29051.9</v>
      </c>
      <c r="I6" s="208" t="s">
        <v>2</v>
      </c>
      <c r="J6" s="216">
        <f t="shared" si="4"/>
        <v>28750.443940000001</v>
      </c>
      <c r="K6" s="213"/>
      <c r="M6" s="217" t="s">
        <v>2</v>
      </c>
      <c r="N6" s="215">
        <f t="shared" si="0"/>
        <v>0.30145606000000003</v>
      </c>
      <c r="O6" s="210" t="s">
        <v>69</v>
      </c>
      <c r="P6" s="208" t="s">
        <v>2</v>
      </c>
      <c r="Q6" s="211">
        <f t="shared" si="1"/>
        <v>29.0519</v>
      </c>
      <c r="R6" s="208" t="s">
        <v>2</v>
      </c>
      <c r="S6" s="216">
        <f t="shared" si="5"/>
        <v>28.75044394</v>
      </c>
      <c r="V6" s="214" t="s">
        <v>2</v>
      </c>
      <c r="W6" s="13">
        <f t="shared" si="2"/>
        <v>9587.1270000000004</v>
      </c>
      <c r="X6" s="13">
        <f t="shared" si="3"/>
        <v>14525.95</v>
      </c>
    </row>
    <row r="7" spans="1:24" x14ac:dyDescent="0.2">
      <c r="A7"/>
      <c r="B7" s="206">
        <v>42221</v>
      </c>
      <c r="C7" s="207">
        <v>0.53125</v>
      </c>
      <c r="D7" s="208" t="s">
        <v>3</v>
      </c>
      <c r="E7" s="209">
        <v>69.439999999999984</v>
      </c>
      <c r="F7" s="210" t="s">
        <v>67</v>
      </c>
      <c r="G7" s="208" t="s">
        <v>3</v>
      </c>
      <c r="H7" s="211">
        <v>34346.9</v>
      </c>
      <c r="I7" s="208" t="s">
        <v>3</v>
      </c>
      <c r="J7" s="216">
        <f t="shared" si="4"/>
        <v>34277.46</v>
      </c>
      <c r="K7" s="213"/>
      <c r="M7" s="208" t="s">
        <v>3</v>
      </c>
      <c r="N7" s="215">
        <f t="shared" si="0"/>
        <v>6.9439999999999988E-2</v>
      </c>
      <c r="O7" s="210" t="s">
        <v>69</v>
      </c>
      <c r="P7" s="208" t="s">
        <v>3</v>
      </c>
      <c r="Q7" s="211">
        <f t="shared" si="1"/>
        <v>34.346899999999998</v>
      </c>
      <c r="R7" s="208" t="s">
        <v>3</v>
      </c>
      <c r="S7" s="216">
        <f t="shared" si="5"/>
        <v>34.277459999999998</v>
      </c>
      <c r="V7" s="214" t="s">
        <v>3</v>
      </c>
      <c r="W7" s="13">
        <f t="shared" si="2"/>
        <v>11334.477000000001</v>
      </c>
      <c r="X7" s="13">
        <f t="shared" si="3"/>
        <v>17173.45</v>
      </c>
    </row>
    <row r="8" spans="1:24" x14ac:dyDescent="0.2">
      <c r="A8"/>
      <c r="B8" s="206">
        <v>42221</v>
      </c>
      <c r="C8" s="207">
        <v>0.53125</v>
      </c>
      <c r="D8" s="208" t="s">
        <v>4</v>
      </c>
      <c r="E8" s="209">
        <v>230.62800000000001</v>
      </c>
      <c r="F8" s="210" t="s">
        <v>67</v>
      </c>
      <c r="G8" s="208" t="s">
        <v>4</v>
      </c>
      <c r="H8" s="211">
        <v>476.55</v>
      </c>
      <c r="I8" s="208" t="s">
        <v>4</v>
      </c>
      <c r="J8" s="216">
        <f t="shared" si="4"/>
        <v>245.922</v>
      </c>
      <c r="K8" s="213"/>
      <c r="M8" s="208" t="s">
        <v>4</v>
      </c>
      <c r="N8" s="215">
        <f t="shared" si="0"/>
        <v>0.23062800000000003</v>
      </c>
      <c r="O8" s="210" t="s">
        <v>69</v>
      </c>
      <c r="P8" s="208" t="s">
        <v>4</v>
      </c>
      <c r="Q8" s="211">
        <f t="shared" si="1"/>
        <v>0.47655000000000003</v>
      </c>
      <c r="R8" s="208" t="s">
        <v>4</v>
      </c>
      <c r="S8" s="216">
        <f t="shared" si="5"/>
        <v>0.245922</v>
      </c>
      <c r="V8" s="214" t="s">
        <v>4</v>
      </c>
      <c r="W8" s="13">
        <f t="shared" si="2"/>
        <v>157.26150000000001</v>
      </c>
      <c r="X8" s="13">
        <f t="shared" si="3"/>
        <v>238.27500000000001</v>
      </c>
    </row>
    <row r="9" spans="1:24" x14ac:dyDescent="0.2">
      <c r="A9"/>
      <c r="B9" s="206">
        <v>42221</v>
      </c>
      <c r="C9" s="207">
        <v>0.53125</v>
      </c>
      <c r="D9" s="208" t="s">
        <v>5</v>
      </c>
      <c r="E9" s="209">
        <v>673.92490000000009</v>
      </c>
      <c r="F9" s="210" t="s">
        <v>67</v>
      </c>
      <c r="G9" s="208" t="s">
        <v>5</v>
      </c>
      <c r="H9" s="211">
        <v>582.45000000000005</v>
      </c>
      <c r="I9" s="208" t="s">
        <v>5</v>
      </c>
      <c r="J9" s="216">
        <f t="shared" si="4"/>
        <v>-91.474900000000048</v>
      </c>
      <c r="K9" s="213"/>
      <c r="M9" s="208" t="s">
        <v>5</v>
      </c>
      <c r="N9" s="215">
        <f t="shared" si="0"/>
        <v>0.67392490000000005</v>
      </c>
      <c r="O9" s="210" t="s">
        <v>69</v>
      </c>
      <c r="P9" s="208" t="s">
        <v>5</v>
      </c>
      <c r="Q9" s="211">
        <f t="shared" si="1"/>
        <v>0.58245000000000002</v>
      </c>
      <c r="R9" s="208" t="s">
        <v>5</v>
      </c>
      <c r="S9" s="216">
        <f t="shared" si="5"/>
        <v>-9.1474900000000026E-2</v>
      </c>
      <c r="V9" s="214" t="s">
        <v>5</v>
      </c>
      <c r="W9" s="13">
        <f t="shared" si="2"/>
        <v>192.20850000000002</v>
      </c>
      <c r="X9" s="13">
        <f t="shared" si="3"/>
        <v>291.22500000000002</v>
      </c>
    </row>
    <row r="10" spans="1:24" x14ac:dyDescent="0.2">
      <c r="A10"/>
      <c r="B10" s="206">
        <v>42221</v>
      </c>
      <c r="C10" s="207">
        <v>0.53125</v>
      </c>
      <c r="D10" s="208" t="s">
        <v>6</v>
      </c>
      <c r="E10" s="209">
        <v>2438319.9999999995</v>
      </c>
      <c r="F10" s="210" t="s">
        <v>67</v>
      </c>
      <c r="G10" s="208" t="s">
        <v>6</v>
      </c>
      <c r="H10" s="211">
        <v>1602620</v>
      </c>
      <c r="I10" s="208" t="s">
        <v>6</v>
      </c>
      <c r="J10" s="212">
        <f t="shared" si="4"/>
        <v>-835699.99999999953</v>
      </c>
      <c r="K10" s="213"/>
      <c r="M10" s="208" t="s">
        <v>6</v>
      </c>
      <c r="N10" s="215">
        <f t="shared" si="0"/>
        <v>2438.3199999999997</v>
      </c>
      <c r="O10" s="210" t="s">
        <v>69</v>
      </c>
      <c r="P10" s="208" t="s">
        <v>6</v>
      </c>
      <c r="Q10" s="211">
        <f t="shared" si="1"/>
        <v>1602.62</v>
      </c>
      <c r="R10" s="208" t="s">
        <v>6</v>
      </c>
      <c r="S10" s="212">
        <f t="shared" si="5"/>
        <v>-835.69999999999982</v>
      </c>
      <c r="V10" s="214" t="s">
        <v>6</v>
      </c>
      <c r="W10" s="13">
        <f t="shared" si="2"/>
        <v>528864.6</v>
      </c>
      <c r="X10" s="13">
        <f t="shared" si="3"/>
        <v>801310</v>
      </c>
    </row>
    <row r="11" spans="1:24" x14ac:dyDescent="0.2">
      <c r="A11"/>
      <c r="B11" s="206">
        <v>42221</v>
      </c>
      <c r="C11" s="207">
        <v>0.53125</v>
      </c>
      <c r="D11" s="208" t="s">
        <v>7</v>
      </c>
      <c r="E11" s="209">
        <v>6.1119999999999983</v>
      </c>
      <c r="F11" s="210" t="s">
        <v>67</v>
      </c>
      <c r="G11" s="208" t="s">
        <v>7</v>
      </c>
      <c r="H11" s="211">
        <v>2492.1799999999998</v>
      </c>
      <c r="I11" s="208" t="s">
        <v>7</v>
      </c>
      <c r="J11" s="216">
        <f t="shared" si="4"/>
        <v>2486.0679999999998</v>
      </c>
      <c r="K11" s="213"/>
      <c r="M11" s="208" t="s">
        <v>7</v>
      </c>
      <c r="N11" s="215">
        <f t="shared" si="0"/>
        <v>6.1119999999999985E-3</v>
      </c>
      <c r="O11" s="210" t="s">
        <v>69</v>
      </c>
      <c r="P11" s="208" t="s">
        <v>7</v>
      </c>
      <c r="Q11" s="211">
        <f t="shared" si="1"/>
        <v>2.4921799999999998</v>
      </c>
      <c r="R11" s="208" t="s">
        <v>7</v>
      </c>
      <c r="S11" s="216">
        <f t="shared" si="5"/>
        <v>2.4860679999999999</v>
      </c>
      <c r="V11" s="214" t="s">
        <v>7</v>
      </c>
      <c r="W11" s="13">
        <f t="shared" si="2"/>
        <v>822.4194</v>
      </c>
      <c r="X11" s="13">
        <f t="shared" si="3"/>
        <v>1246.0899999999999</v>
      </c>
    </row>
    <row r="12" spans="1:24" x14ac:dyDescent="0.2">
      <c r="A12"/>
      <c r="B12" s="206">
        <v>42221</v>
      </c>
      <c r="C12" s="207">
        <v>0.53125</v>
      </c>
      <c r="D12" s="208" t="s">
        <v>8</v>
      </c>
      <c r="E12" s="209">
        <v>1263.3600000000001</v>
      </c>
      <c r="F12" s="210" t="s">
        <v>67</v>
      </c>
      <c r="G12" s="208" t="s">
        <v>8</v>
      </c>
      <c r="H12" s="211">
        <v>1355.52</v>
      </c>
      <c r="I12" s="208" t="s">
        <v>8</v>
      </c>
      <c r="J12" s="216">
        <f t="shared" si="4"/>
        <v>92.159999999999854</v>
      </c>
      <c r="K12" s="213"/>
      <c r="M12" s="208" t="s">
        <v>8</v>
      </c>
      <c r="N12" s="215">
        <f t="shared" si="0"/>
        <v>1.26336</v>
      </c>
      <c r="O12" s="210" t="s">
        <v>69</v>
      </c>
      <c r="P12" s="208" t="s">
        <v>8</v>
      </c>
      <c r="Q12" s="211">
        <f t="shared" si="1"/>
        <v>1.3555200000000001</v>
      </c>
      <c r="R12" s="208" t="s">
        <v>8</v>
      </c>
      <c r="S12" s="216">
        <f t="shared" si="5"/>
        <v>9.216000000000002E-2</v>
      </c>
      <c r="V12" s="214" t="s">
        <v>8</v>
      </c>
      <c r="W12" s="13">
        <f t="shared" si="2"/>
        <v>447.32159999999999</v>
      </c>
      <c r="X12" s="13">
        <f t="shared" si="3"/>
        <v>677.76</v>
      </c>
    </row>
    <row r="13" spans="1:24" x14ac:dyDescent="0.2">
      <c r="A13"/>
      <c r="B13" s="206">
        <v>42221</v>
      </c>
      <c r="C13" s="207">
        <v>0.53125</v>
      </c>
      <c r="D13" s="208" t="s">
        <v>9</v>
      </c>
      <c r="E13" s="209">
        <v>70916.320000000007</v>
      </c>
      <c r="F13" s="210" t="s">
        <v>67</v>
      </c>
      <c r="G13" s="208" t="s">
        <v>9</v>
      </c>
      <c r="H13" s="211">
        <v>129551.00000000001</v>
      </c>
      <c r="I13" s="208" t="s">
        <v>9</v>
      </c>
      <c r="J13" s="216">
        <f t="shared" si="4"/>
        <v>58634.680000000008</v>
      </c>
      <c r="K13" s="213"/>
      <c r="M13" s="208" t="s">
        <v>9</v>
      </c>
      <c r="N13" s="215">
        <f t="shared" si="0"/>
        <v>70.916320000000013</v>
      </c>
      <c r="O13" s="210" t="s">
        <v>69</v>
      </c>
      <c r="P13" s="208" t="s">
        <v>9</v>
      </c>
      <c r="Q13" s="211">
        <f t="shared" si="1"/>
        <v>129.55100000000002</v>
      </c>
      <c r="R13" s="208" t="s">
        <v>9</v>
      </c>
      <c r="S13" s="216">
        <f t="shared" si="5"/>
        <v>58.634680000000003</v>
      </c>
      <c r="V13" s="214" t="s">
        <v>9</v>
      </c>
      <c r="W13" s="13">
        <f t="shared" si="2"/>
        <v>42751.830000000009</v>
      </c>
      <c r="X13" s="13">
        <f t="shared" si="3"/>
        <v>64775.500000000007</v>
      </c>
    </row>
    <row r="14" spans="1:24" x14ac:dyDescent="0.2">
      <c r="A14"/>
      <c r="B14" s="206">
        <v>42221</v>
      </c>
      <c r="C14" s="207">
        <v>0.53125</v>
      </c>
      <c r="D14" s="208" t="s">
        <v>10</v>
      </c>
      <c r="E14" s="209">
        <v>268128.00000000006</v>
      </c>
      <c r="F14" s="210" t="s">
        <v>67</v>
      </c>
      <c r="G14" s="208" t="s">
        <v>10</v>
      </c>
      <c r="H14" s="211">
        <v>35052900</v>
      </c>
      <c r="I14" s="208" t="s">
        <v>10</v>
      </c>
      <c r="J14" s="212">
        <f t="shared" si="4"/>
        <v>34784772</v>
      </c>
      <c r="K14" s="213"/>
      <c r="M14" s="208" t="s">
        <v>10</v>
      </c>
      <c r="N14" s="215">
        <f t="shared" si="0"/>
        <v>268.12800000000004</v>
      </c>
      <c r="O14" s="210" t="s">
        <v>69</v>
      </c>
      <c r="P14" s="208" t="s">
        <v>10</v>
      </c>
      <c r="Q14" s="211">
        <f t="shared" si="1"/>
        <v>35052.9</v>
      </c>
      <c r="R14" s="208" t="s">
        <v>10</v>
      </c>
      <c r="S14" s="212">
        <f t="shared" si="5"/>
        <v>34784.772000000004</v>
      </c>
      <c r="V14" s="214" t="s">
        <v>10</v>
      </c>
      <c r="W14" s="13">
        <f t="shared" si="2"/>
        <v>11567457</v>
      </c>
      <c r="X14" s="13">
        <f t="shared" si="3"/>
        <v>17526450</v>
      </c>
    </row>
    <row r="15" spans="1:24" x14ac:dyDescent="0.2">
      <c r="A15"/>
      <c r="B15" s="206">
        <v>42221</v>
      </c>
      <c r="C15" s="207">
        <v>0.53125</v>
      </c>
      <c r="D15" s="208" t="s">
        <v>11</v>
      </c>
      <c r="E15" s="209">
        <v>1028.6257800000001</v>
      </c>
      <c r="F15" s="210" t="s">
        <v>67</v>
      </c>
      <c r="G15" s="208" t="s">
        <v>11</v>
      </c>
      <c r="H15" s="211">
        <v>631870</v>
      </c>
      <c r="I15" s="208" t="s">
        <v>11</v>
      </c>
      <c r="J15" s="212">
        <f t="shared" si="4"/>
        <v>630841.37422</v>
      </c>
      <c r="K15" s="213"/>
      <c r="M15" s="208" t="s">
        <v>11</v>
      </c>
      <c r="N15" s="215">
        <f t="shared" si="0"/>
        <v>1.02862578</v>
      </c>
      <c r="O15" s="210" t="s">
        <v>69</v>
      </c>
      <c r="P15" s="208" t="s">
        <v>11</v>
      </c>
      <c r="Q15" s="211">
        <f t="shared" si="1"/>
        <v>631.87</v>
      </c>
      <c r="R15" s="208" t="s">
        <v>11</v>
      </c>
      <c r="S15" s="212">
        <f t="shared" si="5"/>
        <v>630.84137422000003</v>
      </c>
      <c r="V15" s="214" t="s">
        <v>11</v>
      </c>
      <c r="W15" s="13">
        <f t="shared" si="2"/>
        <v>208517.1</v>
      </c>
      <c r="X15" s="13">
        <f t="shared" si="3"/>
        <v>315935</v>
      </c>
    </row>
    <row r="16" spans="1:24" x14ac:dyDescent="0.2">
      <c r="A16"/>
      <c r="B16" s="206">
        <v>42221</v>
      </c>
      <c r="C16" s="207">
        <v>0.53125</v>
      </c>
      <c r="D16" s="208" t="s">
        <v>12</v>
      </c>
      <c r="E16" s="209">
        <v>196930</v>
      </c>
      <c r="F16" s="210" t="s">
        <v>67</v>
      </c>
      <c r="G16" s="208" t="s">
        <v>12</v>
      </c>
      <c r="H16" s="211">
        <v>984869.99999999988</v>
      </c>
      <c r="I16" s="208" t="s">
        <v>12</v>
      </c>
      <c r="J16" s="212">
        <f t="shared" si="4"/>
        <v>787939.99999999988</v>
      </c>
      <c r="K16" s="213"/>
      <c r="M16" s="208" t="s">
        <v>12</v>
      </c>
      <c r="N16" s="215">
        <f t="shared" si="0"/>
        <v>196.93</v>
      </c>
      <c r="O16" s="210" t="s">
        <v>69</v>
      </c>
      <c r="P16" s="208" t="s">
        <v>12</v>
      </c>
      <c r="Q16" s="211">
        <f t="shared" si="1"/>
        <v>984.86999999999989</v>
      </c>
      <c r="R16" s="208" t="s">
        <v>12</v>
      </c>
      <c r="S16" s="212">
        <f t="shared" si="5"/>
        <v>787.93999999999983</v>
      </c>
      <c r="V16" s="214" t="s">
        <v>12</v>
      </c>
      <c r="W16" s="13">
        <f t="shared" si="2"/>
        <v>325007.09999999998</v>
      </c>
      <c r="X16" s="13">
        <f t="shared" si="3"/>
        <v>492434.99999999994</v>
      </c>
    </row>
    <row r="17" spans="1:25" x14ac:dyDescent="0.2">
      <c r="A17"/>
      <c r="B17" s="206">
        <v>42221</v>
      </c>
      <c r="C17" s="207">
        <v>0.53125</v>
      </c>
      <c r="D17" s="208" t="s">
        <v>13</v>
      </c>
      <c r="E17" s="209">
        <v>205906</v>
      </c>
      <c r="F17" s="210" t="s">
        <v>67</v>
      </c>
      <c r="G17" s="208" t="s">
        <v>13</v>
      </c>
      <c r="H17" s="211">
        <v>275340</v>
      </c>
      <c r="I17" s="208" t="s">
        <v>13</v>
      </c>
      <c r="J17" s="216">
        <f t="shared" si="4"/>
        <v>69434</v>
      </c>
      <c r="K17" s="213"/>
      <c r="M17" s="208" t="s">
        <v>13</v>
      </c>
      <c r="N17" s="215">
        <f t="shared" si="0"/>
        <v>205.90600000000001</v>
      </c>
      <c r="O17" s="210" t="s">
        <v>69</v>
      </c>
      <c r="P17" s="208" t="s">
        <v>13</v>
      </c>
      <c r="Q17" s="211">
        <f t="shared" si="1"/>
        <v>275.33999999999997</v>
      </c>
      <c r="R17" s="208" t="s">
        <v>13</v>
      </c>
      <c r="S17" s="216">
        <f t="shared" si="5"/>
        <v>69.433999999999969</v>
      </c>
      <c r="V17" s="214" t="s">
        <v>13</v>
      </c>
      <c r="W17" s="13">
        <f t="shared" si="2"/>
        <v>90862.2</v>
      </c>
      <c r="X17" s="13">
        <f t="shared" si="3"/>
        <v>137670</v>
      </c>
    </row>
    <row r="18" spans="1:25" x14ac:dyDescent="0.2">
      <c r="A18"/>
      <c r="B18" s="206">
        <v>42221</v>
      </c>
      <c r="C18" s="207">
        <v>0.53125</v>
      </c>
      <c r="D18" s="208" t="s">
        <v>14</v>
      </c>
      <c r="E18" s="215">
        <v>0</v>
      </c>
      <c r="F18" s="210" t="s">
        <v>67</v>
      </c>
      <c r="G18" s="208" t="s">
        <v>14</v>
      </c>
      <c r="H18" s="211">
        <v>67.775999999999982</v>
      </c>
      <c r="I18" s="208" t="s">
        <v>14</v>
      </c>
      <c r="J18" s="216">
        <f t="shared" si="4"/>
        <v>67.775999999999982</v>
      </c>
      <c r="K18" s="213"/>
      <c r="M18" s="208" t="s">
        <v>14</v>
      </c>
      <c r="N18" s="215">
        <f t="shared" si="0"/>
        <v>0</v>
      </c>
      <c r="O18" s="210" t="s">
        <v>69</v>
      </c>
      <c r="P18" s="208" t="s">
        <v>14</v>
      </c>
      <c r="Q18" s="211">
        <f t="shared" si="1"/>
        <v>6.7775999999999975E-2</v>
      </c>
      <c r="R18" s="208" t="s">
        <v>14</v>
      </c>
      <c r="S18" s="216">
        <f t="shared" si="5"/>
        <v>6.7775999999999975E-2</v>
      </c>
      <c r="V18" s="214" t="s">
        <v>14</v>
      </c>
      <c r="W18" s="13">
        <f t="shared" si="2"/>
        <v>22.366079999999997</v>
      </c>
      <c r="X18" s="13">
        <f t="shared" si="3"/>
        <v>33.887999999999991</v>
      </c>
    </row>
    <row r="19" spans="1:25" x14ac:dyDescent="0.2">
      <c r="A19"/>
      <c r="B19" s="206">
        <v>42221</v>
      </c>
      <c r="C19" s="207">
        <v>0.53125</v>
      </c>
      <c r="D19" s="208" t="s">
        <v>39</v>
      </c>
      <c r="E19" s="209">
        <v>24.58</v>
      </c>
      <c r="F19" s="210" t="s">
        <v>67</v>
      </c>
      <c r="G19" s="208" t="s">
        <v>39</v>
      </c>
      <c r="H19" s="211">
        <v>7095.2999999999993</v>
      </c>
      <c r="I19" s="208" t="s">
        <v>39</v>
      </c>
      <c r="J19" s="216">
        <f t="shared" si="4"/>
        <v>7070.7199999999993</v>
      </c>
      <c r="K19" s="213"/>
      <c r="M19" s="208" t="s">
        <v>39</v>
      </c>
      <c r="N19" s="215">
        <f t="shared" si="0"/>
        <v>2.4579999999999998E-2</v>
      </c>
      <c r="O19" s="210" t="s">
        <v>69</v>
      </c>
      <c r="P19" s="208" t="s">
        <v>39</v>
      </c>
      <c r="Q19" s="211">
        <f t="shared" si="1"/>
        <v>7.0952999999999991</v>
      </c>
      <c r="R19" s="208" t="s">
        <v>39</v>
      </c>
      <c r="S19" s="216">
        <f t="shared" si="5"/>
        <v>7.0707199999999988</v>
      </c>
      <c r="V19" s="214" t="s">
        <v>39</v>
      </c>
      <c r="W19" s="13">
        <f t="shared" si="2"/>
        <v>2341.4490000000001</v>
      </c>
      <c r="X19" s="13">
        <f t="shared" si="3"/>
        <v>3547.6499999999996</v>
      </c>
    </row>
    <row r="20" spans="1:25" x14ac:dyDescent="0.2">
      <c r="A20"/>
      <c r="B20" s="206">
        <v>42221</v>
      </c>
      <c r="C20" s="207">
        <v>0.53125</v>
      </c>
      <c r="D20" s="208" t="s">
        <v>16</v>
      </c>
      <c r="E20" s="209">
        <v>545.07000000000005</v>
      </c>
      <c r="F20" s="210" t="s">
        <v>67</v>
      </c>
      <c r="G20" s="208" t="s">
        <v>16</v>
      </c>
      <c r="H20" s="211">
        <v>974.28000000000009</v>
      </c>
      <c r="I20" s="208" t="s">
        <v>16</v>
      </c>
      <c r="J20" s="216">
        <f t="shared" si="4"/>
        <v>429.21000000000004</v>
      </c>
      <c r="K20" s="213"/>
      <c r="M20" s="208" t="s">
        <v>16</v>
      </c>
      <c r="N20" s="215">
        <f t="shared" si="0"/>
        <v>0.54507000000000005</v>
      </c>
      <c r="O20" s="210" t="s">
        <v>69</v>
      </c>
      <c r="P20" s="208" t="s">
        <v>16</v>
      </c>
      <c r="Q20" s="211">
        <f t="shared" si="1"/>
        <v>0.97428000000000003</v>
      </c>
      <c r="R20" s="208" t="s">
        <v>16</v>
      </c>
      <c r="S20" s="216">
        <f t="shared" si="5"/>
        <v>0.42920999999999998</v>
      </c>
      <c r="V20" s="214" t="s">
        <v>16</v>
      </c>
      <c r="W20" s="13">
        <f t="shared" si="2"/>
        <v>321.51240000000007</v>
      </c>
      <c r="X20" s="13">
        <f t="shared" si="3"/>
        <v>487.14000000000004</v>
      </c>
    </row>
    <row r="21" spans="1:25" x14ac:dyDescent="0.2">
      <c r="A21"/>
      <c r="B21" s="206">
        <v>42221</v>
      </c>
      <c r="C21" s="207">
        <v>0.53125</v>
      </c>
      <c r="D21" s="217" t="s">
        <v>17</v>
      </c>
      <c r="E21" s="209">
        <v>40621.80000000001</v>
      </c>
      <c r="F21" s="210" t="s">
        <v>67</v>
      </c>
      <c r="G21" s="217" t="s">
        <v>17</v>
      </c>
      <c r="H21" s="211">
        <v>748360</v>
      </c>
      <c r="I21" s="217" t="s">
        <v>17</v>
      </c>
      <c r="J21" s="212">
        <f t="shared" si="4"/>
        <v>707738.2</v>
      </c>
      <c r="K21" s="213"/>
      <c r="M21" s="217" t="s">
        <v>17</v>
      </c>
      <c r="N21" s="215">
        <f t="shared" si="0"/>
        <v>40.621800000000007</v>
      </c>
      <c r="O21" s="210" t="s">
        <v>69</v>
      </c>
      <c r="P21" s="217" t="s">
        <v>17</v>
      </c>
      <c r="Q21" s="211">
        <f t="shared" si="1"/>
        <v>748.36</v>
      </c>
      <c r="R21" s="217" t="s">
        <v>17</v>
      </c>
      <c r="S21" s="212">
        <f t="shared" si="5"/>
        <v>707.73820000000001</v>
      </c>
      <c r="V21" s="218" t="s">
        <v>17</v>
      </c>
      <c r="W21" s="13">
        <f t="shared" si="2"/>
        <v>246958.80000000002</v>
      </c>
      <c r="X21" s="13">
        <f t="shared" si="3"/>
        <v>374180</v>
      </c>
    </row>
    <row r="22" spans="1:25" x14ac:dyDescent="0.2">
      <c r="A22"/>
      <c r="B22" s="206">
        <v>42221</v>
      </c>
      <c r="C22" s="207">
        <v>0.53125</v>
      </c>
      <c r="D22" s="217" t="s">
        <v>18</v>
      </c>
      <c r="E22" s="209">
        <v>33.993819999999992</v>
      </c>
      <c r="F22" s="210" t="s">
        <v>67</v>
      </c>
      <c r="G22" s="217" t="s">
        <v>18</v>
      </c>
      <c r="H22" s="211">
        <v>882.5</v>
      </c>
      <c r="I22" s="217" t="s">
        <v>18</v>
      </c>
      <c r="J22" s="216">
        <f t="shared" si="4"/>
        <v>848.50617999999997</v>
      </c>
      <c r="K22" s="213"/>
      <c r="M22" s="217" t="s">
        <v>18</v>
      </c>
      <c r="N22" s="215">
        <f t="shared" si="0"/>
        <v>3.3993819999999994E-2</v>
      </c>
      <c r="O22" s="210" t="s">
        <v>69</v>
      </c>
      <c r="P22" s="217" t="s">
        <v>18</v>
      </c>
      <c r="Q22" s="211">
        <f t="shared" si="1"/>
        <v>0.88249999999999995</v>
      </c>
      <c r="R22" s="217" t="s">
        <v>18</v>
      </c>
      <c r="S22" s="216">
        <f t="shared" si="5"/>
        <v>0.84850618</v>
      </c>
      <c r="V22" s="218" t="s">
        <v>18</v>
      </c>
      <c r="W22" s="13">
        <f t="shared" si="2"/>
        <v>291.22500000000002</v>
      </c>
      <c r="X22" s="13">
        <f t="shared" si="3"/>
        <v>441.25</v>
      </c>
    </row>
    <row r="23" spans="1:25" x14ac:dyDescent="0.2">
      <c r="A23"/>
      <c r="B23" s="206">
        <v>42221</v>
      </c>
      <c r="C23" s="207">
        <v>0.53125</v>
      </c>
      <c r="D23" s="217" t="s">
        <v>19</v>
      </c>
      <c r="E23" s="209">
        <v>16.566800000000004</v>
      </c>
      <c r="F23" s="210" t="s">
        <v>67</v>
      </c>
      <c r="G23" s="217" t="s">
        <v>19</v>
      </c>
      <c r="H23" s="211">
        <v>3918.3</v>
      </c>
      <c r="I23" s="217" t="s">
        <v>19</v>
      </c>
      <c r="J23" s="216">
        <f t="shared" si="4"/>
        <v>3901.7332000000001</v>
      </c>
      <c r="K23" s="213"/>
      <c r="M23" s="217" t="s">
        <v>19</v>
      </c>
      <c r="N23" s="215">
        <f t="shared" si="0"/>
        <v>1.6566800000000003E-2</v>
      </c>
      <c r="O23" s="210" t="s">
        <v>69</v>
      </c>
      <c r="P23" s="217" t="s">
        <v>19</v>
      </c>
      <c r="Q23" s="211">
        <f t="shared" si="1"/>
        <v>3.9183000000000003</v>
      </c>
      <c r="R23" s="217" t="s">
        <v>19</v>
      </c>
      <c r="S23" s="216">
        <f t="shared" si="5"/>
        <v>3.9017332000000002</v>
      </c>
      <c r="V23" s="218" t="s">
        <v>19</v>
      </c>
      <c r="W23" s="13">
        <f t="shared" si="2"/>
        <v>1293.0390000000002</v>
      </c>
      <c r="X23" s="13">
        <f t="shared" si="3"/>
        <v>1959.15</v>
      </c>
    </row>
    <row r="24" spans="1:25" x14ac:dyDescent="0.2">
      <c r="A24"/>
      <c r="B24" s="206">
        <v>42221</v>
      </c>
      <c r="C24" s="207">
        <v>0.53125</v>
      </c>
      <c r="D24" s="217" t="s">
        <v>20</v>
      </c>
      <c r="E24" s="209">
        <v>17987.600000000002</v>
      </c>
      <c r="F24" s="210" t="s">
        <v>67</v>
      </c>
      <c r="G24" s="217" t="s">
        <v>20</v>
      </c>
      <c r="H24" s="211">
        <v>82601.999999999985</v>
      </c>
      <c r="I24" s="217" t="s">
        <v>20</v>
      </c>
      <c r="J24" s="216">
        <f t="shared" si="4"/>
        <v>64614.39999999998</v>
      </c>
      <c r="K24" s="213"/>
      <c r="M24" s="217" t="s">
        <v>20</v>
      </c>
      <c r="N24" s="215">
        <f t="shared" si="0"/>
        <v>17.9876</v>
      </c>
      <c r="O24" s="210" t="s">
        <v>69</v>
      </c>
      <c r="P24" s="217" t="s">
        <v>20</v>
      </c>
      <c r="Q24" s="211">
        <f t="shared" si="1"/>
        <v>82.60199999999999</v>
      </c>
      <c r="R24" s="217" t="s">
        <v>20</v>
      </c>
      <c r="S24" s="216">
        <f t="shared" si="5"/>
        <v>64.614399999999989</v>
      </c>
      <c r="V24" s="218" t="s">
        <v>20</v>
      </c>
      <c r="W24" s="13">
        <f t="shared" si="2"/>
        <v>27258.659999999996</v>
      </c>
      <c r="X24" s="13">
        <f t="shared" si="3"/>
        <v>41300.999999999993</v>
      </c>
    </row>
    <row r="25" spans="1:25" x14ac:dyDescent="0.2">
      <c r="A25"/>
      <c r="B25" s="206">
        <v>42221</v>
      </c>
      <c r="C25" s="207">
        <v>0.53125</v>
      </c>
      <c r="D25" s="217" t="s">
        <v>21</v>
      </c>
      <c r="E25" s="209">
        <v>16.259</v>
      </c>
      <c r="F25" s="210" t="s">
        <v>67</v>
      </c>
      <c r="G25" s="217" t="s">
        <v>21</v>
      </c>
      <c r="H25" s="211">
        <v>441.25</v>
      </c>
      <c r="I25" s="217" t="s">
        <v>21</v>
      </c>
      <c r="J25" s="216">
        <f t="shared" si="4"/>
        <v>424.99099999999999</v>
      </c>
      <c r="K25" s="213"/>
      <c r="M25" s="217" t="s">
        <v>21</v>
      </c>
      <c r="N25" s="215">
        <f t="shared" si="0"/>
        <v>1.6258999999999999E-2</v>
      </c>
      <c r="O25" s="210" t="s">
        <v>69</v>
      </c>
      <c r="P25" s="217" t="s">
        <v>21</v>
      </c>
      <c r="Q25" s="211">
        <f t="shared" si="1"/>
        <v>0.44124999999999998</v>
      </c>
      <c r="R25" s="217" t="s">
        <v>21</v>
      </c>
      <c r="S25" s="216">
        <f t="shared" si="5"/>
        <v>0.42499099999999995</v>
      </c>
      <c r="V25" s="218" t="s">
        <v>21</v>
      </c>
      <c r="W25" s="13">
        <f t="shared" si="2"/>
        <v>145.61250000000001</v>
      </c>
      <c r="X25" s="13">
        <f t="shared" si="3"/>
        <v>220.625</v>
      </c>
    </row>
    <row r="26" spans="1:25" x14ac:dyDescent="0.2">
      <c r="A26"/>
      <c r="B26" s="206">
        <v>42221</v>
      </c>
      <c r="C26" s="207">
        <v>0.53125</v>
      </c>
      <c r="D26" s="217" t="s">
        <v>22</v>
      </c>
      <c r="E26" s="209">
        <v>63.74</v>
      </c>
      <c r="F26" s="210" t="s">
        <v>67</v>
      </c>
      <c r="G26" s="217" t="s">
        <v>22</v>
      </c>
      <c r="H26" s="211">
        <v>19309.099999999999</v>
      </c>
      <c r="I26" s="217" t="s">
        <v>22</v>
      </c>
      <c r="J26" s="216">
        <f t="shared" si="4"/>
        <v>19245.359999999997</v>
      </c>
      <c r="K26" s="213"/>
      <c r="M26" s="217" t="s">
        <v>22</v>
      </c>
      <c r="N26" s="215">
        <f t="shared" si="0"/>
        <v>6.3740000000000005E-2</v>
      </c>
      <c r="O26" s="210" t="s">
        <v>69</v>
      </c>
      <c r="P26" s="217" t="s">
        <v>22</v>
      </c>
      <c r="Q26" s="211">
        <f t="shared" si="1"/>
        <v>19.309099999999997</v>
      </c>
      <c r="R26" s="217" t="s">
        <v>22</v>
      </c>
      <c r="S26" s="216">
        <f t="shared" si="5"/>
        <v>19.245359999999998</v>
      </c>
      <c r="V26" s="218" t="s">
        <v>22</v>
      </c>
      <c r="W26" s="13">
        <f t="shared" si="2"/>
        <v>6372.0029999999997</v>
      </c>
      <c r="X26" s="13">
        <f t="shared" si="3"/>
        <v>9654.5499999999993</v>
      </c>
    </row>
    <row r="27" spans="1:25" x14ac:dyDescent="0.2">
      <c r="A27"/>
      <c r="B27" s="219">
        <v>42221</v>
      </c>
      <c r="C27" s="220">
        <v>0.53125</v>
      </c>
      <c r="D27" s="221" t="s">
        <v>23</v>
      </c>
      <c r="E27" s="222">
        <v>157118.00000000003</v>
      </c>
      <c r="F27" s="223" t="s">
        <v>67</v>
      </c>
      <c r="G27" s="221" t="s">
        <v>23</v>
      </c>
      <c r="H27" s="224">
        <v>155320</v>
      </c>
      <c r="I27" s="221" t="s">
        <v>23</v>
      </c>
      <c r="J27" s="225">
        <f t="shared" si="4"/>
        <v>-1798.0000000000291</v>
      </c>
      <c r="K27" s="213"/>
      <c r="M27" s="221" t="s">
        <v>23</v>
      </c>
      <c r="N27" s="227">
        <f t="shared" si="0"/>
        <v>157.11800000000002</v>
      </c>
      <c r="O27" s="228" t="s">
        <v>69</v>
      </c>
      <c r="P27" s="221" t="s">
        <v>23</v>
      </c>
      <c r="Q27" s="224">
        <f t="shared" si="1"/>
        <v>155.32</v>
      </c>
      <c r="R27" s="221" t="s">
        <v>23</v>
      </c>
      <c r="S27" s="225">
        <f t="shared" si="5"/>
        <v>-1.7980000000000302</v>
      </c>
      <c r="V27" s="226" t="s">
        <v>23</v>
      </c>
      <c r="W27" s="29">
        <f t="shared" si="2"/>
        <v>51255.600000000006</v>
      </c>
      <c r="X27" s="29">
        <f t="shared" si="3"/>
        <v>77660</v>
      </c>
    </row>
    <row r="28" spans="1:25" ht="15.75" x14ac:dyDescent="0.25">
      <c r="A28"/>
      <c r="B28" s="206"/>
      <c r="C28" s="207"/>
      <c r="D28" s="214"/>
      <c r="E28" s="79" t="s">
        <v>28</v>
      </c>
      <c r="F28" s="229"/>
      <c r="G28" s="79"/>
      <c r="H28" s="230" t="s">
        <v>29</v>
      </c>
      <c r="I28" s="79"/>
      <c r="J28" s="230" t="s">
        <v>64</v>
      </c>
      <c r="K28" s="230"/>
      <c r="M28" s="214"/>
      <c r="N28" s="79" t="s">
        <v>28</v>
      </c>
      <c r="O28" s="229"/>
      <c r="P28" s="79"/>
      <c r="Q28" s="230" t="s">
        <v>29</v>
      </c>
      <c r="S28" s="167" t="s">
        <v>64</v>
      </c>
    </row>
    <row r="29" spans="1:25" ht="15.75" x14ac:dyDescent="0.25">
      <c r="A29"/>
      <c r="B29" s="206"/>
      <c r="C29" s="231"/>
      <c r="D29" s="232" t="s">
        <v>71</v>
      </c>
      <c r="E29" s="233">
        <f>SUM(E4:E27)</f>
        <v>4018986.6823599995</v>
      </c>
      <c r="F29" s="44"/>
      <c r="G29" s="364" t="s">
        <v>71</v>
      </c>
      <c r="H29" s="365">
        <f>SUM(H4:H27)</f>
        <v>43101410.135999992</v>
      </c>
      <c r="I29" s="364" t="s">
        <v>71</v>
      </c>
      <c r="J29" s="269">
        <f>SUM(J4:J27)</f>
        <v>39082423.453639999</v>
      </c>
      <c r="K29" s="269"/>
      <c r="L29" s="79"/>
      <c r="M29" s="364" t="s">
        <v>71</v>
      </c>
      <c r="N29" s="249">
        <f>SUM(N4:N27)</f>
        <v>4018.9866823599991</v>
      </c>
      <c r="O29" s="364"/>
      <c r="P29" s="364" t="s">
        <v>71</v>
      </c>
      <c r="Q29" s="269">
        <f>SUM(Q4:Q27)</f>
        <v>43101.410136000006</v>
      </c>
      <c r="R29" s="247" t="s">
        <v>71</v>
      </c>
      <c r="S29" s="269">
        <f>SUM(S4:S27)</f>
        <v>39082.423453640018</v>
      </c>
      <c r="V29" s="234"/>
      <c r="W29" s="235"/>
      <c r="X29" s="236">
        <f>X4+X6+X13+X14+X15+X17+X20+X27</f>
        <v>19805428.59</v>
      </c>
      <c r="Y29" s="235"/>
    </row>
    <row r="30" spans="1:25" ht="15" x14ac:dyDescent="0.25">
      <c r="A30"/>
      <c r="B30"/>
      <c r="C30"/>
      <c r="D30" s="237" t="s">
        <v>51</v>
      </c>
      <c r="E30" s="238">
        <f>E10+E16+E21+E24</f>
        <v>2693859.3999999994</v>
      </c>
      <c r="F30" s="23"/>
      <c r="G30" s="237" t="s">
        <v>51</v>
      </c>
      <c r="H30" s="238">
        <f>H10+H16+H20+H23</f>
        <v>2592382.5799999996</v>
      </c>
      <c r="I30" s="237" t="s">
        <v>51</v>
      </c>
      <c r="J30" s="238">
        <f>J10+J16+J20+J23</f>
        <v>-43429.056799999649</v>
      </c>
      <c r="K30" s="238"/>
      <c r="M30" s="237" t="s">
        <v>51</v>
      </c>
      <c r="N30" s="238">
        <f>N10+N16+N21+N24</f>
        <v>2693.8593999999994</v>
      </c>
      <c r="O30" s="23"/>
      <c r="P30" s="237" t="s">
        <v>51</v>
      </c>
      <c r="Q30" s="238">
        <f>Q10+Q16+Q20+Q23</f>
        <v>2592.3825799999995</v>
      </c>
      <c r="R30" s="237" t="s">
        <v>51</v>
      </c>
      <c r="S30" s="238">
        <f>S10+S16+S20+S23</f>
        <v>-43.429056799999991</v>
      </c>
      <c r="V30" s="239" t="s">
        <v>119</v>
      </c>
    </row>
    <row r="31" spans="1:25" x14ac:dyDescent="0.2">
      <c r="B31"/>
      <c r="C31"/>
      <c r="D31" s="214" t="s">
        <v>120</v>
      </c>
      <c r="E31" s="240">
        <f>E4+E14</f>
        <v>886898.00000000023</v>
      </c>
      <c r="F31" s="214"/>
      <c r="G31" s="214" t="s">
        <v>120</v>
      </c>
      <c r="H31" s="240">
        <f>H4+H14</f>
        <v>38388750</v>
      </c>
      <c r="I31" s="214" t="s">
        <v>120</v>
      </c>
      <c r="J31" s="240">
        <f>J4+J14</f>
        <v>37501852</v>
      </c>
      <c r="K31" s="240"/>
      <c r="M31" s="214" t="s">
        <v>120</v>
      </c>
      <c r="N31" s="240">
        <f>N4+N14</f>
        <v>886.89800000000014</v>
      </c>
      <c r="O31" s="214"/>
      <c r="P31" s="214" t="s">
        <v>120</v>
      </c>
      <c r="Q31" s="240">
        <f>Q4+Q14</f>
        <v>38388.75</v>
      </c>
      <c r="R31" s="214" t="s">
        <v>120</v>
      </c>
      <c r="S31" s="240">
        <f>S4+S14</f>
        <v>37501.852000000006</v>
      </c>
      <c r="V31" s="239" t="s">
        <v>121</v>
      </c>
    </row>
    <row r="32" spans="1:25" x14ac:dyDescent="0.2">
      <c r="D32" s="214" t="s">
        <v>54</v>
      </c>
      <c r="E32" s="240">
        <f>E5+E6+E7+E8+E9+E11+E12+E13+E17+E19+E20+E22+E23+E25+E26</f>
        <v>280082.65657999995</v>
      </c>
      <c r="F32" s="214"/>
      <c r="G32" s="214" t="s">
        <v>54</v>
      </c>
      <c r="H32" s="240">
        <f>H5+H6+H7+H8+H9+H11+H12+H13+H17+H18+H19+H21+H22+H24+H25</f>
        <v>1313778.456</v>
      </c>
      <c r="I32" s="214" t="s">
        <v>54</v>
      </c>
      <c r="J32" s="240">
        <f>J5+J6+J7+J8+J9+J11+J12+J13+J17+J18+J19+J21+J22+J24+J25</f>
        <v>975711.77622000012</v>
      </c>
      <c r="K32" s="240"/>
      <c r="M32" s="214" t="s">
        <v>54</v>
      </c>
      <c r="N32" s="240">
        <f>N5+N6+N7+N8+N9+N11+N12+N13+N17+N19+N20+N22+N23+N25+N26</f>
        <v>280.08265658000005</v>
      </c>
      <c r="O32" s="214"/>
      <c r="P32" s="214" t="s">
        <v>54</v>
      </c>
      <c r="Q32" s="240">
        <f>Q5+Q6+Q7+Q8+Q9+Q11+Q12+Q13+Q17+Q18+Q19+Q21+Q22+Q24+Q25</f>
        <v>1313.7784560000002</v>
      </c>
      <c r="R32" s="214" t="s">
        <v>54</v>
      </c>
      <c r="S32" s="240">
        <f>S5+S6+S7+S8+S9+S11+S12+S13+S17+S18+S19+S21+S22+S24+S25</f>
        <v>975.71177621999993</v>
      </c>
    </row>
    <row r="33" spans="1:25" x14ac:dyDescent="0.2">
      <c r="D33" s="214" t="s">
        <v>56</v>
      </c>
      <c r="E33" s="240">
        <f>E15+E27</f>
        <v>158146.62578000003</v>
      </c>
      <c r="F33" s="214"/>
      <c r="G33" s="214" t="s">
        <v>56</v>
      </c>
      <c r="H33" s="240">
        <f>H15+H26</f>
        <v>651179.1</v>
      </c>
      <c r="I33" s="214" t="s">
        <v>56</v>
      </c>
      <c r="J33" s="240">
        <f>J15+J26</f>
        <v>650086.73421999998</v>
      </c>
      <c r="K33" s="240"/>
      <c r="M33" s="214" t="s">
        <v>56</v>
      </c>
      <c r="N33" s="240">
        <f>N15+N27</f>
        <v>158.14662578000002</v>
      </c>
      <c r="O33" s="214"/>
      <c r="P33" s="214" t="s">
        <v>56</v>
      </c>
      <c r="Q33" s="240">
        <f>Q15+Q26</f>
        <v>651.17909999999995</v>
      </c>
      <c r="R33" s="214" t="s">
        <v>56</v>
      </c>
      <c r="S33" s="240">
        <f>S15+S26</f>
        <v>650.08673422000004</v>
      </c>
    </row>
    <row r="34" spans="1:25" x14ac:dyDescent="0.2">
      <c r="A34" s="190"/>
      <c r="B34" s="190"/>
      <c r="C34" s="190"/>
      <c r="D34" s="363"/>
      <c r="E34" s="363"/>
      <c r="F34" s="363"/>
      <c r="G34" s="363"/>
      <c r="H34" s="363"/>
      <c r="I34" s="363"/>
      <c r="J34" s="363"/>
      <c r="K34" s="363"/>
    </row>
    <row r="35" spans="1:25" x14ac:dyDescent="0.2">
      <c r="A35"/>
      <c r="B35"/>
      <c r="C35"/>
      <c r="D35" s="359" t="s">
        <v>135</v>
      </c>
      <c r="E35" s="240">
        <f>E29-E30</f>
        <v>1325127.2823600001</v>
      </c>
      <c r="F35" s="214" t="s">
        <v>67</v>
      </c>
      <c r="G35" s="214" t="s">
        <v>122</v>
      </c>
      <c r="H35" s="241">
        <f>H29-H30</f>
        <v>40509027.555999994</v>
      </c>
      <c r="I35" s="231" t="s">
        <v>67</v>
      </c>
      <c r="J35" s="242"/>
      <c r="K35" s="242"/>
      <c r="W35" t="s">
        <v>123</v>
      </c>
    </row>
    <row r="36" spans="1:25" x14ac:dyDescent="0.2">
      <c r="A36"/>
      <c r="B36"/>
      <c r="C36"/>
      <c r="E36" s="240">
        <f>E35/1000</f>
        <v>1325.12728236</v>
      </c>
      <c r="F36" s="240" t="s">
        <v>75</v>
      </c>
      <c r="G36" s="240"/>
      <c r="H36" s="240">
        <f>H35/1000</f>
        <v>40509.027555999994</v>
      </c>
      <c r="I36" s="243" t="s">
        <v>75</v>
      </c>
      <c r="J36" s="15"/>
      <c r="K36" s="15"/>
      <c r="W36" t="s">
        <v>124</v>
      </c>
      <c r="X36">
        <v>6.7799999999999999E-2</v>
      </c>
      <c r="Y36" t="s">
        <v>75</v>
      </c>
    </row>
    <row r="37" spans="1:25" x14ac:dyDescent="0.2">
      <c r="A37"/>
      <c r="B37"/>
      <c r="C37"/>
    </row>
    <row r="38" spans="1:25" s="45" customFormat="1" x14ac:dyDescent="0.2">
      <c r="A38"/>
      <c r="B38"/>
      <c r="C38"/>
      <c r="D38"/>
      <c r="E38"/>
      <c r="F38"/>
      <c r="G38"/>
      <c r="H38"/>
      <c r="I38"/>
      <c r="J38"/>
      <c r="K38"/>
      <c r="L38"/>
      <c r="M38"/>
      <c r="N38"/>
      <c r="O38"/>
      <c r="P38"/>
      <c r="Q38"/>
      <c r="R38"/>
      <c r="S38"/>
      <c r="T38"/>
      <c r="U38"/>
      <c r="V38"/>
      <c r="W38"/>
      <c r="X38"/>
      <c r="Y38"/>
    </row>
    <row r="39" spans="1:25" s="45" customFormat="1" x14ac:dyDescent="0.2">
      <c r="A39"/>
      <c r="B39"/>
      <c r="C39"/>
      <c r="D39"/>
      <c r="E39"/>
      <c r="F39"/>
      <c r="G39"/>
      <c r="H39"/>
      <c r="I39"/>
      <c r="J39"/>
      <c r="K39"/>
      <c r="L39"/>
      <c r="M39"/>
      <c r="N39"/>
      <c r="O39"/>
      <c r="P39"/>
      <c r="Q39"/>
      <c r="R39"/>
      <c r="S39"/>
      <c r="T39"/>
      <c r="U39"/>
      <c r="V39"/>
      <c r="W39"/>
      <c r="X39"/>
      <c r="Y39"/>
    </row>
    <row r="40" spans="1:25" s="45" customFormat="1" x14ac:dyDescent="0.2">
      <c r="A40"/>
      <c r="B40"/>
      <c r="C40"/>
      <c r="D40"/>
      <c r="E40"/>
      <c r="F40"/>
      <c r="G40"/>
      <c r="H40"/>
      <c r="I40"/>
      <c r="J40"/>
      <c r="K40"/>
      <c r="L40"/>
      <c r="M40"/>
      <c r="N40"/>
      <c r="O40"/>
      <c r="P40"/>
      <c r="Q40"/>
      <c r="R40"/>
      <c r="S40"/>
      <c r="T40"/>
      <c r="U40"/>
      <c r="V40"/>
      <c r="W40"/>
      <c r="X40"/>
      <c r="Y40"/>
    </row>
    <row r="41" spans="1:25" s="45" customFormat="1" x14ac:dyDescent="0.2">
      <c r="A41"/>
      <c r="B41"/>
      <c r="C41"/>
      <c r="D41"/>
      <c r="E41"/>
      <c r="F41"/>
      <c r="G41"/>
      <c r="H41"/>
      <c r="I41"/>
      <c r="J41"/>
      <c r="K41"/>
      <c r="L41"/>
      <c r="M41"/>
      <c r="N41"/>
      <c r="O41"/>
      <c r="P41"/>
      <c r="Q41"/>
      <c r="R41"/>
      <c r="S41"/>
      <c r="T41"/>
      <c r="U41"/>
      <c r="V41"/>
      <c r="W41"/>
      <c r="X41"/>
      <c r="Y41"/>
    </row>
    <row r="42" spans="1:25" s="45" customFormat="1" x14ac:dyDescent="0.2">
      <c r="A42"/>
      <c r="B42"/>
      <c r="C42"/>
      <c r="D42"/>
      <c r="E42"/>
      <c r="F42"/>
      <c r="G42"/>
      <c r="H42"/>
      <c r="I42"/>
      <c r="J42"/>
      <c r="K42"/>
      <c r="L42"/>
      <c r="M42"/>
      <c r="N42"/>
      <c r="O42"/>
      <c r="P42"/>
      <c r="Q42"/>
      <c r="R42"/>
      <c r="S42"/>
      <c r="T42"/>
      <c r="U42"/>
      <c r="V42"/>
      <c r="W42"/>
      <c r="X42"/>
      <c r="Y42"/>
    </row>
    <row r="43" spans="1:25" s="45" customFormat="1" x14ac:dyDescent="0.2">
      <c r="A43"/>
      <c r="B43"/>
      <c r="C43"/>
      <c r="D43"/>
      <c r="E43"/>
      <c r="F43"/>
      <c r="G43"/>
      <c r="H43"/>
      <c r="I43"/>
      <c r="J43"/>
      <c r="K43"/>
      <c r="L43"/>
      <c r="M43"/>
      <c r="N43"/>
      <c r="O43"/>
      <c r="P43"/>
      <c r="Q43"/>
      <c r="R43"/>
      <c r="S43"/>
      <c r="T43"/>
      <c r="U43"/>
      <c r="V43"/>
      <c r="W43"/>
      <c r="X43"/>
      <c r="Y43"/>
    </row>
    <row r="44" spans="1:25" s="45" customFormat="1" x14ac:dyDescent="0.2">
      <c r="A44"/>
      <c r="B44"/>
      <c r="C44"/>
      <c r="D44"/>
      <c r="E44"/>
      <c r="F44"/>
      <c r="G44"/>
      <c r="H44"/>
      <c r="I44"/>
      <c r="J44"/>
      <c r="K44"/>
      <c r="L44"/>
      <c r="M44"/>
      <c r="N44"/>
      <c r="O44"/>
      <c r="P44"/>
      <c r="Q44"/>
      <c r="R44"/>
      <c r="S44"/>
      <c r="T44"/>
      <c r="U44"/>
      <c r="V44"/>
      <c r="W44"/>
      <c r="X44"/>
      <c r="Y44"/>
    </row>
    <row r="45" spans="1:25" s="45" customFormat="1" x14ac:dyDescent="0.2">
      <c r="A45"/>
      <c r="B45"/>
      <c r="C45"/>
      <c r="D45"/>
      <c r="E45"/>
      <c r="F45"/>
      <c r="G45"/>
      <c r="H45"/>
      <c r="I45"/>
      <c r="J45"/>
      <c r="K45"/>
      <c r="L45"/>
      <c r="M45"/>
      <c r="N45"/>
      <c r="O45"/>
      <c r="P45"/>
      <c r="Q45"/>
      <c r="R45"/>
      <c r="S45"/>
      <c r="T45"/>
      <c r="U45"/>
      <c r="V45"/>
      <c r="W45"/>
      <c r="X45"/>
      <c r="Y45"/>
    </row>
    <row r="46" spans="1:25" s="45" customFormat="1" x14ac:dyDescent="0.2">
      <c r="A46"/>
      <c r="B46"/>
      <c r="C46"/>
      <c r="D46"/>
      <c r="E46"/>
      <c r="F46"/>
      <c r="G46"/>
      <c r="H46"/>
      <c r="I46"/>
      <c r="J46"/>
      <c r="K46"/>
      <c r="L46"/>
      <c r="M46"/>
      <c r="N46"/>
      <c r="O46"/>
      <c r="P46"/>
      <c r="Q46"/>
      <c r="R46"/>
      <c r="S46"/>
      <c r="T46"/>
      <c r="U46"/>
      <c r="V46"/>
      <c r="W46"/>
      <c r="X46"/>
      <c r="Y46"/>
    </row>
    <row r="47" spans="1:25" s="45" customFormat="1" x14ac:dyDescent="0.2">
      <c r="A47"/>
      <c r="B47"/>
      <c r="C47"/>
      <c r="D47"/>
      <c r="E47"/>
      <c r="F47"/>
      <c r="G47"/>
      <c r="H47"/>
      <c r="I47"/>
      <c r="J47"/>
      <c r="K47"/>
      <c r="L47"/>
      <c r="M47"/>
      <c r="N47"/>
      <c r="O47"/>
      <c r="P47"/>
      <c r="Q47"/>
      <c r="R47"/>
      <c r="S47"/>
      <c r="T47"/>
      <c r="U47"/>
      <c r="V47"/>
      <c r="W47"/>
      <c r="X47"/>
      <c r="Y47"/>
    </row>
    <row r="48" spans="1:25" s="45" customFormat="1" x14ac:dyDescent="0.2">
      <c r="A48"/>
      <c r="B48"/>
      <c r="C48"/>
      <c r="D48"/>
      <c r="E48"/>
      <c r="F48"/>
      <c r="G48"/>
      <c r="H48"/>
      <c r="I48"/>
      <c r="J48"/>
      <c r="K48"/>
      <c r="L48"/>
      <c r="M48"/>
      <c r="N48"/>
      <c r="O48"/>
      <c r="P48"/>
      <c r="Q48"/>
      <c r="R48"/>
      <c r="S48"/>
      <c r="T48"/>
      <c r="U48"/>
      <c r="V48"/>
      <c r="W48"/>
      <c r="X48"/>
      <c r="Y48"/>
    </row>
    <row r="49" spans="1:25" s="45" customFormat="1" x14ac:dyDescent="0.2">
      <c r="A49"/>
      <c r="B49"/>
      <c r="C49"/>
      <c r="D49"/>
      <c r="E49"/>
      <c r="F49"/>
      <c r="G49"/>
      <c r="H49"/>
      <c r="I49"/>
      <c r="J49"/>
      <c r="K49"/>
      <c r="L49"/>
      <c r="M49"/>
      <c r="N49"/>
      <c r="O49"/>
      <c r="P49"/>
      <c r="Q49"/>
      <c r="R49"/>
      <c r="S49"/>
      <c r="T49"/>
      <c r="U49"/>
      <c r="V49"/>
      <c r="W49"/>
      <c r="X49"/>
      <c r="Y49"/>
    </row>
    <row r="50" spans="1:25" s="45" customFormat="1" x14ac:dyDescent="0.2">
      <c r="A50"/>
      <c r="B50"/>
      <c r="C50"/>
      <c r="D50"/>
      <c r="E50"/>
      <c r="F50"/>
      <c r="G50"/>
      <c r="H50"/>
      <c r="I50"/>
      <c r="J50"/>
      <c r="K50"/>
      <c r="L50"/>
      <c r="M50"/>
      <c r="N50"/>
      <c r="O50"/>
      <c r="P50"/>
      <c r="Q50"/>
      <c r="R50"/>
      <c r="S50"/>
      <c r="T50"/>
      <c r="U50"/>
      <c r="V50"/>
      <c r="W50"/>
      <c r="X50"/>
      <c r="Y50"/>
    </row>
    <row r="51" spans="1:25" s="45" customFormat="1" x14ac:dyDescent="0.2">
      <c r="A51"/>
      <c r="B51"/>
      <c r="C51"/>
      <c r="D51"/>
      <c r="E51"/>
      <c r="F51"/>
      <c r="G51"/>
      <c r="H51"/>
      <c r="I51"/>
      <c r="J51"/>
      <c r="K51"/>
      <c r="L51"/>
      <c r="M51"/>
      <c r="N51"/>
      <c r="O51"/>
      <c r="P51"/>
      <c r="Q51"/>
      <c r="R51"/>
      <c r="S51"/>
      <c r="T51"/>
      <c r="U51"/>
      <c r="V51"/>
      <c r="W51"/>
      <c r="X51"/>
      <c r="Y51"/>
    </row>
    <row r="52" spans="1:25" s="45" customFormat="1" x14ac:dyDescent="0.2">
      <c r="A52"/>
      <c r="B52"/>
      <c r="C52"/>
      <c r="D52"/>
      <c r="E52"/>
      <c r="F52"/>
      <c r="G52"/>
      <c r="H52"/>
      <c r="I52"/>
      <c r="J52"/>
      <c r="K52"/>
      <c r="L52"/>
      <c r="M52"/>
      <c r="N52"/>
      <c r="O52"/>
      <c r="P52"/>
      <c r="Q52"/>
      <c r="R52"/>
      <c r="S52"/>
      <c r="T52"/>
      <c r="U52"/>
      <c r="V52"/>
      <c r="W52"/>
      <c r="X52"/>
      <c r="Y52"/>
    </row>
    <row r="53" spans="1:25" s="45" customFormat="1" x14ac:dyDescent="0.2">
      <c r="A53"/>
      <c r="B53"/>
      <c r="C53"/>
      <c r="D53"/>
      <c r="E53"/>
      <c r="F53"/>
      <c r="G53"/>
      <c r="H53"/>
      <c r="I53"/>
      <c r="J53"/>
      <c r="K53"/>
      <c r="L53"/>
      <c r="M53"/>
      <c r="N53"/>
      <c r="O53"/>
      <c r="P53"/>
      <c r="Q53"/>
      <c r="R53"/>
      <c r="S53"/>
      <c r="T53"/>
      <c r="U53"/>
      <c r="V53"/>
      <c r="W53"/>
      <c r="X53"/>
      <c r="Y53"/>
    </row>
    <row r="54" spans="1:25" s="45" customFormat="1" x14ac:dyDescent="0.2">
      <c r="A54"/>
      <c r="B54"/>
      <c r="C54"/>
      <c r="D54"/>
      <c r="E54"/>
      <c r="F54"/>
      <c r="G54"/>
      <c r="H54"/>
      <c r="I54"/>
      <c r="J54"/>
      <c r="K54"/>
      <c r="L54"/>
      <c r="M54"/>
      <c r="N54"/>
      <c r="O54"/>
      <c r="P54"/>
      <c r="Q54"/>
      <c r="R54"/>
      <c r="S54"/>
      <c r="T54"/>
      <c r="U54"/>
      <c r="V54"/>
      <c r="W54"/>
      <c r="X54"/>
      <c r="Y54"/>
    </row>
    <row r="55" spans="1:25" s="45" customFormat="1" x14ac:dyDescent="0.2">
      <c r="A55"/>
      <c r="B55"/>
      <c r="C55"/>
      <c r="D55"/>
      <c r="E55"/>
      <c r="F55"/>
      <c r="G55"/>
      <c r="H55"/>
      <c r="I55"/>
      <c r="J55"/>
      <c r="K55"/>
      <c r="L55"/>
      <c r="M55"/>
      <c r="N55"/>
      <c r="O55"/>
      <c r="P55"/>
      <c r="Q55"/>
      <c r="R55"/>
      <c r="S55"/>
      <c r="T55"/>
      <c r="U55"/>
      <c r="V55"/>
      <c r="W55"/>
      <c r="X55"/>
      <c r="Y55"/>
    </row>
    <row r="56" spans="1:25" s="45" customFormat="1" x14ac:dyDescent="0.2">
      <c r="A56"/>
      <c r="B56"/>
      <c r="C56"/>
      <c r="D56"/>
      <c r="E56"/>
      <c r="F56"/>
      <c r="G56"/>
      <c r="H56"/>
      <c r="I56"/>
      <c r="J56"/>
      <c r="K56"/>
      <c r="L56"/>
      <c r="M56"/>
      <c r="N56"/>
      <c r="O56"/>
      <c r="P56"/>
      <c r="Q56"/>
      <c r="R56"/>
      <c r="S56"/>
      <c r="T56"/>
      <c r="U56"/>
      <c r="V56"/>
      <c r="W56"/>
      <c r="X56"/>
      <c r="Y56"/>
    </row>
    <row r="57" spans="1:25" s="45" customFormat="1" x14ac:dyDescent="0.2">
      <c r="A57"/>
      <c r="B57"/>
      <c r="C57"/>
      <c r="D57"/>
      <c r="E57"/>
      <c r="F57"/>
      <c r="G57"/>
      <c r="H57"/>
      <c r="I57"/>
      <c r="J57"/>
      <c r="K57"/>
      <c r="L57"/>
      <c r="M57"/>
      <c r="N57"/>
      <c r="O57"/>
      <c r="P57"/>
      <c r="Q57"/>
      <c r="R57"/>
      <c r="S57"/>
      <c r="T57"/>
      <c r="U57"/>
      <c r="V57"/>
      <c r="W57"/>
      <c r="X57"/>
      <c r="Y57"/>
    </row>
    <row r="58" spans="1:25" s="45" customFormat="1" x14ac:dyDescent="0.2">
      <c r="A58"/>
      <c r="B58"/>
      <c r="C58"/>
      <c r="D58"/>
      <c r="E58"/>
      <c r="F58"/>
      <c r="G58"/>
      <c r="H58"/>
      <c r="I58"/>
      <c r="J58"/>
      <c r="K58"/>
      <c r="L58"/>
      <c r="M58"/>
      <c r="N58"/>
      <c r="O58"/>
      <c r="P58"/>
      <c r="Q58"/>
      <c r="R58"/>
      <c r="S58"/>
      <c r="T58"/>
      <c r="U58"/>
      <c r="V58"/>
      <c r="W58"/>
      <c r="X58"/>
      <c r="Y58"/>
    </row>
    <row r="59" spans="1:25" s="45" customFormat="1" x14ac:dyDescent="0.2">
      <c r="A59"/>
      <c r="B59"/>
      <c r="C59"/>
      <c r="D59"/>
      <c r="E59"/>
      <c r="F59"/>
      <c r="G59"/>
      <c r="H59"/>
      <c r="I59"/>
      <c r="J59"/>
      <c r="K59"/>
      <c r="L59"/>
      <c r="M59"/>
      <c r="N59"/>
      <c r="O59"/>
      <c r="P59"/>
      <c r="Q59"/>
      <c r="R59"/>
      <c r="S59"/>
      <c r="T59"/>
      <c r="U59"/>
      <c r="V59"/>
      <c r="W59"/>
      <c r="X59"/>
      <c r="Y59"/>
    </row>
    <row r="60" spans="1:25" s="45" customFormat="1" x14ac:dyDescent="0.2">
      <c r="A60"/>
      <c r="B60"/>
      <c r="C60"/>
      <c r="D60"/>
      <c r="E60"/>
      <c r="F60"/>
      <c r="G60"/>
      <c r="H60"/>
      <c r="I60"/>
      <c r="J60"/>
      <c r="K60"/>
      <c r="L60"/>
      <c r="M60"/>
      <c r="N60"/>
      <c r="O60"/>
      <c r="P60"/>
      <c r="Q60"/>
      <c r="R60"/>
      <c r="S60"/>
      <c r="T60"/>
      <c r="U60"/>
      <c r="V60"/>
      <c r="W60"/>
      <c r="X60"/>
      <c r="Y60"/>
    </row>
    <row r="61" spans="1:25" s="45" customFormat="1" x14ac:dyDescent="0.2">
      <c r="A61"/>
      <c r="B61"/>
      <c r="C61"/>
      <c r="D61"/>
      <c r="E61"/>
      <c r="F61"/>
      <c r="G61"/>
      <c r="H61"/>
      <c r="I61"/>
      <c r="J61"/>
      <c r="K61"/>
      <c r="L61"/>
      <c r="M61"/>
      <c r="N61"/>
      <c r="O61"/>
      <c r="P61"/>
      <c r="Q61"/>
      <c r="R61"/>
      <c r="S61"/>
      <c r="T61"/>
      <c r="U61"/>
      <c r="V61"/>
      <c r="W61"/>
      <c r="X61"/>
      <c r="Y61"/>
    </row>
    <row r="62" spans="1:25" s="45" customFormat="1" x14ac:dyDescent="0.2">
      <c r="A62"/>
      <c r="B62"/>
      <c r="C62"/>
      <c r="D62"/>
      <c r="E62"/>
      <c r="F62"/>
      <c r="G62"/>
      <c r="H62"/>
      <c r="I62"/>
      <c r="J62"/>
      <c r="K62"/>
      <c r="L62"/>
      <c r="M62"/>
      <c r="N62"/>
      <c r="O62"/>
      <c r="P62"/>
      <c r="Q62"/>
      <c r="R62"/>
      <c r="S62"/>
      <c r="T62"/>
      <c r="U62"/>
      <c r="V62"/>
      <c r="W62"/>
      <c r="X62"/>
      <c r="Y62"/>
    </row>
    <row r="63" spans="1:25" s="45" customFormat="1" x14ac:dyDescent="0.2">
      <c r="A63"/>
      <c r="B63"/>
      <c r="C63"/>
      <c r="D63"/>
      <c r="E63"/>
      <c r="F63"/>
      <c r="G63"/>
      <c r="H63"/>
      <c r="I63"/>
      <c r="J63"/>
      <c r="K63"/>
      <c r="L63"/>
      <c r="M63"/>
      <c r="N63"/>
      <c r="O63"/>
      <c r="P63"/>
      <c r="Q63"/>
      <c r="R63"/>
      <c r="S63"/>
      <c r="T63"/>
      <c r="U63"/>
      <c r="V63"/>
      <c r="W63"/>
      <c r="X63"/>
      <c r="Y63"/>
    </row>
    <row r="64" spans="1:25" s="45" customFormat="1" x14ac:dyDescent="0.2">
      <c r="A64"/>
      <c r="B64"/>
      <c r="C64"/>
      <c r="D64"/>
      <c r="E64"/>
      <c r="F64"/>
      <c r="G64"/>
      <c r="H64"/>
      <c r="I64"/>
      <c r="J64"/>
      <c r="K64"/>
      <c r="L64"/>
      <c r="M64"/>
      <c r="N64"/>
      <c r="O64"/>
      <c r="P64"/>
      <c r="Q64"/>
      <c r="R64"/>
      <c r="S64"/>
      <c r="T64"/>
      <c r="U64"/>
      <c r="V64"/>
      <c r="W64"/>
      <c r="X64"/>
      <c r="Y64"/>
    </row>
    <row r="65" spans="1:25" s="45" customFormat="1" x14ac:dyDescent="0.2">
      <c r="A65"/>
      <c r="B65"/>
      <c r="C65"/>
      <c r="D65"/>
      <c r="E65"/>
      <c r="F65"/>
      <c r="G65"/>
      <c r="H65"/>
      <c r="I65"/>
      <c r="J65"/>
      <c r="K65"/>
      <c r="L65"/>
      <c r="M65"/>
      <c r="N65"/>
      <c r="O65"/>
      <c r="P65"/>
      <c r="Q65"/>
      <c r="R65"/>
      <c r="S65"/>
      <c r="T65"/>
      <c r="U65"/>
      <c r="V65"/>
      <c r="W65"/>
      <c r="X65"/>
      <c r="Y65"/>
    </row>
    <row r="66" spans="1:25" s="45" customFormat="1" x14ac:dyDescent="0.2">
      <c r="A66"/>
      <c r="B66"/>
      <c r="C66"/>
      <c r="D66"/>
      <c r="E66"/>
      <c r="F66"/>
      <c r="G66"/>
      <c r="H66"/>
      <c r="I66"/>
      <c r="J66"/>
      <c r="K66"/>
      <c r="L66"/>
      <c r="M66"/>
      <c r="N66"/>
      <c r="O66"/>
      <c r="P66"/>
      <c r="Q66"/>
      <c r="R66"/>
      <c r="S66"/>
      <c r="T66"/>
      <c r="U66"/>
      <c r="V66"/>
      <c r="W66"/>
      <c r="X66"/>
      <c r="Y66"/>
    </row>
    <row r="67" spans="1:25" s="45" customFormat="1" x14ac:dyDescent="0.2">
      <c r="A67"/>
      <c r="B67"/>
      <c r="C67"/>
      <c r="D67"/>
      <c r="E67"/>
      <c r="F67"/>
      <c r="G67"/>
      <c r="H67"/>
      <c r="I67"/>
      <c r="J67"/>
      <c r="K67"/>
      <c r="L67"/>
      <c r="M67"/>
      <c r="N67"/>
      <c r="O67"/>
      <c r="P67"/>
      <c r="Q67"/>
      <c r="R67"/>
      <c r="S67"/>
      <c r="T67"/>
      <c r="U67"/>
      <c r="V67"/>
      <c r="W67"/>
      <c r="X67"/>
      <c r="Y67"/>
    </row>
    <row r="68" spans="1:25" s="45" customFormat="1" x14ac:dyDescent="0.2">
      <c r="A68"/>
      <c r="B68"/>
      <c r="C68"/>
      <c r="D68"/>
      <c r="E68"/>
      <c r="F68"/>
      <c r="G68"/>
      <c r="H68"/>
      <c r="I68"/>
      <c r="J68"/>
      <c r="K68"/>
      <c r="L68"/>
      <c r="M68"/>
      <c r="N68"/>
      <c r="O68"/>
      <c r="P68"/>
      <c r="Q68"/>
      <c r="R68"/>
      <c r="S68"/>
      <c r="T68"/>
      <c r="U68"/>
      <c r="V68"/>
      <c r="W68"/>
      <c r="X68"/>
      <c r="Y68"/>
    </row>
    <row r="69" spans="1:25" s="45" customFormat="1" x14ac:dyDescent="0.2">
      <c r="A69"/>
      <c r="B69"/>
      <c r="C69"/>
      <c r="D69"/>
      <c r="E69"/>
      <c r="F69"/>
      <c r="G69"/>
      <c r="H69"/>
      <c r="I69"/>
      <c r="J69"/>
      <c r="K69"/>
      <c r="L69"/>
      <c r="M69"/>
      <c r="N69"/>
      <c r="O69"/>
      <c r="P69"/>
      <c r="Q69"/>
      <c r="R69"/>
      <c r="S69"/>
      <c r="T69"/>
      <c r="U69"/>
      <c r="V69"/>
      <c r="W69"/>
      <c r="X69"/>
      <c r="Y69"/>
    </row>
    <row r="70" spans="1:25" s="45" customFormat="1" x14ac:dyDescent="0.2">
      <c r="A70"/>
      <c r="B70"/>
      <c r="C70"/>
      <c r="D70"/>
      <c r="E70"/>
      <c r="F70"/>
      <c r="G70"/>
      <c r="H70"/>
      <c r="I70"/>
      <c r="J70"/>
      <c r="K70"/>
      <c r="L70"/>
      <c r="M70"/>
      <c r="N70"/>
      <c r="O70"/>
      <c r="P70"/>
      <c r="Q70"/>
      <c r="R70"/>
      <c r="S70"/>
      <c r="T70"/>
      <c r="U70"/>
      <c r="V70"/>
      <c r="W70"/>
      <c r="X70"/>
      <c r="Y70"/>
    </row>
    <row r="71" spans="1:25" s="45" customFormat="1" x14ac:dyDescent="0.2">
      <c r="A71"/>
      <c r="B71"/>
      <c r="C71"/>
      <c r="D71"/>
      <c r="E71"/>
      <c r="F71"/>
      <c r="G71"/>
      <c r="H71"/>
      <c r="I71"/>
      <c r="J71"/>
      <c r="K71"/>
      <c r="L71"/>
      <c r="M71"/>
      <c r="N71"/>
      <c r="O71"/>
      <c r="P71"/>
      <c r="Q71"/>
      <c r="R71"/>
      <c r="S71"/>
      <c r="T71"/>
      <c r="U71"/>
      <c r="V71"/>
      <c r="W71"/>
      <c r="X71"/>
      <c r="Y71"/>
    </row>
    <row r="72" spans="1:25" s="45" customFormat="1" x14ac:dyDescent="0.2">
      <c r="A72"/>
      <c r="B72"/>
      <c r="C72"/>
      <c r="D72"/>
      <c r="E72"/>
      <c r="F72"/>
      <c r="G72"/>
      <c r="H72"/>
      <c r="I72"/>
      <c r="J72"/>
      <c r="K72"/>
      <c r="L72"/>
      <c r="M72"/>
      <c r="N72"/>
      <c r="O72"/>
      <c r="P72"/>
      <c r="Q72"/>
      <c r="R72"/>
      <c r="S72"/>
      <c r="T72"/>
      <c r="U72"/>
      <c r="V72"/>
      <c r="W72"/>
      <c r="X72"/>
      <c r="Y72"/>
    </row>
    <row r="73" spans="1:25" s="45" customFormat="1" x14ac:dyDescent="0.2">
      <c r="A73"/>
      <c r="B73"/>
      <c r="C73"/>
      <c r="D73"/>
      <c r="E73"/>
      <c r="F73"/>
      <c r="G73"/>
      <c r="H73"/>
      <c r="I73"/>
      <c r="J73"/>
      <c r="K73"/>
      <c r="L73"/>
      <c r="M73"/>
      <c r="N73"/>
      <c r="O73"/>
      <c r="P73"/>
      <c r="Q73"/>
      <c r="R73"/>
      <c r="S73"/>
      <c r="T73"/>
      <c r="U73"/>
      <c r="V73"/>
      <c r="W73"/>
      <c r="X73"/>
      <c r="Y73"/>
    </row>
    <row r="74" spans="1:25" s="45" customFormat="1" x14ac:dyDescent="0.2">
      <c r="A74"/>
      <c r="B74"/>
      <c r="C74"/>
      <c r="D74"/>
      <c r="E74"/>
      <c r="F74"/>
      <c r="G74"/>
      <c r="H74"/>
      <c r="I74"/>
      <c r="J74"/>
      <c r="K74"/>
      <c r="L74"/>
      <c r="M74"/>
      <c r="N74"/>
      <c r="O74"/>
      <c r="P74"/>
      <c r="Q74"/>
      <c r="R74"/>
      <c r="S74"/>
      <c r="T74"/>
      <c r="U74"/>
      <c r="V74"/>
      <c r="W74"/>
      <c r="X74"/>
      <c r="Y74"/>
    </row>
    <row r="75" spans="1:25" s="45" customFormat="1" x14ac:dyDescent="0.2">
      <c r="A75"/>
      <c r="B75"/>
      <c r="C75"/>
      <c r="D75"/>
      <c r="E75"/>
      <c r="F75"/>
      <c r="G75"/>
      <c r="H75"/>
      <c r="I75"/>
      <c r="J75"/>
      <c r="K75"/>
      <c r="L75"/>
      <c r="M75"/>
      <c r="N75"/>
      <c r="O75"/>
      <c r="P75"/>
      <c r="Q75"/>
      <c r="R75"/>
      <c r="S75"/>
      <c r="T75"/>
      <c r="U75"/>
      <c r="V75"/>
      <c r="W75"/>
      <c r="X75"/>
      <c r="Y75"/>
    </row>
    <row r="76" spans="1:25" s="45" customFormat="1" x14ac:dyDescent="0.2">
      <c r="A76"/>
      <c r="B76"/>
      <c r="C76"/>
      <c r="D76"/>
      <c r="E76"/>
      <c r="F76"/>
      <c r="G76"/>
      <c r="H76"/>
      <c r="I76"/>
      <c r="J76"/>
      <c r="K76"/>
      <c r="L76"/>
      <c r="M76"/>
      <c r="N76"/>
      <c r="O76"/>
      <c r="P76"/>
      <c r="Q76"/>
      <c r="R76"/>
      <c r="S76"/>
      <c r="T76"/>
      <c r="U76"/>
      <c r="V76"/>
      <c r="W76"/>
      <c r="X76"/>
      <c r="Y76"/>
    </row>
    <row r="77" spans="1:25" s="45" customFormat="1" x14ac:dyDescent="0.2">
      <c r="A77"/>
      <c r="B77"/>
      <c r="C77"/>
      <c r="D77"/>
      <c r="E77"/>
      <c r="F77"/>
      <c r="G77"/>
      <c r="H77"/>
      <c r="I77"/>
      <c r="J77"/>
      <c r="K77"/>
      <c r="L77"/>
      <c r="M77"/>
      <c r="N77"/>
      <c r="O77"/>
      <c r="P77"/>
      <c r="Q77"/>
      <c r="R77"/>
      <c r="S77"/>
      <c r="T77"/>
      <c r="U77"/>
      <c r="V77"/>
      <c r="W77"/>
      <c r="X77"/>
      <c r="Y77"/>
    </row>
    <row r="78" spans="1:25" s="45" customFormat="1" x14ac:dyDescent="0.2">
      <c r="A78"/>
      <c r="B78"/>
      <c r="C78"/>
      <c r="D78"/>
      <c r="E78"/>
      <c r="F78"/>
      <c r="G78"/>
      <c r="H78"/>
      <c r="I78"/>
      <c r="J78"/>
      <c r="K78"/>
      <c r="L78"/>
      <c r="M78"/>
      <c r="N78"/>
      <c r="O78"/>
      <c r="P78"/>
      <c r="Q78"/>
      <c r="R78"/>
      <c r="S78"/>
      <c r="T78"/>
      <c r="U78"/>
      <c r="V78"/>
      <c r="W78"/>
      <c r="X78"/>
      <c r="Y78"/>
    </row>
    <row r="79" spans="1:25" s="45" customFormat="1" x14ac:dyDescent="0.2">
      <c r="A79"/>
      <c r="B79"/>
      <c r="C79"/>
      <c r="D79"/>
      <c r="E79"/>
      <c r="F79"/>
      <c r="G79"/>
      <c r="H79"/>
      <c r="I79"/>
      <c r="J79"/>
      <c r="K79"/>
      <c r="L79"/>
      <c r="M79"/>
      <c r="N79"/>
      <c r="O79"/>
      <c r="P79"/>
      <c r="Q79"/>
      <c r="R79"/>
      <c r="S79"/>
      <c r="T79"/>
      <c r="U79"/>
      <c r="V79"/>
      <c r="W79"/>
      <c r="X79"/>
      <c r="Y79"/>
    </row>
    <row r="80" spans="1:25" s="45" customFormat="1" x14ac:dyDescent="0.2">
      <c r="A80"/>
      <c r="B80"/>
      <c r="C80"/>
      <c r="D80"/>
      <c r="E80"/>
      <c r="F80"/>
      <c r="G80"/>
      <c r="H80"/>
      <c r="I80"/>
      <c r="J80"/>
      <c r="K80"/>
      <c r="L80"/>
      <c r="M80"/>
      <c r="N80"/>
      <c r="O80"/>
      <c r="P80"/>
      <c r="Q80"/>
      <c r="R80"/>
      <c r="S80"/>
      <c r="T80"/>
      <c r="U80"/>
      <c r="V80"/>
      <c r="W80"/>
      <c r="X80"/>
      <c r="Y80"/>
    </row>
    <row r="81" spans="1:30" s="45" customFormat="1" x14ac:dyDescent="0.2">
      <c r="A81"/>
      <c r="B81"/>
      <c r="C81"/>
      <c r="D81"/>
      <c r="E81"/>
      <c r="F81"/>
      <c r="G81"/>
      <c r="H81"/>
      <c r="I81"/>
      <c r="J81"/>
      <c r="K81"/>
      <c r="L81"/>
      <c r="M81"/>
      <c r="N81"/>
      <c r="O81"/>
      <c r="P81"/>
      <c r="Q81"/>
      <c r="R81"/>
      <c r="S81"/>
      <c r="T81"/>
      <c r="U81"/>
      <c r="V81"/>
      <c r="W81"/>
      <c r="X81"/>
      <c r="Y81"/>
      <c r="Z81"/>
      <c r="AA81"/>
      <c r="AB81"/>
      <c r="AC81"/>
      <c r="AD81"/>
    </row>
    <row r="82" spans="1:30" s="45" customFormat="1" x14ac:dyDescent="0.2">
      <c r="A82"/>
      <c r="B82"/>
      <c r="C82"/>
      <c r="D82"/>
      <c r="E82"/>
      <c r="F82"/>
      <c r="G82"/>
      <c r="H82"/>
      <c r="I82"/>
      <c r="J82"/>
      <c r="K82"/>
      <c r="L82"/>
      <c r="M82"/>
      <c r="N82"/>
      <c r="O82"/>
      <c r="P82"/>
      <c r="Q82"/>
      <c r="R82"/>
      <c r="S82"/>
      <c r="T82"/>
      <c r="U82"/>
      <c r="V82"/>
      <c r="W82"/>
      <c r="X82"/>
      <c r="Y82"/>
      <c r="Z82"/>
      <c r="AA82"/>
      <c r="AB82"/>
      <c r="AC82"/>
      <c r="AD82"/>
    </row>
    <row r="83" spans="1:30" s="45" customFormat="1" x14ac:dyDescent="0.2">
      <c r="A83"/>
      <c r="B83"/>
      <c r="C83"/>
      <c r="D83"/>
      <c r="E83"/>
      <c r="F83"/>
      <c r="G83"/>
      <c r="H83"/>
      <c r="I83"/>
      <c r="J83"/>
      <c r="K83"/>
      <c r="L83"/>
      <c r="M83"/>
      <c r="N83"/>
      <c r="O83"/>
      <c r="P83"/>
      <c r="Q83"/>
      <c r="R83"/>
      <c r="S83"/>
      <c r="T83"/>
      <c r="U83"/>
      <c r="V83"/>
      <c r="W83"/>
      <c r="X83"/>
      <c r="Y83"/>
      <c r="Z83"/>
      <c r="AA83"/>
      <c r="AB83"/>
      <c r="AC83"/>
      <c r="AD83"/>
    </row>
    <row r="84" spans="1:30" s="45" customFormat="1" x14ac:dyDescent="0.2">
      <c r="A84"/>
      <c r="B84"/>
      <c r="C84"/>
      <c r="D84"/>
      <c r="E84"/>
      <c r="F84"/>
      <c r="G84"/>
      <c r="H84"/>
      <c r="I84"/>
      <c r="J84"/>
      <c r="K84"/>
      <c r="L84"/>
      <c r="M84"/>
      <c r="N84"/>
      <c r="O84"/>
      <c r="P84"/>
      <c r="Q84"/>
      <c r="R84"/>
      <c r="S84"/>
      <c r="T84"/>
      <c r="U84"/>
      <c r="V84"/>
      <c r="W84"/>
      <c r="X84"/>
      <c r="Y84"/>
      <c r="Z84"/>
      <c r="AA84"/>
      <c r="AB84"/>
      <c r="AC84"/>
      <c r="AD84"/>
    </row>
    <row r="85" spans="1:30" s="45" customFormat="1" x14ac:dyDescent="0.2">
      <c r="A85"/>
      <c r="B85"/>
      <c r="C85"/>
      <c r="D85"/>
      <c r="E85"/>
      <c r="F85"/>
      <c r="G85"/>
      <c r="H85"/>
      <c r="I85"/>
      <c r="J85"/>
      <c r="K85"/>
      <c r="L85"/>
      <c r="M85"/>
      <c r="N85"/>
      <c r="O85"/>
      <c r="P85"/>
      <c r="Q85"/>
      <c r="R85"/>
      <c r="S85"/>
      <c r="T85"/>
      <c r="U85"/>
      <c r="V85"/>
      <c r="W85"/>
      <c r="X85"/>
      <c r="Y85"/>
      <c r="Z85"/>
      <c r="AA85"/>
      <c r="AB85"/>
      <c r="AC85"/>
      <c r="AD85"/>
    </row>
    <row r="86" spans="1:30" s="45" customFormat="1" x14ac:dyDescent="0.2">
      <c r="A86"/>
      <c r="B86"/>
      <c r="C86"/>
      <c r="D86"/>
      <c r="E86"/>
      <c r="F86"/>
      <c r="G86"/>
      <c r="H86"/>
      <c r="I86"/>
      <c r="J86"/>
      <c r="K86"/>
      <c r="L86"/>
      <c r="M86"/>
      <c r="N86"/>
      <c r="O86"/>
      <c r="P86"/>
      <c r="Q86"/>
      <c r="R86"/>
      <c r="S86"/>
      <c r="T86"/>
      <c r="U86"/>
      <c r="V86"/>
      <c r="W86"/>
      <c r="X86"/>
      <c r="Y86"/>
      <c r="Z86"/>
      <c r="AA86"/>
      <c r="AB86"/>
      <c r="AC86"/>
      <c r="AD86"/>
    </row>
    <row r="87" spans="1:30" s="45" customFormat="1" x14ac:dyDescent="0.2">
      <c r="A87"/>
      <c r="B87"/>
      <c r="C87"/>
      <c r="D87"/>
      <c r="E87"/>
      <c r="F87"/>
      <c r="G87"/>
      <c r="H87"/>
      <c r="I87"/>
      <c r="J87"/>
      <c r="K87"/>
      <c r="L87"/>
      <c r="M87"/>
      <c r="N87"/>
      <c r="O87"/>
      <c r="P87"/>
      <c r="Q87"/>
      <c r="R87"/>
      <c r="S87"/>
      <c r="T87"/>
      <c r="U87"/>
      <c r="V87"/>
      <c r="W87"/>
      <c r="X87"/>
      <c r="Y87"/>
      <c r="Z87"/>
      <c r="AA87"/>
      <c r="AB87"/>
      <c r="AC87"/>
      <c r="AD87"/>
    </row>
    <row r="88" spans="1:30" s="45" customFormat="1" x14ac:dyDescent="0.2">
      <c r="A88"/>
      <c r="B88"/>
      <c r="C88"/>
      <c r="D88"/>
      <c r="E88"/>
      <c r="F88"/>
      <c r="G88"/>
      <c r="H88"/>
      <c r="I88"/>
      <c r="J88"/>
      <c r="K88"/>
      <c r="L88"/>
      <c r="M88"/>
      <c r="N88"/>
      <c r="O88"/>
      <c r="P88"/>
      <c r="Q88"/>
      <c r="R88"/>
      <c r="S88"/>
      <c r="T88"/>
      <c r="U88"/>
      <c r="V88"/>
      <c r="W88"/>
      <c r="X88"/>
      <c r="Y88"/>
      <c r="Z88"/>
      <c r="AA88"/>
      <c r="AB88"/>
      <c r="AC88"/>
      <c r="AD88"/>
    </row>
    <row r="89" spans="1:30" s="45" customFormat="1" x14ac:dyDescent="0.2">
      <c r="A89"/>
      <c r="B89"/>
      <c r="C89"/>
      <c r="D89"/>
      <c r="E89"/>
      <c r="F89"/>
      <c r="G89"/>
      <c r="H89"/>
      <c r="I89"/>
      <c r="J89"/>
      <c r="K89"/>
      <c r="L89"/>
      <c r="M89"/>
      <c r="N89"/>
      <c r="O89"/>
      <c r="P89"/>
      <c r="Q89"/>
      <c r="R89"/>
      <c r="S89"/>
      <c r="T89"/>
      <c r="U89"/>
      <c r="V89"/>
      <c r="W89"/>
      <c r="X89"/>
      <c r="Y89"/>
      <c r="Z89"/>
      <c r="AA89"/>
      <c r="AB89"/>
      <c r="AC89"/>
      <c r="AD89"/>
    </row>
    <row r="90" spans="1:30" s="45" customFormat="1" x14ac:dyDescent="0.2">
      <c r="A90"/>
      <c r="B90"/>
      <c r="C90"/>
      <c r="D90"/>
      <c r="E90"/>
      <c r="F90"/>
      <c r="G90"/>
      <c r="H90"/>
      <c r="I90"/>
      <c r="J90"/>
      <c r="K90"/>
      <c r="L90"/>
      <c r="M90"/>
      <c r="N90"/>
      <c r="O90"/>
      <c r="P90"/>
      <c r="Q90"/>
      <c r="R90"/>
      <c r="S90"/>
      <c r="T90"/>
      <c r="U90"/>
      <c r="V90"/>
      <c r="W90"/>
      <c r="X90"/>
      <c r="Y90"/>
      <c r="Z90"/>
      <c r="AA90"/>
      <c r="AB90"/>
      <c r="AC90"/>
      <c r="AD90"/>
    </row>
    <row r="91" spans="1:30" s="45" customFormat="1" x14ac:dyDescent="0.2">
      <c r="A91"/>
      <c r="B91"/>
      <c r="C91"/>
      <c r="D91"/>
      <c r="E91"/>
      <c r="F91"/>
      <c r="G91"/>
      <c r="H91"/>
      <c r="I91"/>
      <c r="J91"/>
      <c r="K91"/>
      <c r="L91"/>
      <c r="M91"/>
      <c r="N91"/>
      <c r="O91"/>
      <c r="P91"/>
      <c r="Q91"/>
      <c r="R91"/>
      <c r="S91"/>
      <c r="T91"/>
      <c r="U91"/>
      <c r="V91"/>
      <c r="W91"/>
      <c r="X91"/>
      <c r="Y91"/>
      <c r="Z91"/>
      <c r="AA91"/>
      <c r="AB91"/>
      <c r="AC91"/>
      <c r="AD91"/>
    </row>
    <row r="92" spans="1:30" x14ac:dyDescent="0.2">
      <c r="A92"/>
      <c r="B92"/>
      <c r="C92"/>
    </row>
    <row r="93" spans="1:30" x14ac:dyDescent="0.2">
      <c r="A93"/>
      <c r="B93"/>
      <c r="C93"/>
    </row>
    <row r="94" spans="1:30" x14ac:dyDescent="0.2">
      <c r="A94"/>
      <c r="B94"/>
      <c r="C94"/>
    </row>
    <row r="95" spans="1:30" x14ac:dyDescent="0.2">
      <c r="A95"/>
      <c r="B95"/>
      <c r="C95"/>
    </row>
    <row r="96" spans="1:30" x14ac:dyDescent="0.2">
      <c r="A96"/>
      <c r="B96"/>
      <c r="C96"/>
    </row>
    <row r="97" spans="1:3" x14ac:dyDescent="0.2">
      <c r="A97"/>
      <c r="B97"/>
      <c r="C97"/>
    </row>
    <row r="98" spans="1:3" x14ac:dyDescent="0.2">
      <c r="A98"/>
      <c r="B98"/>
      <c r="C98"/>
    </row>
    <row r="99" spans="1:3" x14ac:dyDescent="0.2">
      <c r="A99"/>
      <c r="B99"/>
      <c r="C99"/>
    </row>
    <row r="100" spans="1:3" x14ac:dyDescent="0.2">
      <c r="A100"/>
      <c r="B100"/>
      <c r="C100"/>
    </row>
    <row r="101" spans="1:3" x14ac:dyDescent="0.2">
      <c r="A101"/>
      <c r="B101"/>
      <c r="C101"/>
    </row>
    <row r="102" spans="1:3" x14ac:dyDescent="0.2">
      <c r="A102"/>
      <c r="B102"/>
      <c r="C102"/>
    </row>
    <row r="103" spans="1:3" x14ac:dyDescent="0.2">
      <c r="A103"/>
      <c r="B103"/>
      <c r="C103"/>
    </row>
    <row r="104" spans="1:3" x14ac:dyDescent="0.2">
      <c r="A104"/>
      <c r="B104"/>
      <c r="C104"/>
    </row>
    <row r="105" spans="1:3" x14ac:dyDescent="0.2">
      <c r="A105"/>
      <c r="B105"/>
      <c r="C105"/>
    </row>
    <row r="106" spans="1:3" x14ac:dyDescent="0.2">
      <c r="A106"/>
      <c r="B106"/>
      <c r="C106"/>
    </row>
    <row r="107" spans="1:3" x14ac:dyDescent="0.2">
      <c r="A107"/>
      <c r="B107"/>
      <c r="C107"/>
    </row>
    <row r="108" spans="1:3" x14ac:dyDescent="0.2">
      <c r="A108"/>
      <c r="B108"/>
      <c r="C108"/>
    </row>
    <row r="109" spans="1:3" x14ac:dyDescent="0.2">
      <c r="A109"/>
      <c r="B109"/>
      <c r="C109"/>
    </row>
    <row r="110" spans="1:3" x14ac:dyDescent="0.2">
      <c r="A110"/>
      <c r="B110"/>
      <c r="C110"/>
    </row>
    <row r="111" spans="1:3" x14ac:dyDescent="0.2">
      <c r="A111"/>
      <c r="B111"/>
      <c r="C111"/>
    </row>
    <row r="112" spans="1:3" x14ac:dyDescent="0.2">
      <c r="A112"/>
      <c r="B112"/>
      <c r="C112"/>
    </row>
    <row r="113" spans="1:30" x14ac:dyDescent="0.2">
      <c r="A113"/>
      <c r="B113"/>
      <c r="C113"/>
    </row>
    <row r="114" spans="1:30" x14ac:dyDescent="0.2">
      <c r="A114"/>
      <c r="B114"/>
      <c r="C114"/>
    </row>
    <row r="115" spans="1:30" x14ac:dyDescent="0.2">
      <c r="A115"/>
      <c r="B115"/>
      <c r="C115"/>
    </row>
    <row r="116" spans="1:30" x14ac:dyDescent="0.2">
      <c r="A116"/>
      <c r="B116"/>
      <c r="C116"/>
    </row>
    <row r="117" spans="1:30" x14ac:dyDescent="0.2">
      <c r="A117"/>
      <c r="B117"/>
      <c r="C117"/>
    </row>
    <row r="118" spans="1:30" x14ac:dyDescent="0.2">
      <c r="A118"/>
      <c r="B118"/>
      <c r="C118"/>
    </row>
    <row r="119" spans="1:30" x14ac:dyDescent="0.2">
      <c r="A119"/>
      <c r="B119"/>
      <c r="C119"/>
    </row>
    <row r="120" spans="1:30" x14ac:dyDescent="0.2">
      <c r="A120"/>
      <c r="B120"/>
      <c r="C120"/>
    </row>
    <row r="121" spans="1:30" x14ac:dyDescent="0.2">
      <c r="A121"/>
      <c r="B121"/>
      <c r="C121"/>
    </row>
    <row r="122" spans="1:30" x14ac:dyDescent="0.2">
      <c r="A122"/>
      <c r="B122"/>
      <c r="C122"/>
    </row>
    <row r="123" spans="1:30" x14ac:dyDescent="0.2">
      <c r="A123"/>
      <c r="B123"/>
      <c r="C123"/>
    </row>
    <row r="124" spans="1:30" x14ac:dyDescent="0.2">
      <c r="A124"/>
      <c r="B124"/>
      <c r="C124"/>
    </row>
    <row r="125" spans="1:30" x14ac:dyDescent="0.2">
      <c r="A125"/>
      <c r="B125"/>
      <c r="C125"/>
    </row>
    <row r="126" spans="1:30" x14ac:dyDescent="0.2">
      <c r="A126"/>
      <c r="B126"/>
      <c r="C126"/>
    </row>
    <row r="127" spans="1:30" x14ac:dyDescent="0.2">
      <c r="A127"/>
      <c r="B127"/>
      <c r="C127"/>
    </row>
    <row r="128" spans="1:30" s="45" customFormat="1" x14ac:dyDescent="0.2">
      <c r="A128"/>
      <c r="B128"/>
      <c r="C128"/>
      <c r="D128"/>
      <c r="E128"/>
      <c r="F128"/>
      <c r="G128"/>
      <c r="H128"/>
      <c r="I128"/>
      <c r="J128"/>
      <c r="K128"/>
      <c r="L128"/>
      <c r="M128"/>
      <c r="N128"/>
      <c r="O128"/>
      <c r="P128"/>
      <c r="Q128"/>
      <c r="R128"/>
      <c r="S128"/>
      <c r="T128"/>
      <c r="U128"/>
      <c r="V128"/>
      <c r="W128"/>
      <c r="X128"/>
      <c r="Y128"/>
      <c r="Z128"/>
      <c r="AA128"/>
      <c r="AB128"/>
      <c r="AC128"/>
      <c r="AD128"/>
    </row>
    <row r="129" spans="1:30" s="45" customFormat="1" x14ac:dyDescent="0.2">
      <c r="A129"/>
      <c r="B129"/>
      <c r="C129"/>
      <c r="D129"/>
      <c r="E129"/>
      <c r="F129"/>
      <c r="G129"/>
      <c r="H129"/>
      <c r="I129"/>
      <c r="J129"/>
      <c r="K129"/>
      <c r="L129"/>
      <c r="M129"/>
      <c r="N129"/>
      <c r="O129"/>
      <c r="P129"/>
      <c r="Q129"/>
      <c r="R129"/>
      <c r="S129"/>
      <c r="T129"/>
      <c r="U129"/>
      <c r="V129"/>
      <c r="W129"/>
      <c r="X129"/>
      <c r="Y129"/>
      <c r="Z129"/>
      <c r="AA129"/>
      <c r="AB129"/>
      <c r="AC129"/>
      <c r="AD129"/>
    </row>
    <row r="130" spans="1:30" s="45" customFormat="1" x14ac:dyDescent="0.2">
      <c r="A130"/>
      <c r="B130"/>
      <c r="C130"/>
      <c r="D130"/>
      <c r="E130"/>
      <c r="F130"/>
      <c r="G130"/>
      <c r="H130"/>
      <c r="I130"/>
      <c r="J130"/>
      <c r="K130"/>
      <c r="L130"/>
      <c r="M130"/>
      <c r="N130"/>
      <c r="O130"/>
      <c r="P130"/>
      <c r="Q130"/>
      <c r="R130"/>
      <c r="S130"/>
      <c r="T130"/>
      <c r="U130"/>
      <c r="V130"/>
      <c r="W130"/>
      <c r="X130"/>
      <c r="Y130"/>
      <c r="Z130"/>
      <c r="AA130"/>
      <c r="AB130"/>
      <c r="AC130"/>
      <c r="AD130"/>
    </row>
    <row r="131" spans="1:30" s="45" customFormat="1" x14ac:dyDescent="0.2">
      <c r="A131"/>
      <c r="B131"/>
      <c r="C131"/>
      <c r="D131"/>
      <c r="E131"/>
      <c r="F131"/>
      <c r="G131"/>
      <c r="H131"/>
      <c r="I131"/>
      <c r="J131"/>
      <c r="K131"/>
      <c r="L131"/>
      <c r="M131"/>
      <c r="N131"/>
      <c r="O131"/>
      <c r="P131"/>
      <c r="Q131"/>
      <c r="R131"/>
      <c r="S131"/>
      <c r="T131"/>
      <c r="U131"/>
      <c r="V131"/>
      <c r="W131"/>
      <c r="X131"/>
      <c r="Y131"/>
      <c r="Z131"/>
      <c r="AA131"/>
      <c r="AB131"/>
      <c r="AC131"/>
      <c r="AD131"/>
    </row>
    <row r="132" spans="1:30" s="45" customFormat="1" x14ac:dyDescent="0.2">
      <c r="A132"/>
      <c r="B132"/>
      <c r="C132"/>
      <c r="D132"/>
      <c r="E132"/>
      <c r="F132"/>
      <c r="G132"/>
      <c r="H132"/>
      <c r="I132"/>
      <c r="J132"/>
      <c r="K132"/>
      <c r="L132"/>
      <c r="M132"/>
      <c r="N132"/>
      <c r="O132"/>
      <c r="P132"/>
      <c r="Q132"/>
      <c r="R132"/>
      <c r="S132"/>
      <c r="T132"/>
      <c r="U132"/>
      <c r="V132"/>
      <c r="W132"/>
      <c r="X132"/>
      <c r="Y132"/>
      <c r="Z132"/>
      <c r="AA132"/>
      <c r="AB132"/>
      <c r="AC132"/>
      <c r="AD132"/>
    </row>
    <row r="133" spans="1:30" s="45" customFormat="1" x14ac:dyDescent="0.2">
      <c r="A133"/>
      <c r="B133"/>
      <c r="C133"/>
      <c r="D133"/>
      <c r="E133"/>
      <c r="F133"/>
      <c r="G133"/>
      <c r="H133"/>
      <c r="I133"/>
      <c r="J133"/>
      <c r="K133"/>
      <c r="L133"/>
      <c r="M133"/>
      <c r="N133"/>
      <c r="O133"/>
      <c r="P133"/>
      <c r="Q133"/>
      <c r="R133"/>
      <c r="S133"/>
      <c r="T133"/>
      <c r="U133"/>
      <c r="V133"/>
      <c r="W133"/>
      <c r="X133"/>
      <c r="Y133"/>
      <c r="Z133"/>
      <c r="AA133"/>
      <c r="AB133"/>
      <c r="AC133"/>
      <c r="AD133"/>
    </row>
    <row r="134" spans="1:30" s="45" customFormat="1" x14ac:dyDescent="0.2">
      <c r="A134"/>
      <c r="B134"/>
      <c r="C134"/>
      <c r="D134"/>
      <c r="E134"/>
      <c r="F134"/>
      <c r="G134"/>
      <c r="H134"/>
      <c r="I134"/>
      <c r="J134"/>
      <c r="K134"/>
      <c r="L134"/>
      <c r="M134"/>
      <c r="N134"/>
      <c r="O134"/>
      <c r="P134"/>
      <c r="Q134"/>
      <c r="R134"/>
      <c r="S134"/>
      <c r="T134"/>
      <c r="U134"/>
      <c r="V134"/>
      <c r="W134"/>
      <c r="X134"/>
      <c r="Y134"/>
      <c r="Z134"/>
      <c r="AA134"/>
      <c r="AB134"/>
      <c r="AC134"/>
      <c r="AD134"/>
    </row>
    <row r="135" spans="1:30" s="45" customFormat="1" x14ac:dyDescent="0.2">
      <c r="A135"/>
      <c r="B135"/>
      <c r="C135"/>
      <c r="D135"/>
      <c r="E135"/>
      <c r="F135"/>
      <c r="G135"/>
      <c r="H135"/>
      <c r="I135"/>
      <c r="J135"/>
      <c r="K135"/>
      <c r="L135"/>
      <c r="M135"/>
      <c r="N135"/>
      <c r="O135"/>
      <c r="P135"/>
      <c r="Q135"/>
      <c r="R135"/>
      <c r="S135"/>
      <c r="T135"/>
      <c r="U135"/>
      <c r="V135"/>
      <c r="W135"/>
      <c r="X135"/>
      <c r="Y135"/>
      <c r="Z135"/>
      <c r="AA135"/>
      <c r="AB135"/>
      <c r="AC135"/>
      <c r="AD135"/>
    </row>
    <row r="136" spans="1:30" s="45" customFormat="1" x14ac:dyDescent="0.2">
      <c r="A136"/>
      <c r="B136"/>
      <c r="C136"/>
      <c r="D136"/>
      <c r="E136"/>
      <c r="F136"/>
      <c r="G136"/>
      <c r="H136"/>
      <c r="I136"/>
      <c r="J136"/>
      <c r="K136"/>
      <c r="L136"/>
      <c r="M136"/>
      <c r="N136"/>
      <c r="O136"/>
      <c r="P136"/>
      <c r="Q136"/>
      <c r="R136"/>
      <c r="S136"/>
      <c r="T136"/>
      <c r="U136"/>
      <c r="V136"/>
      <c r="W136"/>
      <c r="X136"/>
      <c r="Y136"/>
      <c r="Z136"/>
      <c r="AA136"/>
      <c r="AB136"/>
      <c r="AC136"/>
      <c r="AD136"/>
    </row>
    <row r="137" spans="1:30" s="45" customFormat="1" x14ac:dyDescent="0.2">
      <c r="A137"/>
      <c r="B137"/>
      <c r="C137"/>
      <c r="D137"/>
      <c r="E137"/>
      <c r="F137"/>
      <c r="G137"/>
      <c r="H137"/>
      <c r="I137"/>
      <c r="J137"/>
      <c r="K137"/>
      <c r="L137"/>
      <c r="M137"/>
      <c r="N137"/>
      <c r="O137"/>
      <c r="P137"/>
      <c r="Q137"/>
      <c r="R137"/>
      <c r="S137"/>
      <c r="T137"/>
      <c r="U137"/>
      <c r="V137"/>
      <c r="W137"/>
      <c r="X137"/>
      <c r="Y137"/>
      <c r="Z137"/>
      <c r="AA137"/>
      <c r="AB137"/>
      <c r="AC137"/>
      <c r="AD137"/>
    </row>
    <row r="138" spans="1:30" s="45" customFormat="1" x14ac:dyDescent="0.2">
      <c r="A138"/>
      <c r="B138"/>
      <c r="C138"/>
      <c r="D138"/>
      <c r="E138"/>
      <c r="F138"/>
      <c r="G138"/>
      <c r="H138"/>
      <c r="I138"/>
      <c r="J138"/>
      <c r="K138"/>
      <c r="L138"/>
      <c r="M138"/>
      <c r="N138"/>
      <c r="O138"/>
      <c r="P138"/>
      <c r="Q138"/>
      <c r="R138"/>
      <c r="S138"/>
      <c r="T138"/>
      <c r="U138"/>
      <c r="V138"/>
      <c r="W138"/>
      <c r="X138"/>
      <c r="Y138"/>
      <c r="Z138"/>
      <c r="AA138"/>
      <c r="AB138"/>
      <c r="AC138"/>
      <c r="AD138"/>
    </row>
    <row r="139" spans="1:30" s="45" customFormat="1" x14ac:dyDescent="0.2">
      <c r="A139"/>
      <c r="B139"/>
      <c r="C139"/>
      <c r="D139"/>
      <c r="E139"/>
      <c r="F139"/>
      <c r="G139"/>
      <c r="H139"/>
      <c r="I139"/>
      <c r="J139"/>
      <c r="K139"/>
      <c r="L139"/>
      <c r="M139"/>
      <c r="N139"/>
      <c r="O139"/>
      <c r="P139"/>
      <c r="Q139"/>
      <c r="R139"/>
      <c r="S139"/>
      <c r="T139"/>
      <c r="U139"/>
      <c r="V139"/>
      <c r="W139"/>
      <c r="X139"/>
      <c r="Y139"/>
      <c r="Z139"/>
      <c r="AA139"/>
      <c r="AB139"/>
      <c r="AC139"/>
      <c r="AD139"/>
    </row>
    <row r="140" spans="1:30" s="45" customFormat="1" x14ac:dyDescent="0.2">
      <c r="A140"/>
      <c r="B140"/>
      <c r="C140"/>
      <c r="D140"/>
      <c r="E140"/>
      <c r="F140"/>
      <c r="G140"/>
      <c r="H140"/>
      <c r="I140"/>
      <c r="J140"/>
      <c r="K140"/>
      <c r="L140"/>
      <c r="M140"/>
      <c r="N140"/>
      <c r="O140"/>
      <c r="P140"/>
      <c r="Q140"/>
      <c r="R140"/>
      <c r="S140"/>
      <c r="T140"/>
      <c r="U140"/>
      <c r="V140"/>
      <c r="W140"/>
      <c r="X140"/>
      <c r="Y140"/>
      <c r="Z140"/>
      <c r="AA140"/>
      <c r="AB140"/>
      <c r="AC140"/>
      <c r="AD140"/>
    </row>
    <row r="141" spans="1:30" s="45" customFormat="1" x14ac:dyDescent="0.2">
      <c r="A141"/>
      <c r="B141"/>
      <c r="C141"/>
      <c r="D141"/>
      <c r="E141"/>
      <c r="F141"/>
      <c r="G141"/>
      <c r="H141"/>
      <c r="I141"/>
      <c r="J141"/>
      <c r="K141"/>
      <c r="L141"/>
      <c r="M141"/>
      <c r="N141"/>
      <c r="O141"/>
      <c r="P141"/>
      <c r="Q141"/>
      <c r="R141"/>
      <c r="S141"/>
      <c r="T141"/>
      <c r="U141"/>
      <c r="V141"/>
      <c r="W141"/>
      <c r="X141"/>
      <c r="Y141"/>
      <c r="Z141"/>
      <c r="AA141"/>
      <c r="AB141"/>
      <c r="AC141"/>
      <c r="AD141"/>
    </row>
    <row r="142" spans="1:30" s="45" customFormat="1" x14ac:dyDescent="0.2">
      <c r="A142"/>
      <c r="B142"/>
      <c r="C142"/>
      <c r="D142"/>
      <c r="E142"/>
      <c r="F142"/>
      <c r="G142"/>
      <c r="H142"/>
      <c r="I142"/>
      <c r="J142"/>
      <c r="K142"/>
      <c r="L142"/>
      <c r="M142"/>
      <c r="N142"/>
      <c r="O142"/>
      <c r="P142"/>
      <c r="Q142"/>
      <c r="R142"/>
      <c r="S142"/>
      <c r="T142"/>
      <c r="U142"/>
      <c r="V142"/>
      <c r="W142"/>
      <c r="X142"/>
      <c r="Y142"/>
      <c r="Z142"/>
      <c r="AA142"/>
      <c r="AB142"/>
      <c r="AC142"/>
      <c r="AD142"/>
    </row>
    <row r="143" spans="1:30" s="45" customFormat="1" x14ac:dyDescent="0.2">
      <c r="A143"/>
      <c r="B143"/>
      <c r="C143"/>
      <c r="D143"/>
      <c r="E143"/>
      <c r="F143"/>
      <c r="G143"/>
      <c r="H143"/>
      <c r="I143"/>
      <c r="J143"/>
      <c r="K143"/>
      <c r="L143"/>
      <c r="M143"/>
      <c r="N143"/>
      <c r="O143"/>
      <c r="P143"/>
      <c r="Q143"/>
      <c r="R143"/>
      <c r="S143"/>
      <c r="T143"/>
      <c r="U143"/>
      <c r="V143"/>
      <c r="W143"/>
      <c r="X143"/>
      <c r="Y143"/>
      <c r="Z143"/>
      <c r="AA143"/>
      <c r="AB143"/>
      <c r="AC143"/>
      <c r="AD143"/>
    </row>
    <row r="144" spans="1:30" s="45" customFormat="1" x14ac:dyDescent="0.2">
      <c r="A144"/>
      <c r="B144"/>
      <c r="C144"/>
      <c r="D144"/>
      <c r="E144"/>
      <c r="F144"/>
      <c r="G144"/>
      <c r="H144"/>
      <c r="I144"/>
      <c r="J144"/>
      <c r="K144"/>
      <c r="L144"/>
      <c r="M144"/>
      <c r="N144"/>
      <c r="O144"/>
      <c r="P144"/>
      <c r="Q144"/>
      <c r="R144"/>
      <c r="S144"/>
      <c r="T144"/>
      <c r="U144"/>
      <c r="V144"/>
      <c r="W144"/>
      <c r="X144"/>
      <c r="Y144"/>
      <c r="Z144"/>
      <c r="AA144"/>
      <c r="AB144"/>
      <c r="AC144"/>
      <c r="AD144"/>
    </row>
    <row r="145" spans="1:30" s="45" customFormat="1" x14ac:dyDescent="0.2">
      <c r="A145"/>
      <c r="B145"/>
      <c r="C145"/>
      <c r="D145"/>
      <c r="E145"/>
      <c r="F145"/>
      <c r="G145"/>
      <c r="H145"/>
      <c r="I145"/>
      <c r="J145"/>
      <c r="K145"/>
      <c r="L145"/>
      <c r="M145"/>
      <c r="N145"/>
      <c r="O145"/>
      <c r="P145"/>
      <c r="Q145"/>
      <c r="R145"/>
      <c r="S145"/>
      <c r="T145"/>
      <c r="U145"/>
      <c r="V145"/>
      <c r="W145"/>
      <c r="X145"/>
      <c r="Y145"/>
      <c r="Z145"/>
      <c r="AA145"/>
      <c r="AB145"/>
      <c r="AC145"/>
      <c r="AD145"/>
    </row>
    <row r="146" spans="1:30" s="45" customFormat="1" x14ac:dyDescent="0.2">
      <c r="A146"/>
      <c r="B146"/>
      <c r="C146"/>
      <c r="D146"/>
      <c r="E146"/>
      <c r="F146"/>
      <c r="G146"/>
      <c r="H146"/>
      <c r="I146"/>
      <c r="J146"/>
      <c r="K146"/>
      <c r="L146"/>
      <c r="M146"/>
      <c r="N146"/>
      <c r="O146"/>
      <c r="P146"/>
      <c r="Q146"/>
      <c r="R146"/>
      <c r="S146"/>
      <c r="T146"/>
      <c r="U146"/>
      <c r="V146"/>
      <c r="W146"/>
      <c r="X146"/>
      <c r="Y146"/>
      <c r="Z146"/>
      <c r="AA146"/>
      <c r="AB146"/>
      <c r="AC146"/>
      <c r="AD146"/>
    </row>
    <row r="147" spans="1:30" s="45" customFormat="1" x14ac:dyDescent="0.2">
      <c r="A147"/>
      <c r="B147"/>
      <c r="C147"/>
      <c r="D147"/>
      <c r="E147"/>
      <c r="F147"/>
      <c r="G147"/>
      <c r="H147"/>
      <c r="I147"/>
      <c r="J147"/>
      <c r="K147"/>
      <c r="L147"/>
      <c r="M147"/>
      <c r="N147"/>
      <c r="O147"/>
      <c r="P147"/>
      <c r="Q147"/>
      <c r="R147"/>
      <c r="S147"/>
      <c r="T147"/>
      <c r="U147"/>
      <c r="V147"/>
      <c r="W147"/>
      <c r="X147"/>
      <c r="Y147"/>
      <c r="Z147"/>
      <c r="AA147"/>
      <c r="AB147"/>
      <c r="AC147"/>
      <c r="AD147"/>
    </row>
    <row r="148" spans="1:30" s="45" customFormat="1" x14ac:dyDescent="0.2">
      <c r="A148"/>
      <c r="B148"/>
      <c r="C148"/>
      <c r="D148"/>
      <c r="E148"/>
      <c r="F148"/>
      <c r="G148"/>
      <c r="H148"/>
      <c r="I148"/>
      <c r="J148"/>
      <c r="K148"/>
      <c r="L148"/>
      <c r="M148"/>
      <c r="N148"/>
      <c r="O148"/>
      <c r="P148"/>
      <c r="Q148"/>
      <c r="R148"/>
      <c r="S148"/>
      <c r="T148"/>
      <c r="U148"/>
      <c r="V148"/>
      <c r="W148"/>
      <c r="X148"/>
      <c r="Y148"/>
      <c r="Z148"/>
      <c r="AA148"/>
      <c r="AB148"/>
      <c r="AC148"/>
      <c r="AD148"/>
    </row>
    <row r="149" spans="1:30" s="45" customFormat="1" x14ac:dyDescent="0.2">
      <c r="A149"/>
      <c r="B149"/>
      <c r="C149"/>
      <c r="D149"/>
      <c r="E149"/>
      <c r="F149"/>
      <c r="G149"/>
      <c r="H149"/>
      <c r="I149"/>
      <c r="J149"/>
      <c r="K149"/>
      <c r="L149"/>
      <c r="M149"/>
      <c r="N149"/>
      <c r="O149"/>
      <c r="P149"/>
      <c r="Q149"/>
      <c r="R149"/>
      <c r="S149"/>
      <c r="T149"/>
      <c r="U149"/>
      <c r="V149"/>
      <c r="W149"/>
      <c r="X149"/>
      <c r="Y149"/>
      <c r="Z149"/>
      <c r="AA149"/>
      <c r="AB149"/>
      <c r="AC149"/>
      <c r="AD149"/>
    </row>
    <row r="150" spans="1:30" s="45" customFormat="1" x14ac:dyDescent="0.2">
      <c r="A150"/>
      <c r="B150"/>
      <c r="C150"/>
      <c r="D150"/>
      <c r="E150"/>
      <c r="F150"/>
      <c r="G150"/>
      <c r="H150"/>
      <c r="I150"/>
      <c r="J150"/>
      <c r="K150"/>
      <c r="L150"/>
      <c r="M150"/>
      <c r="N150"/>
      <c r="O150"/>
      <c r="P150"/>
      <c r="Q150"/>
      <c r="R150"/>
      <c r="S150"/>
      <c r="T150"/>
      <c r="U150"/>
      <c r="V150"/>
      <c r="W150"/>
      <c r="X150"/>
      <c r="Y150"/>
      <c r="Z150"/>
      <c r="AA150"/>
      <c r="AB150"/>
      <c r="AC150"/>
      <c r="AD150"/>
    </row>
    <row r="151" spans="1:30" s="45" customFormat="1" x14ac:dyDescent="0.2">
      <c r="A151"/>
      <c r="B151"/>
      <c r="C151"/>
      <c r="D151"/>
      <c r="E151"/>
      <c r="F151"/>
      <c r="G151"/>
      <c r="H151"/>
      <c r="I151"/>
      <c r="J151"/>
      <c r="K151"/>
      <c r="L151"/>
      <c r="M151"/>
      <c r="N151"/>
      <c r="O151"/>
      <c r="P151"/>
      <c r="Q151"/>
      <c r="R151"/>
      <c r="S151"/>
      <c r="T151"/>
      <c r="U151"/>
      <c r="V151"/>
      <c r="W151"/>
      <c r="X151"/>
      <c r="Y151"/>
      <c r="Z151"/>
      <c r="AA151"/>
      <c r="AB151"/>
      <c r="AC151"/>
      <c r="AD151"/>
    </row>
    <row r="152" spans="1:30" s="45" customFormat="1" x14ac:dyDescent="0.2">
      <c r="A152"/>
      <c r="B152"/>
      <c r="C152"/>
      <c r="D152"/>
      <c r="E152"/>
      <c r="F152"/>
      <c r="G152"/>
      <c r="H152"/>
      <c r="I152"/>
      <c r="J152"/>
      <c r="K152"/>
      <c r="L152"/>
      <c r="M152"/>
      <c r="N152"/>
      <c r="O152"/>
      <c r="P152"/>
      <c r="Q152"/>
      <c r="R152"/>
      <c r="S152"/>
      <c r="T152"/>
      <c r="U152"/>
      <c r="V152"/>
      <c r="W152"/>
      <c r="X152"/>
      <c r="Y152"/>
      <c r="Z152"/>
      <c r="AA152"/>
      <c r="AB152"/>
      <c r="AC152"/>
      <c r="AD152"/>
    </row>
    <row r="153" spans="1:30" s="45" customFormat="1" x14ac:dyDescent="0.2">
      <c r="A153"/>
      <c r="B153"/>
      <c r="C153"/>
      <c r="D153"/>
      <c r="E153"/>
      <c r="F153"/>
      <c r="G153"/>
      <c r="H153"/>
      <c r="I153"/>
      <c r="J153"/>
      <c r="K153"/>
      <c r="L153"/>
      <c r="M153"/>
      <c r="N153"/>
      <c r="O153"/>
      <c r="P153"/>
      <c r="Q153"/>
      <c r="R153"/>
      <c r="S153"/>
      <c r="T153"/>
      <c r="U153"/>
      <c r="V153"/>
      <c r="W153"/>
      <c r="X153"/>
      <c r="Y153"/>
      <c r="Z153"/>
      <c r="AA153"/>
      <c r="AB153"/>
      <c r="AC153"/>
      <c r="AD153"/>
    </row>
    <row r="154" spans="1:30" s="45" customFormat="1" x14ac:dyDescent="0.2">
      <c r="A154"/>
      <c r="B154"/>
      <c r="C154"/>
      <c r="D154"/>
      <c r="E154"/>
      <c r="F154"/>
      <c r="G154"/>
      <c r="H154"/>
      <c r="I154"/>
      <c r="J154"/>
      <c r="K154"/>
      <c r="L154"/>
      <c r="M154"/>
      <c r="N154"/>
      <c r="O154"/>
      <c r="P154"/>
      <c r="Q154"/>
      <c r="R154"/>
      <c r="S154"/>
      <c r="T154"/>
      <c r="U154"/>
      <c r="V154"/>
      <c r="W154"/>
      <c r="X154"/>
      <c r="Y154"/>
      <c r="Z154"/>
      <c r="AA154"/>
      <c r="AB154"/>
      <c r="AC154"/>
      <c r="AD154"/>
    </row>
    <row r="155" spans="1:30" s="45" customFormat="1" x14ac:dyDescent="0.2">
      <c r="A155"/>
      <c r="B155"/>
      <c r="C155"/>
      <c r="D155"/>
      <c r="E155"/>
      <c r="F155"/>
      <c r="G155"/>
      <c r="H155"/>
      <c r="I155"/>
      <c r="J155"/>
      <c r="K155"/>
      <c r="L155"/>
      <c r="M155"/>
      <c r="N155"/>
      <c r="O155"/>
      <c r="P155"/>
      <c r="Q155"/>
      <c r="R155"/>
      <c r="S155"/>
      <c r="T155"/>
      <c r="U155"/>
      <c r="V155"/>
      <c r="W155"/>
      <c r="X155"/>
      <c r="Y155"/>
      <c r="Z155"/>
      <c r="AA155"/>
      <c r="AB155"/>
      <c r="AC155"/>
      <c r="AD155"/>
    </row>
    <row r="156" spans="1:30" s="45" customFormat="1" x14ac:dyDescent="0.2">
      <c r="A156"/>
      <c r="B156"/>
      <c r="C156"/>
      <c r="D156"/>
      <c r="E156"/>
      <c r="F156"/>
      <c r="G156"/>
      <c r="H156"/>
      <c r="I156"/>
      <c r="J156"/>
      <c r="K156"/>
      <c r="L156"/>
      <c r="M156"/>
      <c r="N156"/>
      <c r="O156"/>
      <c r="P156"/>
      <c r="Q156"/>
      <c r="R156"/>
      <c r="S156"/>
      <c r="T156"/>
      <c r="U156"/>
      <c r="V156"/>
      <c r="W156"/>
      <c r="X156"/>
      <c r="Y156"/>
      <c r="Z156"/>
      <c r="AA156"/>
      <c r="AB156"/>
      <c r="AC156"/>
      <c r="AD156"/>
    </row>
    <row r="157" spans="1:30" s="45" customFormat="1" x14ac:dyDescent="0.2">
      <c r="A157"/>
      <c r="B157"/>
      <c r="C157"/>
      <c r="D157"/>
      <c r="E157"/>
      <c r="F157"/>
      <c r="G157"/>
      <c r="H157"/>
      <c r="I157"/>
      <c r="J157"/>
      <c r="K157"/>
      <c r="L157"/>
      <c r="M157"/>
      <c r="N157"/>
      <c r="O157"/>
      <c r="P157"/>
      <c r="Q157"/>
      <c r="R157"/>
      <c r="S157"/>
      <c r="T157"/>
      <c r="U157"/>
      <c r="V157"/>
      <c r="W157"/>
      <c r="X157"/>
      <c r="Y157"/>
      <c r="Z157"/>
      <c r="AA157"/>
      <c r="AB157"/>
      <c r="AC157"/>
      <c r="AD157"/>
    </row>
    <row r="158" spans="1:30" s="45" customFormat="1" x14ac:dyDescent="0.2">
      <c r="A158"/>
      <c r="B158"/>
      <c r="C158"/>
      <c r="D158"/>
      <c r="E158"/>
      <c r="F158"/>
      <c r="G158"/>
      <c r="H158"/>
      <c r="I158"/>
      <c r="J158"/>
      <c r="K158"/>
      <c r="L158"/>
      <c r="M158"/>
      <c r="N158"/>
      <c r="O158"/>
      <c r="P158"/>
      <c r="Q158"/>
      <c r="R158"/>
      <c r="S158"/>
      <c r="T158"/>
      <c r="U158"/>
      <c r="V158"/>
      <c r="W158"/>
      <c r="X158"/>
      <c r="Y158"/>
      <c r="Z158"/>
      <c r="AA158"/>
      <c r="AB158"/>
      <c r="AC158"/>
      <c r="AD158"/>
    </row>
    <row r="159" spans="1:30" s="45" customFormat="1" x14ac:dyDescent="0.2">
      <c r="A159"/>
      <c r="B159"/>
      <c r="C159"/>
      <c r="D159"/>
      <c r="E159"/>
      <c r="F159"/>
      <c r="G159"/>
      <c r="H159"/>
      <c r="I159"/>
      <c r="J159"/>
      <c r="K159"/>
      <c r="L159"/>
      <c r="M159"/>
      <c r="N159"/>
      <c r="O159"/>
      <c r="P159"/>
      <c r="Q159"/>
      <c r="R159"/>
      <c r="S159"/>
      <c r="T159"/>
      <c r="U159"/>
      <c r="V159"/>
      <c r="W159"/>
      <c r="X159"/>
      <c r="Y159"/>
      <c r="Z159"/>
      <c r="AA159"/>
      <c r="AB159"/>
      <c r="AC159"/>
      <c r="AD159"/>
    </row>
    <row r="160" spans="1:30" s="45" customFormat="1" x14ac:dyDescent="0.2">
      <c r="A160"/>
      <c r="B160"/>
      <c r="C160"/>
      <c r="D160"/>
      <c r="E160"/>
      <c r="F160"/>
      <c r="G160"/>
      <c r="H160"/>
      <c r="I160"/>
      <c r="J160"/>
      <c r="K160"/>
      <c r="L160"/>
      <c r="M160"/>
      <c r="N160"/>
      <c r="O160"/>
      <c r="P160"/>
      <c r="Q160"/>
      <c r="R160"/>
      <c r="S160"/>
      <c r="T160"/>
      <c r="U160"/>
      <c r="V160"/>
      <c r="W160"/>
      <c r="X160"/>
      <c r="Y160"/>
      <c r="Z160"/>
      <c r="AA160"/>
      <c r="AB160"/>
      <c r="AC160"/>
      <c r="AD160"/>
    </row>
    <row r="161" spans="1:30" s="45" customFormat="1" x14ac:dyDescent="0.2">
      <c r="A161"/>
      <c r="B161"/>
      <c r="C161"/>
      <c r="D161"/>
      <c r="E161"/>
      <c r="F161"/>
      <c r="G161"/>
      <c r="H161"/>
      <c r="I161"/>
      <c r="J161"/>
      <c r="K161"/>
      <c r="L161"/>
      <c r="M161"/>
      <c r="N161"/>
      <c r="O161"/>
      <c r="P161"/>
      <c r="Q161"/>
      <c r="R161"/>
      <c r="S161"/>
      <c r="T161"/>
      <c r="U161"/>
      <c r="V161"/>
      <c r="W161"/>
      <c r="X161"/>
      <c r="Y161"/>
      <c r="Z161"/>
      <c r="AA161"/>
      <c r="AB161"/>
      <c r="AC161"/>
      <c r="AD161"/>
    </row>
    <row r="162" spans="1:30" s="45" customFormat="1" x14ac:dyDescent="0.2">
      <c r="A162"/>
      <c r="B162"/>
      <c r="C162"/>
      <c r="D162"/>
      <c r="E162"/>
      <c r="F162"/>
      <c r="G162"/>
      <c r="H162"/>
      <c r="I162"/>
      <c r="J162"/>
      <c r="K162"/>
      <c r="L162"/>
      <c r="M162"/>
      <c r="N162"/>
      <c r="O162"/>
      <c r="P162"/>
      <c r="Q162"/>
      <c r="R162"/>
      <c r="S162"/>
      <c r="T162"/>
      <c r="U162"/>
      <c r="V162"/>
      <c r="W162"/>
      <c r="X162"/>
      <c r="Y162"/>
      <c r="Z162"/>
      <c r="AA162"/>
      <c r="AB162"/>
      <c r="AC162"/>
      <c r="AD162"/>
    </row>
    <row r="163" spans="1:30" s="45" customFormat="1" x14ac:dyDescent="0.2">
      <c r="A163"/>
      <c r="B163"/>
      <c r="C163"/>
      <c r="D163"/>
      <c r="E163"/>
      <c r="F163"/>
      <c r="G163"/>
      <c r="H163"/>
      <c r="I163"/>
      <c r="J163"/>
      <c r="K163"/>
      <c r="L163"/>
      <c r="M163"/>
      <c r="N163"/>
      <c r="O163"/>
      <c r="P163"/>
      <c r="Q163"/>
      <c r="R163"/>
      <c r="S163"/>
      <c r="T163"/>
      <c r="U163"/>
      <c r="V163"/>
      <c r="W163"/>
      <c r="X163"/>
      <c r="Y163"/>
      <c r="Z163"/>
      <c r="AA163"/>
      <c r="AB163"/>
      <c r="AC163"/>
      <c r="AD163"/>
    </row>
    <row r="164" spans="1:30" s="45" customFormat="1" x14ac:dyDescent="0.2">
      <c r="A164"/>
      <c r="B164"/>
      <c r="C164"/>
      <c r="D164"/>
      <c r="E164"/>
      <c r="F164"/>
      <c r="G164"/>
      <c r="H164"/>
      <c r="I164"/>
      <c r="J164"/>
      <c r="K164"/>
      <c r="L164"/>
      <c r="M164"/>
      <c r="N164"/>
      <c r="O164"/>
      <c r="P164"/>
      <c r="Q164"/>
      <c r="R164"/>
      <c r="S164"/>
      <c r="T164"/>
      <c r="U164"/>
      <c r="V164"/>
      <c r="W164"/>
      <c r="X164"/>
      <c r="Y164"/>
      <c r="Z164"/>
      <c r="AA164"/>
      <c r="AB164"/>
      <c r="AC164"/>
      <c r="AD164"/>
    </row>
    <row r="165" spans="1:30" s="45" customFormat="1" x14ac:dyDescent="0.2">
      <c r="A165"/>
      <c r="B165"/>
      <c r="C165"/>
      <c r="D165"/>
      <c r="E165"/>
      <c r="F165"/>
      <c r="G165"/>
      <c r="H165"/>
      <c r="I165"/>
      <c r="J165"/>
      <c r="K165"/>
      <c r="L165"/>
      <c r="M165"/>
      <c r="N165"/>
      <c r="O165"/>
      <c r="P165"/>
      <c r="Q165"/>
      <c r="R165"/>
      <c r="S165"/>
      <c r="T165"/>
      <c r="U165"/>
      <c r="V165"/>
      <c r="W165"/>
      <c r="X165"/>
      <c r="Y165"/>
      <c r="Z165"/>
      <c r="AA165"/>
      <c r="AB165"/>
      <c r="AC165"/>
      <c r="AD165"/>
    </row>
    <row r="166" spans="1:30" s="45" customFormat="1" x14ac:dyDescent="0.2">
      <c r="A166"/>
      <c r="B166"/>
      <c r="C166"/>
      <c r="D166"/>
      <c r="E166"/>
      <c r="F166"/>
      <c r="G166"/>
      <c r="H166"/>
      <c r="I166"/>
      <c r="J166"/>
      <c r="K166"/>
      <c r="L166"/>
      <c r="M166"/>
      <c r="N166"/>
      <c r="O166"/>
      <c r="P166"/>
      <c r="Q166"/>
      <c r="R166"/>
      <c r="S166"/>
      <c r="T166"/>
      <c r="U166"/>
      <c r="V166"/>
      <c r="W166"/>
      <c r="X166"/>
      <c r="Y166"/>
      <c r="Z166"/>
      <c r="AA166"/>
      <c r="AB166"/>
      <c r="AC166"/>
      <c r="AD166"/>
    </row>
    <row r="167" spans="1:30" s="45" customFormat="1" x14ac:dyDescent="0.2">
      <c r="A167"/>
      <c r="B167"/>
      <c r="C167"/>
      <c r="D167"/>
      <c r="E167"/>
      <c r="F167"/>
      <c r="G167"/>
      <c r="H167"/>
      <c r="I167"/>
      <c r="J167"/>
      <c r="K167"/>
      <c r="L167"/>
      <c r="M167"/>
      <c r="N167"/>
      <c r="O167"/>
      <c r="P167"/>
      <c r="Q167"/>
      <c r="R167"/>
      <c r="S167"/>
      <c r="T167"/>
      <c r="U167"/>
      <c r="V167"/>
      <c r="W167"/>
      <c r="X167"/>
      <c r="Y167"/>
      <c r="Z167"/>
      <c r="AA167"/>
      <c r="AB167"/>
      <c r="AC167"/>
      <c r="AD167"/>
    </row>
    <row r="168" spans="1:30" s="45" customFormat="1" x14ac:dyDescent="0.2">
      <c r="A168"/>
      <c r="B168"/>
      <c r="C168"/>
      <c r="D168"/>
      <c r="E168"/>
      <c r="F168"/>
      <c r="G168"/>
      <c r="H168"/>
      <c r="I168"/>
      <c r="J168"/>
      <c r="K168"/>
      <c r="L168"/>
      <c r="M168"/>
      <c r="N168"/>
      <c r="O168"/>
      <c r="P168"/>
      <c r="Q168"/>
      <c r="R168"/>
      <c r="S168"/>
      <c r="T168"/>
      <c r="U168"/>
      <c r="V168"/>
      <c r="W168"/>
      <c r="X168"/>
      <c r="Y168"/>
      <c r="Z168"/>
      <c r="AA168"/>
      <c r="AB168"/>
      <c r="AC168"/>
      <c r="AD168"/>
    </row>
    <row r="169" spans="1:30" s="45" customFormat="1" x14ac:dyDescent="0.2">
      <c r="A169"/>
      <c r="B169"/>
      <c r="C169"/>
      <c r="D169"/>
      <c r="E169"/>
      <c r="F169"/>
      <c r="G169"/>
      <c r="H169"/>
      <c r="I169"/>
      <c r="J169"/>
      <c r="K169"/>
      <c r="L169"/>
      <c r="M169"/>
      <c r="N169"/>
      <c r="O169"/>
      <c r="P169"/>
      <c r="Q169"/>
      <c r="R169"/>
      <c r="S169"/>
      <c r="T169"/>
      <c r="U169"/>
      <c r="V169"/>
      <c r="W169"/>
      <c r="X169"/>
      <c r="Y169"/>
      <c r="Z169"/>
      <c r="AA169"/>
      <c r="AB169"/>
      <c r="AC169"/>
      <c r="AD169"/>
    </row>
    <row r="170" spans="1:30" s="45" customFormat="1" x14ac:dyDescent="0.2">
      <c r="A170"/>
      <c r="B170"/>
      <c r="C170"/>
      <c r="D170"/>
      <c r="E170"/>
      <c r="F170"/>
      <c r="G170"/>
      <c r="H170"/>
      <c r="I170"/>
      <c r="J170"/>
      <c r="K170"/>
      <c r="L170"/>
      <c r="M170"/>
      <c r="N170"/>
      <c r="O170"/>
      <c r="P170"/>
      <c r="Q170"/>
      <c r="R170"/>
      <c r="S170"/>
      <c r="T170"/>
      <c r="U170"/>
      <c r="V170"/>
      <c r="W170"/>
      <c r="X170"/>
      <c r="Y170"/>
      <c r="Z170"/>
      <c r="AA170"/>
      <c r="AB170"/>
      <c r="AC170"/>
      <c r="AD170"/>
    </row>
    <row r="171" spans="1:30" x14ac:dyDescent="0.2">
      <c r="A171"/>
      <c r="B171"/>
      <c r="C171"/>
    </row>
    <row r="172" spans="1:30" x14ac:dyDescent="0.2">
      <c r="A172"/>
      <c r="B172"/>
      <c r="C172"/>
    </row>
    <row r="173" spans="1:30" x14ac:dyDescent="0.2">
      <c r="A173"/>
      <c r="B173"/>
      <c r="C173"/>
    </row>
    <row r="174" spans="1:30" s="45" customFormat="1" x14ac:dyDescent="0.2">
      <c r="A174"/>
      <c r="B174"/>
      <c r="C174"/>
      <c r="D174"/>
      <c r="E174"/>
      <c r="F174"/>
      <c r="G174"/>
      <c r="H174"/>
      <c r="I174"/>
      <c r="J174"/>
      <c r="K174"/>
      <c r="L174"/>
      <c r="M174"/>
      <c r="N174"/>
      <c r="O174"/>
      <c r="P174"/>
      <c r="Q174"/>
      <c r="R174"/>
      <c r="S174"/>
      <c r="T174"/>
      <c r="U174"/>
      <c r="V174"/>
      <c r="W174"/>
      <c r="X174"/>
      <c r="Y174"/>
      <c r="Z174"/>
      <c r="AA174"/>
      <c r="AB174"/>
      <c r="AC174"/>
      <c r="AD174"/>
    </row>
    <row r="175" spans="1:30" s="45" customFormat="1" x14ac:dyDescent="0.2">
      <c r="A175"/>
      <c r="B175"/>
      <c r="C175"/>
      <c r="D175"/>
      <c r="E175"/>
      <c r="F175"/>
      <c r="G175"/>
      <c r="H175"/>
      <c r="I175"/>
      <c r="J175"/>
      <c r="K175"/>
      <c r="L175"/>
      <c r="M175"/>
      <c r="N175"/>
      <c r="O175"/>
      <c r="P175"/>
      <c r="Q175"/>
      <c r="R175"/>
      <c r="S175"/>
      <c r="T175"/>
      <c r="U175"/>
      <c r="V175"/>
      <c r="W175"/>
      <c r="X175"/>
      <c r="Y175"/>
      <c r="Z175"/>
      <c r="AA175"/>
      <c r="AB175"/>
      <c r="AC175"/>
      <c r="AD175"/>
    </row>
    <row r="176" spans="1:30" s="45" customFormat="1" x14ac:dyDescent="0.2">
      <c r="A176"/>
      <c r="B176"/>
      <c r="C176"/>
      <c r="D176"/>
      <c r="E176"/>
      <c r="F176"/>
      <c r="G176"/>
      <c r="H176"/>
      <c r="I176"/>
      <c r="J176"/>
      <c r="K176"/>
      <c r="L176"/>
      <c r="M176"/>
      <c r="N176"/>
      <c r="O176"/>
      <c r="P176"/>
      <c r="Q176"/>
      <c r="R176"/>
      <c r="S176"/>
      <c r="T176"/>
      <c r="U176"/>
      <c r="V176"/>
      <c r="W176"/>
      <c r="X176"/>
      <c r="Y176"/>
      <c r="Z176"/>
      <c r="AA176"/>
      <c r="AB176"/>
      <c r="AC176"/>
      <c r="AD176"/>
    </row>
    <row r="177" spans="1:30" s="45" customFormat="1" x14ac:dyDescent="0.2">
      <c r="A177"/>
      <c r="B177"/>
      <c r="C177"/>
      <c r="D177"/>
      <c r="E177"/>
      <c r="F177"/>
      <c r="G177"/>
      <c r="H177"/>
      <c r="I177"/>
      <c r="J177"/>
      <c r="K177"/>
      <c r="L177"/>
      <c r="M177"/>
      <c r="N177"/>
      <c r="O177"/>
      <c r="P177"/>
      <c r="Q177"/>
      <c r="R177"/>
      <c r="S177"/>
      <c r="T177"/>
      <c r="U177"/>
      <c r="V177"/>
      <c r="W177"/>
      <c r="X177"/>
      <c r="Y177"/>
      <c r="Z177"/>
      <c r="AA177"/>
      <c r="AB177"/>
      <c r="AC177"/>
      <c r="AD177"/>
    </row>
    <row r="178" spans="1:30" s="45" customFormat="1" x14ac:dyDescent="0.2">
      <c r="A178"/>
      <c r="B178"/>
      <c r="C178"/>
      <c r="D178"/>
      <c r="E178"/>
      <c r="F178"/>
      <c r="G178"/>
      <c r="H178"/>
      <c r="I178"/>
      <c r="J178"/>
      <c r="K178"/>
      <c r="L178"/>
      <c r="M178"/>
      <c r="N178"/>
      <c r="O178"/>
      <c r="P178"/>
      <c r="Q178"/>
      <c r="R178"/>
      <c r="S178"/>
      <c r="T178"/>
      <c r="U178"/>
      <c r="V178"/>
      <c r="W178"/>
      <c r="X178"/>
      <c r="Y178"/>
      <c r="Z178"/>
      <c r="AA178"/>
      <c r="AB178"/>
      <c r="AC178"/>
      <c r="AD178"/>
    </row>
    <row r="179" spans="1:30" s="45" customFormat="1" x14ac:dyDescent="0.2">
      <c r="A179"/>
      <c r="B179"/>
      <c r="C179"/>
      <c r="D179"/>
      <c r="E179"/>
      <c r="F179"/>
      <c r="G179"/>
      <c r="H179"/>
      <c r="I179"/>
      <c r="J179"/>
      <c r="K179"/>
      <c r="L179"/>
      <c r="M179"/>
      <c r="N179"/>
      <c r="O179"/>
      <c r="P179"/>
      <c r="Q179"/>
      <c r="R179"/>
      <c r="S179"/>
      <c r="T179"/>
      <c r="U179"/>
      <c r="V179"/>
      <c r="W179"/>
      <c r="X179"/>
      <c r="Y179"/>
      <c r="Z179"/>
      <c r="AA179"/>
      <c r="AB179"/>
      <c r="AC179"/>
      <c r="AD179"/>
    </row>
    <row r="180" spans="1:30" s="45" customFormat="1" x14ac:dyDescent="0.2">
      <c r="A180"/>
      <c r="B180"/>
      <c r="C180"/>
      <c r="D180"/>
      <c r="E180"/>
      <c r="F180"/>
      <c r="G180"/>
      <c r="H180"/>
      <c r="I180"/>
      <c r="J180"/>
      <c r="K180"/>
      <c r="L180"/>
      <c r="M180"/>
      <c r="N180"/>
      <c r="O180"/>
      <c r="P180"/>
      <c r="Q180"/>
      <c r="R180"/>
      <c r="S180"/>
      <c r="T180"/>
      <c r="U180"/>
      <c r="V180"/>
      <c r="W180"/>
      <c r="X180"/>
      <c r="Y180"/>
      <c r="Z180"/>
      <c r="AA180"/>
      <c r="AB180"/>
      <c r="AC180"/>
      <c r="AD180"/>
    </row>
    <row r="181" spans="1:30" s="45" customFormat="1" x14ac:dyDescent="0.2">
      <c r="A181"/>
      <c r="B181"/>
      <c r="C181"/>
      <c r="D181"/>
      <c r="E181"/>
      <c r="F181"/>
      <c r="G181"/>
      <c r="H181"/>
      <c r="I181"/>
      <c r="J181"/>
      <c r="K181"/>
      <c r="L181"/>
      <c r="M181"/>
      <c r="N181"/>
      <c r="O181"/>
      <c r="P181"/>
      <c r="Q181"/>
      <c r="R181"/>
      <c r="S181"/>
      <c r="T181"/>
      <c r="U181"/>
      <c r="V181"/>
      <c r="W181"/>
      <c r="X181"/>
      <c r="Y181"/>
      <c r="Z181"/>
      <c r="AA181"/>
      <c r="AB181"/>
      <c r="AC181"/>
      <c r="AD181"/>
    </row>
    <row r="182" spans="1:30" s="45" customFormat="1" x14ac:dyDescent="0.2">
      <c r="A182"/>
      <c r="B182"/>
      <c r="C182"/>
      <c r="D182"/>
      <c r="E182"/>
      <c r="F182"/>
      <c r="G182"/>
      <c r="H182"/>
      <c r="I182"/>
      <c r="J182"/>
      <c r="K182"/>
      <c r="L182"/>
      <c r="M182"/>
      <c r="N182"/>
      <c r="O182"/>
      <c r="P182"/>
      <c r="Q182"/>
      <c r="R182"/>
      <c r="S182"/>
      <c r="T182"/>
      <c r="U182"/>
      <c r="V182"/>
      <c r="W182"/>
      <c r="X182"/>
      <c r="Y182"/>
      <c r="Z182"/>
      <c r="AA182"/>
      <c r="AB182"/>
      <c r="AC182"/>
      <c r="AD182"/>
    </row>
    <row r="183" spans="1:30" s="45" customFormat="1" x14ac:dyDescent="0.2">
      <c r="A183"/>
      <c r="B183"/>
      <c r="C183"/>
      <c r="D183"/>
      <c r="E183"/>
      <c r="F183"/>
      <c r="G183"/>
      <c r="H183"/>
      <c r="I183"/>
      <c r="J183"/>
      <c r="K183"/>
      <c r="L183"/>
      <c r="M183"/>
      <c r="N183"/>
      <c r="O183"/>
      <c r="P183"/>
      <c r="Q183"/>
      <c r="R183"/>
      <c r="S183"/>
      <c r="T183"/>
      <c r="U183"/>
      <c r="V183"/>
      <c r="W183"/>
      <c r="X183"/>
      <c r="Y183"/>
      <c r="Z183"/>
      <c r="AA183"/>
      <c r="AB183"/>
      <c r="AC183"/>
      <c r="AD183"/>
    </row>
    <row r="184" spans="1:30" s="45" customFormat="1" x14ac:dyDescent="0.2">
      <c r="A184"/>
      <c r="B184"/>
      <c r="C184"/>
      <c r="D184"/>
      <c r="E184"/>
      <c r="F184"/>
      <c r="G184"/>
      <c r="H184"/>
      <c r="I184"/>
      <c r="J184"/>
      <c r="K184"/>
      <c r="L184"/>
      <c r="M184"/>
      <c r="N184"/>
      <c r="O184"/>
      <c r="P184"/>
      <c r="Q184"/>
      <c r="R184"/>
      <c r="S184"/>
      <c r="T184"/>
      <c r="U184"/>
      <c r="V184"/>
      <c r="W184"/>
      <c r="X184"/>
      <c r="Y184"/>
      <c r="Z184"/>
      <c r="AA184"/>
      <c r="AB184"/>
      <c r="AC184"/>
      <c r="AD184"/>
    </row>
    <row r="185" spans="1:30" s="45" customFormat="1" x14ac:dyDescent="0.2">
      <c r="A185"/>
      <c r="B185"/>
      <c r="C185"/>
      <c r="D185"/>
      <c r="E185"/>
      <c r="F185"/>
      <c r="G185"/>
      <c r="H185"/>
      <c r="I185"/>
      <c r="J185"/>
      <c r="K185"/>
      <c r="L185"/>
      <c r="M185"/>
      <c r="N185"/>
      <c r="O185"/>
      <c r="P185"/>
      <c r="Q185"/>
      <c r="R185"/>
      <c r="S185"/>
      <c r="T185"/>
      <c r="U185"/>
      <c r="V185"/>
      <c r="W185"/>
      <c r="X185"/>
      <c r="Y185"/>
      <c r="Z185"/>
      <c r="AA185"/>
      <c r="AB185"/>
      <c r="AC185"/>
      <c r="AD185"/>
    </row>
    <row r="186" spans="1:30" s="45" customFormat="1" x14ac:dyDescent="0.2">
      <c r="A186"/>
      <c r="B186"/>
      <c r="C186"/>
      <c r="D186"/>
      <c r="E186"/>
      <c r="F186"/>
      <c r="G186"/>
      <c r="H186"/>
      <c r="I186"/>
      <c r="J186"/>
      <c r="K186"/>
      <c r="L186"/>
      <c r="M186"/>
      <c r="N186"/>
      <c r="O186"/>
      <c r="P186"/>
      <c r="Q186"/>
      <c r="R186"/>
      <c r="S186"/>
      <c r="T186"/>
      <c r="U186"/>
      <c r="V186"/>
      <c r="W186"/>
      <c r="X186"/>
      <c r="Y186"/>
      <c r="Z186"/>
      <c r="AA186"/>
      <c r="AB186"/>
      <c r="AC186"/>
      <c r="AD186"/>
    </row>
    <row r="187" spans="1:30" s="45" customFormat="1" x14ac:dyDescent="0.2">
      <c r="A187"/>
      <c r="B187"/>
      <c r="C187"/>
      <c r="D187"/>
      <c r="E187"/>
      <c r="F187"/>
      <c r="G187"/>
      <c r="H187"/>
      <c r="I187"/>
      <c r="J187"/>
      <c r="K187"/>
      <c r="L187"/>
      <c r="M187"/>
      <c r="N187"/>
      <c r="O187"/>
      <c r="P187"/>
      <c r="Q187"/>
      <c r="R187"/>
      <c r="S187"/>
      <c r="T187"/>
      <c r="U187"/>
      <c r="V187"/>
      <c r="W187"/>
      <c r="X187"/>
      <c r="Y187"/>
      <c r="Z187"/>
      <c r="AA187"/>
      <c r="AB187"/>
      <c r="AC187"/>
      <c r="AD187"/>
    </row>
    <row r="188" spans="1:30" s="45" customFormat="1" x14ac:dyDescent="0.2">
      <c r="A188"/>
      <c r="B188"/>
      <c r="C188"/>
      <c r="D188"/>
      <c r="E188"/>
      <c r="F188"/>
      <c r="G188"/>
      <c r="H188"/>
      <c r="I188"/>
      <c r="J188"/>
      <c r="K188"/>
      <c r="L188"/>
      <c r="M188"/>
      <c r="N188"/>
      <c r="O188"/>
      <c r="P188"/>
      <c r="Q188"/>
      <c r="R188"/>
      <c r="S188"/>
      <c r="T188"/>
      <c r="U188"/>
      <c r="V188"/>
      <c r="W188"/>
      <c r="X188"/>
      <c r="Y188"/>
      <c r="Z188"/>
      <c r="AA188"/>
      <c r="AB188"/>
      <c r="AC188"/>
      <c r="AD188"/>
    </row>
    <row r="189" spans="1:30" s="45" customFormat="1" x14ac:dyDescent="0.2">
      <c r="A189"/>
      <c r="B189"/>
      <c r="C189"/>
      <c r="D189"/>
      <c r="E189"/>
      <c r="F189"/>
      <c r="G189"/>
      <c r="H189"/>
      <c r="I189"/>
      <c r="J189"/>
      <c r="K189"/>
      <c r="L189"/>
      <c r="M189"/>
      <c r="N189"/>
      <c r="O189"/>
      <c r="P189"/>
      <c r="Q189"/>
      <c r="R189"/>
      <c r="S189"/>
      <c r="T189"/>
      <c r="U189"/>
      <c r="V189"/>
      <c r="W189"/>
      <c r="X189"/>
      <c r="Y189"/>
      <c r="Z189"/>
      <c r="AA189"/>
      <c r="AB189"/>
      <c r="AC189"/>
      <c r="AD189"/>
    </row>
    <row r="190" spans="1:30" s="45" customFormat="1" x14ac:dyDescent="0.2">
      <c r="A190"/>
      <c r="B190"/>
      <c r="C190"/>
      <c r="D190"/>
      <c r="E190"/>
      <c r="F190"/>
      <c r="G190"/>
      <c r="H190"/>
      <c r="I190"/>
      <c r="J190"/>
      <c r="K190"/>
      <c r="L190"/>
      <c r="M190"/>
      <c r="N190"/>
      <c r="O190"/>
      <c r="P190"/>
      <c r="Q190"/>
      <c r="R190"/>
      <c r="S190"/>
      <c r="T190"/>
      <c r="U190"/>
      <c r="V190"/>
      <c r="W190"/>
      <c r="X190"/>
      <c r="Y190"/>
      <c r="Z190"/>
      <c r="AA190"/>
      <c r="AB190"/>
      <c r="AC190"/>
      <c r="AD190"/>
    </row>
    <row r="191" spans="1:30" s="45" customFormat="1" x14ac:dyDescent="0.2">
      <c r="A191"/>
      <c r="B191"/>
      <c r="C191"/>
      <c r="D191"/>
      <c r="E191"/>
      <c r="F191"/>
      <c r="G191"/>
      <c r="H191"/>
      <c r="I191"/>
      <c r="J191"/>
      <c r="K191"/>
      <c r="L191"/>
      <c r="M191"/>
      <c r="N191"/>
      <c r="O191"/>
      <c r="P191"/>
      <c r="Q191"/>
      <c r="R191"/>
      <c r="S191"/>
      <c r="T191"/>
      <c r="U191"/>
      <c r="V191"/>
      <c r="W191"/>
      <c r="X191"/>
      <c r="Y191"/>
      <c r="Z191"/>
      <c r="AA191"/>
      <c r="AB191"/>
      <c r="AC191"/>
      <c r="AD191"/>
    </row>
    <row r="192" spans="1:30" s="45" customFormat="1" x14ac:dyDescent="0.2">
      <c r="A192"/>
      <c r="B192"/>
      <c r="C192"/>
      <c r="D192"/>
      <c r="E192"/>
      <c r="F192"/>
      <c r="G192"/>
      <c r="H192"/>
      <c r="I192"/>
      <c r="J192"/>
      <c r="K192"/>
      <c r="L192"/>
      <c r="M192"/>
      <c r="N192"/>
      <c r="O192"/>
      <c r="P192"/>
      <c r="Q192"/>
      <c r="R192"/>
      <c r="S192"/>
      <c r="T192"/>
      <c r="U192"/>
      <c r="V192"/>
      <c r="W192"/>
      <c r="X192"/>
      <c r="Y192"/>
      <c r="Z192"/>
      <c r="AA192"/>
      <c r="AB192"/>
      <c r="AC192"/>
      <c r="AD192"/>
    </row>
    <row r="193" spans="1:30" s="45" customFormat="1" x14ac:dyDescent="0.2">
      <c r="A193"/>
      <c r="B193"/>
      <c r="C193"/>
      <c r="D193"/>
      <c r="E193"/>
      <c r="F193"/>
      <c r="G193"/>
      <c r="H193"/>
      <c r="I193"/>
      <c r="J193"/>
      <c r="K193"/>
      <c r="L193"/>
      <c r="M193"/>
      <c r="N193"/>
      <c r="O193"/>
      <c r="P193"/>
      <c r="Q193"/>
      <c r="R193"/>
      <c r="S193"/>
      <c r="T193"/>
      <c r="U193"/>
      <c r="V193"/>
      <c r="W193"/>
      <c r="X193"/>
      <c r="Y193"/>
      <c r="Z193"/>
      <c r="AA193"/>
      <c r="AB193"/>
      <c r="AC193"/>
      <c r="AD193"/>
    </row>
    <row r="194" spans="1:30" x14ac:dyDescent="0.2">
      <c r="A194"/>
      <c r="B194"/>
      <c r="C194"/>
    </row>
    <row r="195" spans="1:30" x14ac:dyDescent="0.2">
      <c r="A195"/>
      <c r="B195"/>
      <c r="C195"/>
    </row>
    <row r="196" spans="1:30" x14ac:dyDescent="0.2">
      <c r="A196"/>
      <c r="B196"/>
      <c r="C196"/>
    </row>
    <row r="197" spans="1:30" x14ac:dyDescent="0.2">
      <c r="A197"/>
      <c r="B197"/>
      <c r="C197"/>
    </row>
    <row r="198" spans="1:30" x14ac:dyDescent="0.2">
      <c r="A198"/>
      <c r="B198"/>
      <c r="C198"/>
    </row>
    <row r="199" spans="1:30" x14ac:dyDescent="0.2">
      <c r="A199"/>
      <c r="B199"/>
      <c r="C199"/>
    </row>
    <row r="200" spans="1:30" x14ac:dyDescent="0.2">
      <c r="A200"/>
      <c r="B200"/>
      <c r="C200"/>
    </row>
    <row r="201" spans="1:30" x14ac:dyDescent="0.2">
      <c r="A201"/>
      <c r="B201"/>
      <c r="C201"/>
    </row>
    <row r="202" spans="1:30" x14ac:dyDescent="0.2">
      <c r="A202"/>
      <c r="B202"/>
      <c r="C202"/>
    </row>
    <row r="203" spans="1:30" x14ac:dyDescent="0.2">
      <c r="A203"/>
      <c r="B203"/>
      <c r="C203"/>
    </row>
    <row r="204" spans="1:30" x14ac:dyDescent="0.2">
      <c r="A204"/>
      <c r="B204"/>
      <c r="C204"/>
    </row>
    <row r="205" spans="1:30" x14ac:dyDescent="0.2">
      <c r="A205"/>
      <c r="B205"/>
      <c r="C205"/>
    </row>
    <row r="206" spans="1:30" x14ac:dyDescent="0.2">
      <c r="A206"/>
      <c r="B206"/>
      <c r="C206"/>
    </row>
    <row r="207" spans="1:30" x14ac:dyDescent="0.2">
      <c r="A207"/>
      <c r="B207"/>
      <c r="C207"/>
    </row>
    <row r="208" spans="1:30" x14ac:dyDescent="0.2">
      <c r="A208"/>
      <c r="B208"/>
      <c r="C208"/>
    </row>
    <row r="209" spans="1:3" x14ac:dyDescent="0.2">
      <c r="A209"/>
      <c r="B209"/>
      <c r="C209"/>
    </row>
    <row r="210" spans="1:3" x14ac:dyDescent="0.2">
      <c r="A210"/>
      <c r="B210"/>
      <c r="C210"/>
    </row>
    <row r="211" spans="1:3" x14ac:dyDescent="0.2">
      <c r="A211"/>
      <c r="B211"/>
      <c r="C211"/>
    </row>
    <row r="212" spans="1:3" x14ac:dyDescent="0.2">
      <c r="A212"/>
      <c r="B212"/>
      <c r="C212"/>
    </row>
    <row r="213" spans="1:3" x14ac:dyDescent="0.2">
      <c r="A213"/>
      <c r="B213"/>
      <c r="C213"/>
    </row>
    <row r="214" spans="1:3" x14ac:dyDescent="0.2">
      <c r="A214"/>
      <c r="B214"/>
      <c r="C214"/>
    </row>
    <row r="215" spans="1:3" x14ac:dyDescent="0.2">
      <c r="A215"/>
      <c r="B215"/>
      <c r="C215"/>
    </row>
    <row r="216" spans="1:3" x14ac:dyDescent="0.2">
      <c r="A216"/>
      <c r="B216"/>
      <c r="C216"/>
    </row>
    <row r="217" spans="1:3" x14ac:dyDescent="0.2">
      <c r="A217"/>
      <c r="B217"/>
      <c r="C217"/>
    </row>
    <row r="218" spans="1:3" x14ac:dyDescent="0.2">
      <c r="A218"/>
      <c r="B218"/>
      <c r="C218"/>
    </row>
    <row r="219" spans="1:3" x14ac:dyDescent="0.2">
      <c r="A219"/>
      <c r="B219"/>
      <c r="C219"/>
    </row>
    <row r="220" spans="1:3" x14ac:dyDescent="0.2">
      <c r="A220"/>
      <c r="B220"/>
      <c r="C220"/>
    </row>
    <row r="221" spans="1:3" x14ac:dyDescent="0.2">
      <c r="A221"/>
      <c r="B221"/>
      <c r="C221"/>
    </row>
    <row r="222" spans="1:3" x14ac:dyDescent="0.2">
      <c r="A222"/>
      <c r="B222"/>
      <c r="C222"/>
    </row>
    <row r="223" spans="1:3" x14ac:dyDescent="0.2">
      <c r="A223"/>
      <c r="B223"/>
      <c r="C223"/>
    </row>
    <row r="224" spans="1:3" x14ac:dyDescent="0.2">
      <c r="A224"/>
      <c r="B224"/>
      <c r="C224"/>
    </row>
    <row r="225" spans="1:30" x14ac:dyDescent="0.2">
      <c r="A225"/>
      <c r="B225"/>
      <c r="C225"/>
    </row>
    <row r="226" spans="1:30" x14ac:dyDescent="0.2">
      <c r="A226"/>
      <c r="B226"/>
      <c r="C226"/>
    </row>
    <row r="227" spans="1:30" x14ac:dyDescent="0.2">
      <c r="A227"/>
      <c r="B227"/>
      <c r="C227"/>
    </row>
    <row r="228" spans="1:30" s="45" customFormat="1" x14ac:dyDescent="0.2">
      <c r="A228"/>
      <c r="B228"/>
      <c r="C228"/>
      <c r="D228"/>
      <c r="E228"/>
      <c r="F228"/>
      <c r="G228"/>
      <c r="H228"/>
      <c r="I228"/>
      <c r="J228"/>
      <c r="K228"/>
      <c r="L228"/>
      <c r="M228"/>
      <c r="N228"/>
      <c r="O228"/>
      <c r="P228"/>
      <c r="Q228"/>
      <c r="R228"/>
      <c r="S228"/>
      <c r="T228"/>
      <c r="U228"/>
      <c r="V228"/>
      <c r="W228"/>
      <c r="X228"/>
      <c r="Y228"/>
      <c r="Z228"/>
      <c r="AA228"/>
      <c r="AB228"/>
      <c r="AC228"/>
      <c r="AD228"/>
    </row>
    <row r="229" spans="1:30" s="45" customFormat="1" x14ac:dyDescent="0.2">
      <c r="A229"/>
      <c r="B229"/>
      <c r="C229"/>
      <c r="D229"/>
      <c r="E229"/>
      <c r="F229"/>
      <c r="G229"/>
      <c r="H229"/>
      <c r="I229"/>
      <c r="J229"/>
      <c r="K229"/>
      <c r="L229"/>
      <c r="M229"/>
      <c r="N229"/>
      <c r="O229"/>
      <c r="P229"/>
      <c r="Q229"/>
      <c r="R229"/>
      <c r="S229"/>
      <c r="T229"/>
      <c r="U229"/>
      <c r="V229"/>
      <c r="W229"/>
      <c r="X229"/>
      <c r="Y229"/>
      <c r="Z229"/>
      <c r="AA229"/>
      <c r="AB229"/>
      <c r="AC229"/>
      <c r="AD229"/>
    </row>
    <row r="230" spans="1:30" s="45" customFormat="1" x14ac:dyDescent="0.2">
      <c r="A230"/>
      <c r="B230"/>
      <c r="C230"/>
      <c r="D230"/>
      <c r="E230"/>
      <c r="F230"/>
      <c r="G230"/>
      <c r="H230"/>
      <c r="I230"/>
      <c r="J230"/>
      <c r="K230"/>
      <c r="L230"/>
      <c r="M230"/>
      <c r="N230"/>
      <c r="O230"/>
      <c r="P230"/>
      <c r="Q230"/>
      <c r="R230"/>
      <c r="S230"/>
      <c r="T230"/>
      <c r="U230"/>
      <c r="V230"/>
      <c r="W230"/>
      <c r="X230"/>
      <c r="Y230"/>
      <c r="Z230"/>
      <c r="AA230"/>
      <c r="AB230"/>
      <c r="AC230"/>
      <c r="AD230"/>
    </row>
    <row r="231" spans="1:30" s="45" customFormat="1" x14ac:dyDescent="0.2">
      <c r="A231"/>
      <c r="B231"/>
      <c r="C231"/>
      <c r="D231"/>
      <c r="E231"/>
      <c r="F231"/>
      <c r="G231"/>
      <c r="H231"/>
      <c r="I231"/>
      <c r="J231"/>
      <c r="K231"/>
      <c r="L231"/>
      <c r="M231"/>
      <c r="N231"/>
      <c r="O231"/>
      <c r="P231"/>
      <c r="Q231"/>
      <c r="R231"/>
      <c r="S231"/>
      <c r="T231"/>
      <c r="U231"/>
      <c r="V231"/>
      <c r="W231"/>
      <c r="X231"/>
      <c r="Y231"/>
      <c r="Z231"/>
      <c r="AA231"/>
      <c r="AB231"/>
      <c r="AC231"/>
      <c r="AD231"/>
    </row>
    <row r="232" spans="1:30" s="45" customFormat="1" x14ac:dyDescent="0.2">
      <c r="A232"/>
      <c r="B232"/>
      <c r="C232"/>
      <c r="D232"/>
      <c r="E232"/>
      <c r="F232"/>
      <c r="G232"/>
      <c r="H232"/>
      <c r="I232"/>
      <c r="J232"/>
      <c r="K232"/>
      <c r="L232"/>
      <c r="M232"/>
      <c r="N232"/>
      <c r="O232"/>
      <c r="P232"/>
      <c r="Q232"/>
      <c r="R232"/>
      <c r="S232"/>
      <c r="T232"/>
      <c r="U232"/>
      <c r="V232"/>
      <c r="W232"/>
      <c r="X232"/>
      <c r="Y232"/>
      <c r="Z232"/>
      <c r="AA232"/>
      <c r="AB232"/>
      <c r="AC232"/>
      <c r="AD232"/>
    </row>
    <row r="233" spans="1:30" s="45" customFormat="1" x14ac:dyDescent="0.2">
      <c r="A233"/>
      <c r="B233"/>
      <c r="C233"/>
      <c r="D233"/>
      <c r="E233"/>
      <c r="F233"/>
      <c r="G233"/>
      <c r="H233"/>
      <c r="I233"/>
      <c r="J233"/>
      <c r="K233"/>
      <c r="L233"/>
      <c r="M233"/>
      <c r="N233"/>
      <c r="O233"/>
      <c r="P233"/>
      <c r="Q233"/>
      <c r="R233"/>
      <c r="S233"/>
      <c r="T233"/>
      <c r="U233"/>
      <c r="V233"/>
      <c r="W233"/>
      <c r="X233"/>
      <c r="Y233"/>
      <c r="Z233"/>
      <c r="AA233"/>
      <c r="AB233"/>
      <c r="AC233"/>
      <c r="AD233"/>
    </row>
    <row r="234" spans="1:30" s="45" customFormat="1" x14ac:dyDescent="0.2">
      <c r="A234"/>
      <c r="B234"/>
      <c r="C234"/>
      <c r="D234"/>
      <c r="E234"/>
      <c r="F234"/>
      <c r="G234"/>
      <c r="H234"/>
      <c r="I234"/>
      <c r="J234"/>
      <c r="K234"/>
      <c r="L234"/>
      <c r="M234"/>
      <c r="N234"/>
      <c r="O234"/>
      <c r="P234"/>
      <c r="Q234"/>
      <c r="R234"/>
      <c r="S234"/>
      <c r="T234"/>
      <c r="U234"/>
      <c r="V234"/>
      <c r="W234"/>
      <c r="X234"/>
      <c r="Y234"/>
      <c r="Z234"/>
      <c r="AA234"/>
      <c r="AB234"/>
      <c r="AC234"/>
      <c r="AD234"/>
    </row>
    <row r="235" spans="1:30" s="45" customFormat="1" x14ac:dyDescent="0.2">
      <c r="A235"/>
      <c r="B235"/>
      <c r="C235"/>
      <c r="D235"/>
      <c r="E235"/>
      <c r="F235"/>
      <c r="G235"/>
      <c r="H235"/>
      <c r="I235"/>
      <c r="J235"/>
      <c r="K235"/>
      <c r="L235"/>
      <c r="M235"/>
      <c r="N235"/>
      <c r="O235"/>
      <c r="P235"/>
      <c r="Q235"/>
      <c r="R235"/>
      <c r="S235"/>
      <c r="T235"/>
      <c r="U235"/>
      <c r="V235"/>
      <c r="W235"/>
      <c r="X235"/>
      <c r="Y235"/>
      <c r="Z235"/>
      <c r="AA235"/>
      <c r="AB235"/>
      <c r="AC235"/>
      <c r="AD235"/>
    </row>
    <row r="236" spans="1:30" s="45" customFormat="1" x14ac:dyDescent="0.2">
      <c r="A236"/>
      <c r="B236"/>
      <c r="C236"/>
      <c r="D236"/>
      <c r="E236"/>
      <c r="F236"/>
      <c r="G236"/>
      <c r="H236"/>
      <c r="I236"/>
      <c r="J236"/>
      <c r="K236"/>
      <c r="L236"/>
      <c r="M236"/>
      <c r="N236"/>
      <c r="O236"/>
      <c r="P236"/>
      <c r="Q236"/>
      <c r="R236"/>
      <c r="S236"/>
      <c r="T236"/>
      <c r="U236"/>
      <c r="V236"/>
      <c r="W236"/>
      <c r="X236"/>
      <c r="Y236"/>
      <c r="Z236"/>
      <c r="AA236"/>
      <c r="AB236"/>
      <c r="AC236"/>
      <c r="AD236"/>
    </row>
    <row r="237" spans="1:30" s="45" customFormat="1" x14ac:dyDescent="0.2">
      <c r="A237"/>
      <c r="B237"/>
      <c r="C237"/>
      <c r="D237"/>
      <c r="E237"/>
      <c r="F237"/>
      <c r="G237"/>
      <c r="H237"/>
      <c r="I237"/>
      <c r="J237"/>
      <c r="K237"/>
      <c r="L237"/>
      <c r="M237"/>
      <c r="N237"/>
      <c r="O237"/>
      <c r="P237"/>
      <c r="Q237"/>
      <c r="R237"/>
      <c r="S237"/>
      <c r="T237"/>
      <c r="U237"/>
      <c r="V237"/>
      <c r="W237"/>
      <c r="X237"/>
      <c r="Y237"/>
      <c r="Z237"/>
      <c r="AA237"/>
      <c r="AB237"/>
      <c r="AC237"/>
      <c r="AD237"/>
    </row>
    <row r="238" spans="1:30" s="45" customFormat="1" x14ac:dyDescent="0.2">
      <c r="A238"/>
      <c r="B238"/>
      <c r="C238"/>
      <c r="D238"/>
      <c r="E238"/>
      <c r="F238"/>
      <c r="G238"/>
      <c r="H238"/>
      <c r="I238"/>
      <c r="J238"/>
      <c r="K238"/>
      <c r="L238"/>
      <c r="M238"/>
      <c r="N238"/>
      <c r="O238"/>
      <c r="P238"/>
      <c r="Q238"/>
      <c r="R238"/>
      <c r="S238"/>
      <c r="T238"/>
      <c r="U238"/>
      <c r="V238"/>
      <c r="W238"/>
      <c r="X238"/>
      <c r="Y238"/>
      <c r="Z238"/>
      <c r="AA238"/>
      <c r="AB238"/>
      <c r="AC238"/>
      <c r="AD238"/>
    </row>
    <row r="239" spans="1:30" s="45" customFormat="1" x14ac:dyDescent="0.2">
      <c r="A239"/>
      <c r="B239"/>
      <c r="C239"/>
      <c r="D239"/>
      <c r="E239"/>
      <c r="F239"/>
      <c r="G239"/>
      <c r="H239"/>
      <c r="I239"/>
      <c r="J239"/>
      <c r="K239"/>
      <c r="L239"/>
      <c r="M239"/>
      <c r="N239"/>
      <c r="O239"/>
      <c r="P239"/>
      <c r="Q239"/>
      <c r="R239"/>
      <c r="S239"/>
      <c r="T239"/>
      <c r="U239"/>
      <c r="V239"/>
      <c r="W239"/>
      <c r="X239"/>
      <c r="Y239"/>
      <c r="Z239"/>
      <c r="AA239"/>
      <c r="AB239"/>
      <c r="AC239"/>
      <c r="AD239"/>
    </row>
    <row r="240" spans="1:30" s="45" customFormat="1" x14ac:dyDescent="0.2">
      <c r="A240"/>
      <c r="B240"/>
      <c r="C240"/>
      <c r="D240"/>
      <c r="E240"/>
      <c r="F240"/>
      <c r="G240"/>
      <c r="H240"/>
      <c r="I240"/>
      <c r="J240"/>
      <c r="K240"/>
      <c r="L240"/>
      <c r="M240"/>
      <c r="N240"/>
      <c r="O240"/>
      <c r="P240"/>
      <c r="Q240"/>
      <c r="R240"/>
      <c r="S240"/>
      <c r="T240"/>
      <c r="U240"/>
      <c r="V240"/>
      <c r="W240"/>
      <c r="X240"/>
      <c r="Y240"/>
      <c r="Z240"/>
      <c r="AA240"/>
      <c r="AB240"/>
      <c r="AC240"/>
      <c r="AD240"/>
    </row>
    <row r="241" spans="1:30" s="45" customFormat="1" x14ac:dyDescent="0.2">
      <c r="A241"/>
      <c r="B241"/>
      <c r="C241"/>
      <c r="D241"/>
      <c r="E241"/>
      <c r="F241"/>
      <c r="G241"/>
      <c r="H241"/>
      <c r="I241"/>
      <c r="J241"/>
      <c r="K241"/>
      <c r="L241"/>
      <c r="M241"/>
      <c r="N241"/>
      <c r="O241"/>
      <c r="P241"/>
      <c r="Q241"/>
      <c r="R241"/>
      <c r="S241"/>
      <c r="T241"/>
      <c r="U241"/>
      <c r="V241"/>
      <c r="W241"/>
      <c r="X241"/>
      <c r="Y241"/>
      <c r="Z241"/>
      <c r="AA241"/>
      <c r="AB241"/>
      <c r="AC241"/>
      <c r="AD241"/>
    </row>
    <row r="242" spans="1:30" s="45" customFormat="1" x14ac:dyDescent="0.2">
      <c r="A242"/>
      <c r="B242"/>
      <c r="C242"/>
      <c r="D242"/>
      <c r="E242"/>
      <c r="F242"/>
      <c r="G242"/>
      <c r="H242"/>
      <c r="I242"/>
      <c r="J242"/>
      <c r="K242"/>
      <c r="L242"/>
      <c r="M242"/>
      <c r="N242"/>
      <c r="O242"/>
      <c r="P242"/>
      <c r="Q242"/>
      <c r="R242"/>
      <c r="S242"/>
      <c r="T242"/>
      <c r="U242"/>
      <c r="V242"/>
      <c r="W242"/>
      <c r="X242"/>
      <c r="Y242"/>
      <c r="Z242"/>
      <c r="AA242"/>
      <c r="AB242"/>
      <c r="AC242"/>
      <c r="AD242"/>
    </row>
    <row r="243" spans="1:30" s="45" customFormat="1" x14ac:dyDescent="0.2">
      <c r="A243"/>
      <c r="B243"/>
      <c r="C243"/>
      <c r="D243"/>
      <c r="E243"/>
      <c r="F243"/>
      <c r="G243"/>
      <c r="H243"/>
      <c r="I243"/>
      <c r="J243"/>
      <c r="K243"/>
      <c r="L243"/>
      <c r="M243"/>
      <c r="N243"/>
      <c r="O243"/>
      <c r="P243"/>
      <c r="Q243"/>
      <c r="R243"/>
      <c r="S243"/>
      <c r="T243"/>
      <c r="U243"/>
      <c r="V243"/>
      <c r="W243"/>
      <c r="X243"/>
      <c r="Y243"/>
      <c r="Z243"/>
      <c r="AA243"/>
      <c r="AB243"/>
      <c r="AC243"/>
      <c r="AD243"/>
    </row>
    <row r="244" spans="1:30" s="45" customFormat="1" x14ac:dyDescent="0.2">
      <c r="A244"/>
      <c r="B244"/>
      <c r="C244"/>
      <c r="D244"/>
      <c r="E244"/>
      <c r="F244"/>
      <c r="G244"/>
      <c r="H244"/>
      <c r="I244"/>
      <c r="J244"/>
      <c r="K244"/>
      <c r="L244"/>
      <c r="M244"/>
      <c r="N244"/>
      <c r="O244"/>
      <c r="P244"/>
      <c r="Q244"/>
      <c r="R244"/>
      <c r="S244"/>
      <c r="T244"/>
      <c r="U244"/>
      <c r="V244"/>
      <c r="W244"/>
      <c r="X244"/>
      <c r="Y244"/>
      <c r="Z244"/>
      <c r="AA244"/>
      <c r="AB244"/>
      <c r="AC244"/>
      <c r="AD244"/>
    </row>
    <row r="245" spans="1:30" s="45" customFormat="1" x14ac:dyDescent="0.2">
      <c r="A245"/>
      <c r="B245"/>
      <c r="C245"/>
      <c r="D245"/>
      <c r="E245"/>
      <c r="F245"/>
      <c r="G245"/>
      <c r="H245"/>
      <c r="I245"/>
      <c r="J245"/>
      <c r="K245"/>
      <c r="L245"/>
      <c r="M245"/>
      <c r="N245"/>
      <c r="O245"/>
      <c r="P245"/>
      <c r="Q245"/>
      <c r="R245"/>
      <c r="S245"/>
      <c r="T245"/>
      <c r="U245"/>
      <c r="V245"/>
      <c r="W245"/>
      <c r="X245"/>
      <c r="Y245"/>
      <c r="Z245"/>
      <c r="AA245"/>
      <c r="AB245"/>
      <c r="AC245"/>
      <c r="AD245"/>
    </row>
    <row r="246" spans="1:30" s="45" customFormat="1" x14ac:dyDescent="0.2">
      <c r="A246"/>
      <c r="B246"/>
      <c r="C246"/>
      <c r="D246"/>
      <c r="E246"/>
      <c r="F246"/>
      <c r="G246"/>
      <c r="H246"/>
      <c r="I246"/>
      <c r="J246"/>
      <c r="K246"/>
      <c r="L246"/>
      <c r="M246"/>
      <c r="N246"/>
      <c r="O246"/>
      <c r="P246"/>
      <c r="Q246"/>
      <c r="R246"/>
      <c r="S246"/>
      <c r="T246"/>
      <c r="U246"/>
      <c r="V246"/>
      <c r="W246"/>
      <c r="X246"/>
      <c r="Y246"/>
      <c r="Z246"/>
      <c r="AA246"/>
      <c r="AB246"/>
      <c r="AC246"/>
      <c r="AD246"/>
    </row>
    <row r="247" spans="1:30" s="45" customFormat="1" x14ac:dyDescent="0.2">
      <c r="A247"/>
      <c r="B247"/>
      <c r="C247"/>
      <c r="D247"/>
      <c r="E247"/>
      <c r="F247"/>
      <c r="G247"/>
      <c r="H247"/>
      <c r="I247"/>
      <c r="J247"/>
      <c r="K247"/>
      <c r="L247"/>
      <c r="M247"/>
      <c r="N247"/>
      <c r="O247"/>
      <c r="P247"/>
      <c r="Q247"/>
      <c r="R247"/>
      <c r="S247"/>
      <c r="T247"/>
      <c r="U247"/>
      <c r="V247"/>
      <c r="W247"/>
      <c r="X247"/>
      <c r="Y247"/>
      <c r="Z247"/>
      <c r="AA247"/>
      <c r="AB247"/>
      <c r="AC247"/>
      <c r="AD247"/>
    </row>
    <row r="248" spans="1:30" s="45" customFormat="1" x14ac:dyDescent="0.2">
      <c r="A248"/>
      <c r="B248"/>
      <c r="C248"/>
      <c r="D248"/>
      <c r="E248"/>
      <c r="F248"/>
      <c r="G248"/>
      <c r="H248"/>
      <c r="I248"/>
      <c r="J248"/>
      <c r="K248"/>
      <c r="L248"/>
      <c r="M248"/>
      <c r="N248"/>
      <c r="O248"/>
      <c r="P248"/>
      <c r="Q248"/>
      <c r="R248"/>
      <c r="S248"/>
      <c r="T248"/>
      <c r="U248"/>
      <c r="V248"/>
      <c r="W248"/>
      <c r="X248"/>
      <c r="Y248"/>
      <c r="Z248"/>
      <c r="AA248"/>
      <c r="AB248"/>
      <c r="AC248"/>
      <c r="AD248"/>
    </row>
    <row r="249" spans="1:30" s="45" customFormat="1" x14ac:dyDescent="0.2">
      <c r="A249"/>
      <c r="B249"/>
      <c r="C249"/>
      <c r="D249"/>
      <c r="E249"/>
      <c r="F249"/>
      <c r="G249"/>
      <c r="H249"/>
      <c r="I249"/>
      <c r="J249"/>
      <c r="K249"/>
      <c r="L249"/>
      <c r="M249"/>
      <c r="N249"/>
      <c r="O249"/>
      <c r="P249"/>
      <c r="Q249"/>
      <c r="R249"/>
      <c r="S249"/>
      <c r="T249"/>
      <c r="U249"/>
      <c r="V249"/>
      <c r="W249"/>
      <c r="X249"/>
      <c r="Y249"/>
      <c r="Z249"/>
      <c r="AA249"/>
      <c r="AB249"/>
      <c r="AC249"/>
      <c r="AD249"/>
    </row>
    <row r="250" spans="1:30" s="45" customFormat="1" x14ac:dyDescent="0.2">
      <c r="A250"/>
      <c r="B250"/>
      <c r="C250"/>
      <c r="D250"/>
      <c r="E250"/>
      <c r="F250"/>
      <c r="G250"/>
      <c r="H250"/>
      <c r="I250"/>
      <c r="J250"/>
      <c r="K250"/>
      <c r="L250"/>
      <c r="M250"/>
      <c r="N250"/>
      <c r="O250"/>
      <c r="P250"/>
      <c r="Q250"/>
      <c r="R250"/>
      <c r="S250"/>
      <c r="T250"/>
      <c r="U250"/>
      <c r="V250"/>
      <c r="W250"/>
      <c r="X250"/>
      <c r="Y250"/>
      <c r="Z250"/>
      <c r="AA250"/>
      <c r="AB250"/>
      <c r="AC250"/>
      <c r="AD250"/>
    </row>
    <row r="251" spans="1:30" s="45" customFormat="1" x14ac:dyDescent="0.2">
      <c r="A251"/>
      <c r="B251"/>
      <c r="C251"/>
      <c r="D251"/>
      <c r="E251"/>
      <c r="F251"/>
      <c r="G251"/>
      <c r="H251"/>
      <c r="I251"/>
      <c r="J251"/>
      <c r="K251"/>
      <c r="L251"/>
      <c r="M251"/>
      <c r="N251"/>
      <c r="O251"/>
      <c r="P251"/>
      <c r="Q251"/>
      <c r="R251"/>
      <c r="S251"/>
      <c r="T251"/>
      <c r="U251"/>
      <c r="V251"/>
      <c r="W251"/>
      <c r="X251"/>
      <c r="Y251"/>
      <c r="Z251"/>
      <c r="AA251"/>
      <c r="AB251"/>
      <c r="AC251"/>
      <c r="AD251"/>
    </row>
    <row r="252" spans="1:30" s="45" customFormat="1" x14ac:dyDescent="0.2">
      <c r="A252"/>
      <c r="B252"/>
      <c r="C252"/>
      <c r="D252"/>
      <c r="E252"/>
      <c r="F252"/>
      <c r="G252"/>
      <c r="H252"/>
      <c r="I252"/>
      <c r="J252"/>
      <c r="K252"/>
      <c r="L252"/>
      <c r="M252"/>
      <c r="N252"/>
      <c r="O252"/>
      <c r="P252"/>
      <c r="Q252"/>
      <c r="R252"/>
      <c r="S252"/>
      <c r="T252"/>
      <c r="U252"/>
      <c r="V252"/>
      <c r="W252"/>
      <c r="X252"/>
      <c r="Y252"/>
      <c r="Z252"/>
      <c r="AA252"/>
      <c r="AB252"/>
      <c r="AC252"/>
      <c r="AD252"/>
    </row>
    <row r="253" spans="1:30" s="45" customFormat="1" x14ac:dyDescent="0.2">
      <c r="A253"/>
      <c r="B253"/>
      <c r="C253"/>
      <c r="D253"/>
      <c r="E253"/>
      <c r="F253"/>
      <c r="G253"/>
      <c r="H253"/>
      <c r="I253"/>
      <c r="J253"/>
      <c r="K253"/>
      <c r="L253"/>
      <c r="M253"/>
      <c r="N253"/>
      <c r="O253"/>
      <c r="P253"/>
      <c r="Q253"/>
      <c r="R253"/>
      <c r="S253"/>
      <c r="T253"/>
      <c r="U253"/>
      <c r="V253"/>
      <c r="W253"/>
      <c r="X253"/>
      <c r="Y253"/>
      <c r="Z253"/>
      <c r="AA253"/>
      <c r="AB253"/>
      <c r="AC253"/>
      <c r="AD253"/>
    </row>
    <row r="254" spans="1:30" s="45" customFormat="1" x14ac:dyDescent="0.2">
      <c r="A254"/>
      <c r="B254"/>
      <c r="C254"/>
      <c r="D254"/>
      <c r="E254"/>
      <c r="F254"/>
      <c r="G254"/>
      <c r="H254"/>
      <c r="I254"/>
      <c r="J254"/>
      <c r="K254"/>
      <c r="L254"/>
      <c r="M254"/>
      <c r="N254"/>
      <c r="O254"/>
      <c r="P254"/>
      <c r="Q254"/>
      <c r="R254"/>
      <c r="S254"/>
      <c r="T254"/>
      <c r="U254"/>
      <c r="V254"/>
      <c r="W254"/>
      <c r="X254"/>
      <c r="Y254"/>
      <c r="Z254"/>
      <c r="AA254"/>
      <c r="AB254"/>
      <c r="AC254"/>
      <c r="AD254"/>
    </row>
    <row r="255" spans="1:30" s="45" customFormat="1" x14ac:dyDescent="0.2">
      <c r="A255"/>
      <c r="B255"/>
      <c r="C255"/>
      <c r="D255"/>
      <c r="E255"/>
      <c r="F255"/>
      <c r="G255"/>
      <c r="H255"/>
      <c r="I255"/>
      <c r="J255"/>
      <c r="K255"/>
      <c r="L255"/>
      <c r="M255"/>
      <c r="N255"/>
      <c r="O255"/>
      <c r="P255"/>
      <c r="Q255"/>
      <c r="R255"/>
      <c r="S255"/>
      <c r="T255"/>
      <c r="U255"/>
      <c r="V255"/>
      <c r="W255"/>
      <c r="X255"/>
      <c r="Y255"/>
      <c r="Z255"/>
      <c r="AA255"/>
      <c r="AB255"/>
      <c r="AC255"/>
      <c r="AD255"/>
    </row>
    <row r="256" spans="1:30" s="45" customFormat="1" x14ac:dyDescent="0.2">
      <c r="A256"/>
      <c r="B256"/>
      <c r="C256"/>
      <c r="D256"/>
      <c r="E256"/>
      <c r="F256"/>
      <c r="G256"/>
      <c r="H256"/>
      <c r="I256"/>
      <c r="J256"/>
      <c r="K256"/>
      <c r="L256"/>
      <c r="M256"/>
      <c r="N256"/>
      <c r="O256"/>
      <c r="P256"/>
      <c r="Q256"/>
      <c r="R256"/>
      <c r="S256"/>
      <c r="T256"/>
      <c r="U256"/>
      <c r="V256"/>
      <c r="W256"/>
      <c r="X256"/>
      <c r="Y256"/>
      <c r="Z256"/>
      <c r="AA256"/>
      <c r="AB256"/>
      <c r="AC256"/>
      <c r="AD256"/>
    </row>
    <row r="257" spans="1:30" s="45" customFormat="1" x14ac:dyDescent="0.2">
      <c r="A257"/>
      <c r="B257"/>
      <c r="C257"/>
      <c r="D257"/>
      <c r="E257"/>
      <c r="F257"/>
      <c r="G257"/>
      <c r="H257"/>
      <c r="I257"/>
      <c r="J257"/>
      <c r="K257"/>
      <c r="L257"/>
      <c r="M257"/>
      <c r="N257"/>
      <c r="O257"/>
      <c r="P257"/>
      <c r="Q257"/>
      <c r="R257"/>
      <c r="S257"/>
      <c r="T257"/>
      <c r="U257"/>
      <c r="V257"/>
      <c r="W257"/>
      <c r="X257"/>
      <c r="Y257"/>
      <c r="Z257"/>
      <c r="AA257"/>
      <c r="AB257"/>
      <c r="AC257"/>
      <c r="AD257"/>
    </row>
    <row r="258" spans="1:30" s="45" customFormat="1" x14ac:dyDescent="0.2">
      <c r="A258"/>
      <c r="B258"/>
      <c r="C258"/>
      <c r="D258"/>
      <c r="E258"/>
      <c r="F258"/>
      <c r="G258"/>
      <c r="H258"/>
      <c r="I258"/>
      <c r="J258"/>
      <c r="K258"/>
      <c r="L258"/>
      <c r="M258"/>
      <c r="N258"/>
      <c r="O258"/>
      <c r="P258"/>
      <c r="Q258"/>
      <c r="R258"/>
      <c r="S258"/>
      <c r="T258"/>
      <c r="U258"/>
      <c r="V258"/>
      <c r="W258"/>
      <c r="X258"/>
      <c r="Y258"/>
      <c r="Z258"/>
      <c r="AA258"/>
      <c r="AB258"/>
      <c r="AC258"/>
      <c r="AD258"/>
    </row>
    <row r="259" spans="1:30" s="45" customFormat="1" x14ac:dyDescent="0.2">
      <c r="A259"/>
      <c r="B259"/>
      <c r="C259"/>
      <c r="D259"/>
      <c r="E259"/>
      <c r="F259"/>
      <c r="G259"/>
      <c r="H259"/>
      <c r="I259"/>
      <c r="J259"/>
      <c r="K259"/>
      <c r="L259"/>
      <c r="M259"/>
      <c r="N259"/>
      <c r="O259"/>
      <c r="P259"/>
      <c r="Q259"/>
      <c r="R259"/>
      <c r="S259"/>
      <c r="T259"/>
      <c r="U259"/>
      <c r="V259"/>
      <c r="W259"/>
      <c r="X259"/>
      <c r="Y259"/>
      <c r="Z259"/>
      <c r="AA259"/>
      <c r="AB259"/>
      <c r="AC259"/>
      <c r="AD259"/>
    </row>
    <row r="260" spans="1:30" s="45" customFormat="1" x14ac:dyDescent="0.2">
      <c r="A260"/>
      <c r="B260"/>
      <c r="C260"/>
      <c r="D260"/>
      <c r="E260"/>
      <c r="F260"/>
      <c r="G260"/>
      <c r="H260"/>
      <c r="I260"/>
      <c r="J260"/>
      <c r="K260"/>
      <c r="L260"/>
      <c r="M260"/>
      <c r="N260"/>
      <c r="O260"/>
      <c r="P260"/>
      <c r="Q260"/>
      <c r="R260"/>
      <c r="S260"/>
      <c r="T260"/>
      <c r="U260"/>
      <c r="V260"/>
      <c r="W260"/>
      <c r="X260"/>
      <c r="Y260"/>
      <c r="Z260"/>
      <c r="AA260"/>
      <c r="AB260"/>
      <c r="AC260"/>
      <c r="AD260"/>
    </row>
    <row r="261" spans="1:30" s="45" customFormat="1" x14ac:dyDescent="0.2">
      <c r="A261"/>
      <c r="B261"/>
      <c r="C261"/>
      <c r="D261"/>
      <c r="E261"/>
      <c r="F261"/>
      <c r="G261"/>
      <c r="H261"/>
      <c r="I261"/>
      <c r="J261"/>
      <c r="K261"/>
      <c r="L261"/>
      <c r="M261"/>
      <c r="N261"/>
      <c r="O261"/>
      <c r="P261"/>
      <c r="Q261"/>
      <c r="R261"/>
      <c r="S261"/>
      <c r="T261"/>
      <c r="U261"/>
      <c r="V261"/>
      <c r="W261"/>
      <c r="X261"/>
      <c r="Y261"/>
      <c r="Z261"/>
      <c r="AA261"/>
      <c r="AB261"/>
      <c r="AC261"/>
      <c r="AD261"/>
    </row>
    <row r="262" spans="1:30" s="45" customFormat="1" x14ac:dyDescent="0.2">
      <c r="A262"/>
      <c r="B262"/>
      <c r="C262"/>
      <c r="D262"/>
      <c r="E262"/>
      <c r="F262"/>
      <c r="G262"/>
      <c r="H262"/>
      <c r="I262"/>
      <c r="J262"/>
      <c r="K262"/>
      <c r="L262"/>
      <c r="M262"/>
      <c r="N262"/>
      <c r="O262"/>
      <c r="P262"/>
      <c r="Q262"/>
      <c r="R262"/>
      <c r="S262"/>
      <c r="T262"/>
      <c r="U262"/>
      <c r="V262"/>
      <c r="W262"/>
      <c r="X262"/>
      <c r="Y262"/>
      <c r="Z262"/>
      <c r="AA262"/>
      <c r="AB262"/>
      <c r="AC262"/>
      <c r="AD262"/>
    </row>
    <row r="263" spans="1:30" s="45" customFormat="1" x14ac:dyDescent="0.2">
      <c r="A263"/>
      <c r="B263"/>
      <c r="C263"/>
      <c r="D263"/>
      <c r="E263"/>
      <c r="F263"/>
      <c r="G263"/>
      <c r="H263"/>
      <c r="I263"/>
      <c r="J263"/>
      <c r="K263"/>
      <c r="L263"/>
      <c r="M263"/>
      <c r="N263"/>
      <c r="O263"/>
      <c r="P263"/>
      <c r="Q263"/>
      <c r="R263"/>
      <c r="S263"/>
      <c r="T263"/>
      <c r="U263"/>
      <c r="V263"/>
      <c r="W263"/>
      <c r="X263"/>
      <c r="Y263"/>
      <c r="Z263"/>
      <c r="AA263"/>
      <c r="AB263"/>
      <c r="AC263"/>
      <c r="AD263"/>
    </row>
    <row r="264" spans="1:30" s="45" customFormat="1" x14ac:dyDescent="0.2">
      <c r="A264"/>
      <c r="B264"/>
      <c r="C264"/>
      <c r="D264"/>
      <c r="E264"/>
      <c r="F264"/>
      <c r="G264"/>
      <c r="H264"/>
      <c r="I264"/>
      <c r="J264"/>
      <c r="K264"/>
      <c r="L264"/>
      <c r="M264"/>
      <c r="N264"/>
      <c r="O264"/>
      <c r="P264"/>
      <c r="Q264"/>
      <c r="R264"/>
      <c r="S264"/>
      <c r="T264"/>
      <c r="U264"/>
      <c r="V264"/>
      <c r="W264"/>
      <c r="X264"/>
      <c r="Y264"/>
      <c r="Z264"/>
      <c r="AA264"/>
      <c r="AB264"/>
      <c r="AC264"/>
      <c r="AD264"/>
    </row>
    <row r="265" spans="1:30" s="45" customFormat="1" x14ac:dyDescent="0.2">
      <c r="A265"/>
      <c r="B265"/>
      <c r="C265"/>
      <c r="D265"/>
      <c r="E265"/>
      <c r="F265"/>
      <c r="G265"/>
      <c r="H265"/>
      <c r="I265"/>
      <c r="J265"/>
      <c r="K265"/>
      <c r="L265"/>
      <c r="M265"/>
      <c r="N265"/>
      <c r="O265"/>
      <c r="P265"/>
      <c r="Q265"/>
      <c r="R265"/>
      <c r="S265"/>
      <c r="T265"/>
      <c r="U265"/>
      <c r="V265"/>
      <c r="W265"/>
      <c r="X265"/>
      <c r="Y265"/>
      <c r="Z265"/>
      <c r="AA265"/>
      <c r="AB265"/>
      <c r="AC265"/>
      <c r="AD265"/>
    </row>
    <row r="266" spans="1:30" s="45" customFormat="1" x14ac:dyDescent="0.2">
      <c r="A266"/>
      <c r="B266"/>
      <c r="C266"/>
      <c r="D266"/>
      <c r="E266"/>
      <c r="F266"/>
      <c r="G266"/>
      <c r="H266"/>
      <c r="I266"/>
      <c r="J266"/>
      <c r="K266"/>
      <c r="L266"/>
      <c r="M266"/>
      <c r="N266"/>
      <c r="O266"/>
      <c r="P266"/>
      <c r="Q266"/>
      <c r="R266"/>
      <c r="S266"/>
      <c r="T266"/>
      <c r="U266"/>
      <c r="V266"/>
      <c r="W266"/>
      <c r="X266"/>
      <c r="Y266"/>
      <c r="Z266"/>
      <c r="AA266"/>
      <c r="AB266"/>
      <c r="AC266"/>
      <c r="AD266"/>
    </row>
    <row r="267" spans="1:30" s="45" customFormat="1" x14ac:dyDescent="0.2">
      <c r="A267"/>
      <c r="B267"/>
      <c r="C267"/>
      <c r="D267"/>
      <c r="E267"/>
      <c r="F267"/>
      <c r="G267"/>
      <c r="H267"/>
      <c r="I267"/>
      <c r="J267"/>
      <c r="K267"/>
      <c r="L267"/>
      <c r="M267"/>
      <c r="N267"/>
      <c r="O267"/>
      <c r="P267"/>
      <c r="Q267"/>
      <c r="R267"/>
      <c r="S267"/>
      <c r="T267"/>
      <c r="U267"/>
      <c r="V267"/>
      <c r="W267"/>
      <c r="X267"/>
      <c r="Y267"/>
      <c r="Z267"/>
      <c r="AA267"/>
      <c r="AB267"/>
      <c r="AC267"/>
      <c r="AD267"/>
    </row>
    <row r="268" spans="1:30" s="45" customFormat="1" x14ac:dyDescent="0.2">
      <c r="A268"/>
      <c r="B268"/>
      <c r="C268"/>
      <c r="D268"/>
      <c r="E268"/>
      <c r="F268"/>
      <c r="G268"/>
      <c r="H268"/>
      <c r="I268"/>
      <c r="J268"/>
      <c r="K268"/>
      <c r="L268"/>
      <c r="M268"/>
      <c r="N268"/>
      <c r="O268"/>
      <c r="P268"/>
      <c r="Q268"/>
      <c r="R268"/>
      <c r="S268"/>
      <c r="T268"/>
      <c r="U268"/>
      <c r="V268"/>
      <c r="W268"/>
      <c r="X268"/>
      <c r="Y268"/>
      <c r="Z268"/>
      <c r="AA268"/>
      <c r="AB268"/>
      <c r="AC268"/>
      <c r="AD268"/>
    </row>
    <row r="269" spans="1:30" s="45" customFormat="1" x14ac:dyDescent="0.2">
      <c r="A269"/>
      <c r="B269"/>
      <c r="C269"/>
      <c r="D269"/>
      <c r="E269"/>
      <c r="F269"/>
      <c r="G269"/>
      <c r="H269"/>
      <c r="I269"/>
      <c r="J269"/>
      <c r="K269"/>
      <c r="L269"/>
      <c r="M269"/>
      <c r="N269"/>
      <c r="O269"/>
      <c r="P269"/>
      <c r="Q269"/>
      <c r="R269"/>
      <c r="S269"/>
      <c r="T269"/>
      <c r="U269"/>
      <c r="V269"/>
      <c r="W269"/>
      <c r="X269"/>
      <c r="Y269"/>
      <c r="Z269"/>
      <c r="AA269"/>
      <c r="AB269"/>
      <c r="AC269"/>
      <c r="AD269"/>
    </row>
    <row r="270" spans="1:30" s="45" customFormat="1" x14ac:dyDescent="0.2">
      <c r="A270"/>
      <c r="B270"/>
      <c r="C270"/>
      <c r="D270"/>
      <c r="E270"/>
      <c r="F270"/>
      <c r="G270"/>
      <c r="H270"/>
      <c r="I270"/>
      <c r="J270"/>
      <c r="K270"/>
      <c r="L270"/>
      <c r="M270"/>
      <c r="N270"/>
      <c r="O270"/>
      <c r="P270"/>
      <c r="Q270"/>
      <c r="R270"/>
      <c r="S270"/>
      <c r="T270"/>
      <c r="U270"/>
      <c r="V270"/>
      <c r="W270"/>
      <c r="X270"/>
      <c r="Y270"/>
      <c r="Z270"/>
      <c r="AA270"/>
      <c r="AB270"/>
      <c r="AC270"/>
      <c r="AD270"/>
    </row>
    <row r="271" spans="1:30" s="45" customFormat="1" x14ac:dyDescent="0.2">
      <c r="A271"/>
      <c r="B271"/>
      <c r="C271"/>
      <c r="D271"/>
      <c r="E271"/>
      <c r="F271"/>
      <c r="G271"/>
      <c r="H271"/>
      <c r="I271"/>
      <c r="J271"/>
      <c r="K271"/>
      <c r="L271"/>
      <c r="M271"/>
      <c r="N271"/>
      <c r="O271"/>
      <c r="P271"/>
      <c r="Q271"/>
      <c r="R271"/>
      <c r="S271"/>
      <c r="T271"/>
      <c r="U271"/>
      <c r="V271"/>
      <c r="W271"/>
      <c r="X271"/>
      <c r="Y271"/>
      <c r="Z271"/>
      <c r="AA271"/>
      <c r="AB271"/>
      <c r="AC271"/>
      <c r="AD271"/>
    </row>
    <row r="272" spans="1:30" s="45" customFormat="1" x14ac:dyDescent="0.2">
      <c r="A272"/>
      <c r="B272"/>
      <c r="C272"/>
      <c r="D272"/>
      <c r="E272"/>
      <c r="F272"/>
      <c r="G272"/>
      <c r="H272"/>
      <c r="I272"/>
      <c r="J272"/>
      <c r="K272"/>
      <c r="L272"/>
      <c r="M272"/>
      <c r="N272"/>
      <c r="O272"/>
      <c r="P272"/>
      <c r="Q272"/>
      <c r="R272"/>
      <c r="S272"/>
      <c r="T272"/>
      <c r="U272"/>
      <c r="V272"/>
      <c r="W272"/>
      <c r="X272"/>
      <c r="Y272"/>
      <c r="Z272"/>
      <c r="AA272"/>
      <c r="AB272"/>
      <c r="AC272"/>
      <c r="AD272"/>
    </row>
    <row r="273" spans="1:30" s="45" customFormat="1" x14ac:dyDescent="0.2">
      <c r="A273"/>
      <c r="B273"/>
      <c r="C273"/>
      <c r="D273"/>
      <c r="E273"/>
      <c r="F273"/>
      <c r="G273"/>
      <c r="H273"/>
      <c r="I273"/>
      <c r="J273"/>
      <c r="K273"/>
      <c r="L273"/>
      <c r="M273"/>
      <c r="N273"/>
      <c r="O273"/>
      <c r="P273"/>
      <c r="Q273"/>
      <c r="R273"/>
      <c r="S273"/>
      <c r="T273"/>
      <c r="U273"/>
      <c r="V273"/>
      <c r="W273"/>
      <c r="X273"/>
      <c r="Y273"/>
      <c r="Z273"/>
      <c r="AA273"/>
      <c r="AB273"/>
      <c r="AC273"/>
      <c r="AD273"/>
    </row>
    <row r="274" spans="1:30" s="45" customFormat="1" x14ac:dyDescent="0.2">
      <c r="A274"/>
      <c r="B274"/>
      <c r="C274"/>
      <c r="D274"/>
      <c r="E274"/>
      <c r="F274"/>
      <c r="G274"/>
      <c r="H274"/>
      <c r="I274"/>
      <c r="J274"/>
      <c r="K274"/>
      <c r="L274"/>
      <c r="M274"/>
      <c r="N274"/>
      <c r="O274"/>
      <c r="P274"/>
      <c r="Q274"/>
      <c r="R274"/>
      <c r="S274"/>
      <c r="T274"/>
      <c r="U274"/>
      <c r="V274"/>
      <c r="W274"/>
      <c r="X274"/>
      <c r="Y274"/>
      <c r="Z274"/>
      <c r="AA274"/>
      <c r="AB274"/>
      <c r="AC274"/>
      <c r="AD274"/>
    </row>
    <row r="275" spans="1:30" s="45" customFormat="1" x14ac:dyDescent="0.2">
      <c r="A275"/>
      <c r="B275"/>
      <c r="C275"/>
      <c r="D275"/>
      <c r="E275"/>
      <c r="F275"/>
      <c r="G275"/>
      <c r="H275"/>
      <c r="I275"/>
      <c r="J275"/>
      <c r="K275"/>
      <c r="L275"/>
      <c r="M275"/>
      <c r="N275"/>
      <c r="O275"/>
      <c r="P275"/>
      <c r="Q275"/>
      <c r="R275"/>
      <c r="S275"/>
      <c r="T275"/>
      <c r="U275"/>
      <c r="V275"/>
      <c r="W275"/>
      <c r="X275"/>
      <c r="Y275"/>
      <c r="Z275"/>
      <c r="AA275"/>
      <c r="AB275"/>
      <c r="AC275"/>
      <c r="AD275"/>
    </row>
    <row r="276" spans="1:30" s="45" customFormat="1" x14ac:dyDescent="0.2">
      <c r="A276"/>
      <c r="B276"/>
      <c r="C276"/>
      <c r="D276"/>
      <c r="E276"/>
      <c r="F276"/>
      <c r="G276"/>
      <c r="H276"/>
      <c r="I276"/>
      <c r="J276"/>
      <c r="K276"/>
      <c r="L276"/>
      <c r="M276"/>
      <c r="N276"/>
      <c r="O276"/>
      <c r="P276"/>
      <c r="Q276"/>
      <c r="R276"/>
      <c r="S276"/>
      <c r="T276"/>
      <c r="U276"/>
      <c r="V276"/>
      <c r="W276"/>
      <c r="X276"/>
      <c r="Y276"/>
      <c r="Z276"/>
      <c r="AA276"/>
      <c r="AB276"/>
      <c r="AC276"/>
      <c r="AD276"/>
    </row>
    <row r="277" spans="1:30" s="45" customFormat="1" x14ac:dyDescent="0.2">
      <c r="A277"/>
      <c r="B277"/>
      <c r="C277"/>
      <c r="D277"/>
      <c r="E277"/>
      <c r="F277"/>
      <c r="G277"/>
      <c r="H277"/>
      <c r="I277"/>
      <c r="J277"/>
      <c r="K277"/>
      <c r="L277"/>
      <c r="M277"/>
      <c r="N277"/>
      <c r="O277"/>
      <c r="P277"/>
      <c r="Q277"/>
      <c r="R277"/>
      <c r="S277"/>
      <c r="T277"/>
      <c r="U277"/>
      <c r="V277"/>
      <c r="W277"/>
      <c r="X277"/>
      <c r="Y277"/>
      <c r="Z277"/>
      <c r="AA277"/>
      <c r="AB277"/>
      <c r="AC277"/>
      <c r="AD277"/>
    </row>
    <row r="278" spans="1:30" s="45" customFormat="1" x14ac:dyDescent="0.2">
      <c r="A278"/>
      <c r="B278"/>
      <c r="C278"/>
      <c r="D278"/>
      <c r="E278"/>
      <c r="F278"/>
      <c r="G278"/>
      <c r="H278"/>
      <c r="I278"/>
      <c r="J278"/>
      <c r="K278"/>
      <c r="L278"/>
      <c r="M278"/>
      <c r="N278"/>
      <c r="O278"/>
      <c r="P278"/>
      <c r="Q278"/>
      <c r="R278"/>
      <c r="S278"/>
      <c r="T278"/>
      <c r="U278"/>
      <c r="V278"/>
      <c r="W278"/>
      <c r="X278"/>
      <c r="Y278"/>
      <c r="Z278"/>
      <c r="AA278"/>
      <c r="AB278"/>
      <c r="AC278"/>
      <c r="AD278"/>
    </row>
    <row r="279" spans="1:30" s="45" customFormat="1" x14ac:dyDescent="0.2">
      <c r="A279"/>
      <c r="B279"/>
      <c r="C279"/>
      <c r="D279"/>
      <c r="E279"/>
      <c r="F279"/>
      <c r="G279"/>
      <c r="H279"/>
      <c r="I279"/>
      <c r="J279"/>
      <c r="K279"/>
      <c r="L279"/>
      <c r="M279"/>
      <c r="N279"/>
      <c r="O279"/>
      <c r="P279"/>
      <c r="Q279"/>
      <c r="R279"/>
      <c r="S279"/>
      <c r="T279"/>
      <c r="U279"/>
      <c r="V279"/>
      <c r="W279"/>
      <c r="X279"/>
      <c r="Y279"/>
      <c r="Z279"/>
      <c r="AA279"/>
      <c r="AB279"/>
      <c r="AC279"/>
      <c r="AD279"/>
    </row>
    <row r="280" spans="1:30" s="45" customFormat="1" x14ac:dyDescent="0.2">
      <c r="A280"/>
      <c r="B280"/>
      <c r="C280"/>
      <c r="D280"/>
      <c r="E280"/>
      <c r="F280"/>
      <c r="G280"/>
      <c r="H280"/>
      <c r="I280"/>
      <c r="J280"/>
      <c r="K280"/>
      <c r="L280"/>
      <c r="M280"/>
      <c r="N280"/>
      <c r="O280"/>
      <c r="P280"/>
      <c r="Q280"/>
      <c r="R280"/>
      <c r="S280"/>
      <c r="T280"/>
      <c r="U280"/>
      <c r="V280"/>
      <c r="W280"/>
      <c r="X280"/>
      <c r="Y280"/>
      <c r="Z280"/>
      <c r="AA280"/>
      <c r="AB280"/>
      <c r="AC280"/>
      <c r="AD280"/>
    </row>
    <row r="281" spans="1:30" s="45" customFormat="1" x14ac:dyDescent="0.2">
      <c r="A281"/>
      <c r="B281"/>
      <c r="C281"/>
      <c r="D281"/>
      <c r="E281"/>
      <c r="F281"/>
      <c r="G281"/>
      <c r="H281"/>
      <c r="I281"/>
      <c r="J281"/>
      <c r="K281"/>
      <c r="L281"/>
      <c r="M281"/>
      <c r="N281"/>
      <c r="O281"/>
      <c r="P281"/>
      <c r="Q281"/>
      <c r="R281"/>
      <c r="S281"/>
      <c r="T281"/>
      <c r="U281"/>
      <c r="V281"/>
      <c r="W281"/>
      <c r="X281"/>
      <c r="Y281"/>
      <c r="Z281"/>
      <c r="AA281"/>
      <c r="AB281"/>
      <c r="AC281"/>
      <c r="AD281"/>
    </row>
    <row r="282" spans="1:30" s="45" customFormat="1" x14ac:dyDescent="0.2">
      <c r="A282"/>
      <c r="B282"/>
      <c r="C282"/>
      <c r="D282"/>
      <c r="E282"/>
      <c r="F282"/>
      <c r="G282"/>
      <c r="H282"/>
      <c r="I282"/>
      <c r="J282"/>
      <c r="K282"/>
      <c r="L282"/>
      <c r="M282"/>
      <c r="N282"/>
      <c r="O282"/>
      <c r="P282"/>
      <c r="Q282"/>
      <c r="R282"/>
      <c r="S282"/>
      <c r="T282"/>
      <c r="U282"/>
      <c r="V282"/>
      <c r="W282"/>
      <c r="X282"/>
      <c r="Y282"/>
      <c r="Z282"/>
      <c r="AA282"/>
      <c r="AB282"/>
      <c r="AC282"/>
      <c r="AD282"/>
    </row>
    <row r="283" spans="1:30" s="45" customFormat="1" x14ac:dyDescent="0.2">
      <c r="A283"/>
      <c r="B283"/>
      <c r="C283"/>
      <c r="D283"/>
      <c r="E283"/>
      <c r="F283"/>
      <c r="G283"/>
      <c r="H283"/>
      <c r="I283"/>
      <c r="J283"/>
      <c r="K283"/>
      <c r="L283"/>
      <c r="M283"/>
      <c r="N283"/>
      <c r="O283"/>
      <c r="P283"/>
      <c r="Q283"/>
      <c r="R283"/>
      <c r="S283"/>
      <c r="T283"/>
      <c r="U283"/>
      <c r="V283"/>
      <c r="W283"/>
      <c r="X283"/>
      <c r="Y283"/>
      <c r="Z283"/>
      <c r="AA283"/>
      <c r="AB283"/>
      <c r="AC283"/>
      <c r="AD283"/>
    </row>
    <row r="284" spans="1:30" s="45" customFormat="1" x14ac:dyDescent="0.2">
      <c r="A284"/>
      <c r="B284"/>
      <c r="C284"/>
      <c r="D284"/>
      <c r="E284"/>
      <c r="F284"/>
      <c r="G284"/>
      <c r="H284"/>
      <c r="I284"/>
      <c r="J284"/>
      <c r="K284"/>
      <c r="L284"/>
      <c r="M284"/>
      <c r="N284"/>
      <c r="O284"/>
      <c r="P284"/>
      <c r="Q284"/>
      <c r="R284"/>
      <c r="S284"/>
      <c r="T284"/>
      <c r="U284"/>
      <c r="V284"/>
      <c r="W284"/>
      <c r="X284"/>
      <c r="Y284"/>
      <c r="Z284"/>
      <c r="AA284"/>
      <c r="AB284"/>
      <c r="AC284"/>
      <c r="AD284"/>
    </row>
    <row r="285" spans="1:30" s="45" customFormat="1" x14ac:dyDescent="0.2">
      <c r="A285"/>
      <c r="B285"/>
      <c r="C285"/>
      <c r="D285"/>
      <c r="E285"/>
      <c r="F285"/>
      <c r="G285"/>
      <c r="H285"/>
      <c r="I285"/>
      <c r="J285"/>
      <c r="K285"/>
      <c r="L285"/>
      <c r="M285"/>
      <c r="N285"/>
      <c r="O285"/>
      <c r="P285"/>
      <c r="Q285"/>
      <c r="R285"/>
      <c r="S285"/>
      <c r="T285"/>
      <c r="U285"/>
      <c r="V285"/>
      <c r="W285"/>
      <c r="X285"/>
      <c r="Y285"/>
      <c r="Z285"/>
      <c r="AA285"/>
      <c r="AB285"/>
      <c r="AC285"/>
      <c r="AD285"/>
    </row>
    <row r="286" spans="1:30" s="45" customFormat="1" x14ac:dyDescent="0.2">
      <c r="A286"/>
      <c r="B286"/>
      <c r="C286"/>
      <c r="D286"/>
      <c r="E286"/>
      <c r="F286"/>
      <c r="G286"/>
      <c r="H286"/>
      <c r="I286"/>
      <c r="J286"/>
      <c r="K286"/>
      <c r="L286"/>
      <c r="M286"/>
      <c r="N286"/>
      <c r="O286"/>
      <c r="P286"/>
      <c r="Q286"/>
      <c r="R286"/>
      <c r="S286"/>
      <c r="T286"/>
      <c r="U286"/>
      <c r="V286"/>
      <c r="W286"/>
      <c r="X286"/>
      <c r="Y286"/>
      <c r="Z286"/>
      <c r="AA286"/>
      <c r="AB286"/>
      <c r="AC286"/>
      <c r="AD286"/>
    </row>
    <row r="287" spans="1:30" s="45" customFormat="1" x14ac:dyDescent="0.2">
      <c r="A287"/>
      <c r="B287"/>
      <c r="C287"/>
      <c r="D287"/>
      <c r="E287"/>
      <c r="F287"/>
      <c r="G287"/>
      <c r="H287"/>
      <c r="I287"/>
      <c r="J287"/>
      <c r="K287"/>
      <c r="L287"/>
      <c r="M287"/>
      <c r="N287"/>
      <c r="O287"/>
      <c r="P287"/>
      <c r="Q287"/>
      <c r="R287"/>
      <c r="S287"/>
      <c r="T287"/>
      <c r="U287"/>
      <c r="V287"/>
      <c r="W287"/>
      <c r="X287"/>
      <c r="Y287"/>
      <c r="Z287"/>
      <c r="AA287"/>
      <c r="AB287"/>
      <c r="AC287"/>
      <c r="AD287"/>
    </row>
    <row r="288" spans="1:30" s="45" customFormat="1" x14ac:dyDescent="0.2">
      <c r="A288"/>
      <c r="B288"/>
      <c r="C288"/>
      <c r="D288"/>
      <c r="E288"/>
      <c r="F288"/>
      <c r="G288"/>
      <c r="H288"/>
      <c r="I288"/>
      <c r="J288"/>
      <c r="K288"/>
      <c r="L288"/>
      <c r="M288"/>
      <c r="N288"/>
      <c r="O288"/>
      <c r="P288"/>
      <c r="Q288"/>
      <c r="R288"/>
      <c r="S288"/>
      <c r="T288"/>
      <c r="U288"/>
      <c r="V288"/>
      <c r="W288"/>
      <c r="X288"/>
      <c r="Y288"/>
      <c r="Z288"/>
      <c r="AA288"/>
      <c r="AB288"/>
      <c r="AC288"/>
      <c r="AD288"/>
    </row>
    <row r="289" spans="1:30" s="45" customFormat="1" x14ac:dyDescent="0.2">
      <c r="A289"/>
      <c r="B289"/>
      <c r="C289"/>
      <c r="D289"/>
      <c r="E289"/>
      <c r="F289"/>
      <c r="G289"/>
      <c r="H289"/>
      <c r="I289"/>
      <c r="J289"/>
      <c r="K289"/>
      <c r="L289"/>
      <c r="M289"/>
      <c r="N289"/>
      <c r="O289"/>
      <c r="P289"/>
      <c r="Q289"/>
      <c r="R289"/>
      <c r="S289"/>
      <c r="T289"/>
      <c r="U289"/>
      <c r="V289"/>
      <c r="W289"/>
      <c r="X289"/>
      <c r="Y289"/>
      <c r="Z289"/>
      <c r="AA289"/>
      <c r="AB289"/>
      <c r="AC289"/>
      <c r="AD289"/>
    </row>
    <row r="290" spans="1:30" s="45" customFormat="1" x14ac:dyDescent="0.2">
      <c r="A290"/>
      <c r="B290"/>
      <c r="C290"/>
      <c r="D290"/>
      <c r="E290"/>
      <c r="F290"/>
      <c r="G290"/>
      <c r="H290"/>
      <c r="I290"/>
      <c r="J290"/>
      <c r="K290"/>
      <c r="L290"/>
      <c r="M290"/>
      <c r="N290"/>
      <c r="O290"/>
      <c r="P290"/>
      <c r="Q290"/>
      <c r="R290"/>
      <c r="S290"/>
      <c r="T290"/>
      <c r="U290"/>
      <c r="V290"/>
      <c r="W290"/>
      <c r="X290"/>
      <c r="Y290"/>
      <c r="Z290"/>
      <c r="AA290"/>
      <c r="AB290"/>
      <c r="AC290"/>
      <c r="AD290"/>
    </row>
    <row r="291" spans="1:30" s="45" customFormat="1" x14ac:dyDescent="0.2">
      <c r="A291"/>
      <c r="B291"/>
      <c r="C291"/>
      <c r="D291"/>
      <c r="E291"/>
      <c r="F291"/>
      <c r="G291"/>
      <c r="H291"/>
      <c r="I291"/>
      <c r="J291"/>
      <c r="K291"/>
      <c r="L291"/>
      <c r="M291"/>
      <c r="N291"/>
      <c r="O291"/>
      <c r="P291"/>
      <c r="Q291"/>
      <c r="R291"/>
      <c r="S291"/>
      <c r="T291"/>
      <c r="U291"/>
      <c r="V291"/>
      <c r="W291"/>
      <c r="X291"/>
      <c r="Y291"/>
      <c r="Z291"/>
      <c r="AA291"/>
      <c r="AB291"/>
      <c r="AC291"/>
      <c r="AD291"/>
    </row>
    <row r="292" spans="1:30" s="45" customFormat="1" x14ac:dyDescent="0.2">
      <c r="A292"/>
      <c r="B292"/>
      <c r="C292"/>
      <c r="D292"/>
      <c r="E292"/>
      <c r="F292"/>
      <c r="G292"/>
      <c r="H292"/>
      <c r="I292"/>
      <c r="J292"/>
      <c r="K292"/>
      <c r="L292"/>
      <c r="M292"/>
      <c r="N292"/>
      <c r="O292"/>
      <c r="P292"/>
      <c r="Q292"/>
      <c r="R292"/>
      <c r="S292"/>
      <c r="T292"/>
      <c r="U292"/>
      <c r="V292"/>
      <c r="W292"/>
      <c r="X292"/>
      <c r="Y292"/>
      <c r="Z292"/>
      <c r="AA292"/>
      <c r="AB292"/>
      <c r="AC292"/>
      <c r="AD292"/>
    </row>
    <row r="293" spans="1:30" s="45" customFormat="1" x14ac:dyDescent="0.2">
      <c r="A293"/>
      <c r="B293"/>
      <c r="C293"/>
      <c r="D293"/>
      <c r="E293"/>
      <c r="F293"/>
      <c r="G293"/>
      <c r="H293"/>
      <c r="I293"/>
      <c r="J293"/>
      <c r="K293"/>
      <c r="L293"/>
      <c r="M293"/>
      <c r="N293"/>
      <c r="O293"/>
      <c r="P293"/>
      <c r="Q293"/>
      <c r="R293"/>
      <c r="S293"/>
      <c r="T293"/>
      <c r="U293"/>
      <c r="V293"/>
      <c r="W293"/>
      <c r="X293"/>
      <c r="Y293"/>
      <c r="Z293"/>
      <c r="AA293"/>
      <c r="AB293"/>
      <c r="AC293"/>
      <c r="AD293"/>
    </row>
    <row r="294" spans="1:30" s="45" customFormat="1" x14ac:dyDescent="0.2">
      <c r="A294"/>
      <c r="B294"/>
      <c r="C294"/>
      <c r="D294"/>
      <c r="E294"/>
      <c r="F294"/>
      <c r="G294"/>
      <c r="H294"/>
      <c r="I294"/>
      <c r="J294"/>
      <c r="K294"/>
      <c r="L294"/>
      <c r="M294"/>
      <c r="N294"/>
      <c r="O294"/>
      <c r="P294"/>
      <c r="Q294"/>
      <c r="R294"/>
      <c r="S294"/>
      <c r="T294"/>
      <c r="U294"/>
      <c r="V294"/>
      <c r="W294"/>
      <c r="X294"/>
      <c r="Y294"/>
      <c r="Z294"/>
      <c r="AA294"/>
      <c r="AB294"/>
      <c r="AC294"/>
      <c r="AD294"/>
    </row>
    <row r="295" spans="1:30" s="45" customFormat="1" x14ac:dyDescent="0.2">
      <c r="A295"/>
      <c r="B295"/>
      <c r="C295"/>
      <c r="D295"/>
      <c r="E295"/>
      <c r="F295"/>
      <c r="G295"/>
      <c r="H295"/>
      <c r="I295"/>
      <c r="J295"/>
      <c r="K295"/>
      <c r="L295"/>
      <c r="M295"/>
      <c r="N295"/>
      <c r="O295"/>
      <c r="P295"/>
      <c r="Q295"/>
      <c r="R295"/>
      <c r="S295"/>
      <c r="T295"/>
      <c r="U295"/>
      <c r="V295"/>
      <c r="W295"/>
      <c r="X295"/>
      <c r="Y295"/>
      <c r="Z295"/>
      <c r="AA295"/>
      <c r="AB295"/>
      <c r="AC295"/>
      <c r="AD295"/>
    </row>
    <row r="296" spans="1:30" s="45" customFormat="1" x14ac:dyDescent="0.2">
      <c r="A296"/>
      <c r="B296"/>
      <c r="C296"/>
      <c r="D296"/>
      <c r="E296"/>
      <c r="F296"/>
      <c r="G296"/>
      <c r="H296"/>
      <c r="I296"/>
      <c r="J296"/>
      <c r="K296"/>
      <c r="L296"/>
      <c r="M296"/>
      <c r="N296"/>
      <c r="O296"/>
      <c r="P296"/>
      <c r="Q296"/>
      <c r="R296"/>
      <c r="S296"/>
      <c r="T296"/>
      <c r="U296"/>
      <c r="V296"/>
      <c r="W296"/>
      <c r="X296"/>
      <c r="Y296"/>
      <c r="Z296"/>
      <c r="AA296"/>
      <c r="AB296"/>
      <c r="AC296"/>
      <c r="AD296"/>
    </row>
    <row r="297" spans="1:30" s="45" customFormat="1" x14ac:dyDescent="0.2">
      <c r="A297"/>
      <c r="B297"/>
      <c r="C297"/>
      <c r="D297"/>
      <c r="E297"/>
      <c r="F297"/>
      <c r="G297"/>
      <c r="H297"/>
      <c r="I297"/>
      <c r="J297"/>
      <c r="K297"/>
      <c r="L297"/>
      <c r="M297"/>
      <c r="N297"/>
      <c r="O297"/>
      <c r="P297"/>
      <c r="Q297"/>
      <c r="R297"/>
      <c r="S297"/>
      <c r="T297"/>
      <c r="U297"/>
      <c r="V297"/>
      <c r="W297"/>
      <c r="X297"/>
      <c r="Y297"/>
      <c r="Z297"/>
      <c r="AA297"/>
      <c r="AB297"/>
      <c r="AC297"/>
      <c r="AD297"/>
    </row>
    <row r="298" spans="1:30" s="45" customFormat="1" x14ac:dyDescent="0.2">
      <c r="A298"/>
      <c r="B298"/>
      <c r="C298"/>
      <c r="D298"/>
      <c r="E298"/>
      <c r="F298"/>
      <c r="G298"/>
      <c r="H298"/>
      <c r="I298"/>
      <c r="J298"/>
      <c r="K298"/>
      <c r="L298"/>
      <c r="M298"/>
      <c r="N298"/>
      <c r="O298"/>
      <c r="P298"/>
      <c r="Q298"/>
      <c r="R298"/>
      <c r="S298"/>
      <c r="T298"/>
      <c r="U298"/>
      <c r="V298"/>
      <c r="W298"/>
      <c r="X298"/>
      <c r="Y298"/>
      <c r="Z298"/>
      <c r="AA298"/>
      <c r="AB298"/>
      <c r="AC298"/>
      <c r="AD298"/>
    </row>
    <row r="299" spans="1:30" s="45" customFormat="1" x14ac:dyDescent="0.2">
      <c r="A299"/>
      <c r="B299"/>
      <c r="C299"/>
      <c r="D299"/>
      <c r="E299"/>
      <c r="F299"/>
      <c r="G299"/>
      <c r="H299"/>
      <c r="I299"/>
      <c r="J299"/>
      <c r="K299"/>
      <c r="L299"/>
      <c r="M299"/>
      <c r="N299"/>
      <c r="O299"/>
      <c r="P299"/>
      <c r="Q299"/>
      <c r="R299"/>
      <c r="S299"/>
      <c r="T299"/>
      <c r="U299"/>
      <c r="V299"/>
      <c r="W299"/>
      <c r="X299"/>
      <c r="Y299"/>
      <c r="Z299"/>
      <c r="AA299"/>
      <c r="AB299"/>
      <c r="AC299"/>
      <c r="AD299"/>
    </row>
    <row r="300" spans="1:30" s="45" customFormat="1" x14ac:dyDescent="0.2">
      <c r="A300"/>
      <c r="B300"/>
      <c r="C300"/>
      <c r="D300"/>
      <c r="E300"/>
      <c r="F300"/>
      <c r="G300"/>
      <c r="H300"/>
      <c r="I300"/>
      <c r="J300"/>
      <c r="K300"/>
      <c r="L300"/>
      <c r="M300"/>
      <c r="N300"/>
      <c r="O300"/>
      <c r="P300"/>
      <c r="Q300"/>
      <c r="R300"/>
      <c r="S300"/>
      <c r="T300"/>
      <c r="U300"/>
      <c r="V300"/>
      <c r="W300"/>
      <c r="X300"/>
      <c r="Y300"/>
      <c r="Z300"/>
      <c r="AA300"/>
      <c r="AB300"/>
      <c r="AC300"/>
      <c r="AD300"/>
    </row>
    <row r="301" spans="1:30" s="45" customFormat="1" x14ac:dyDescent="0.2">
      <c r="A301"/>
      <c r="B301"/>
      <c r="C301"/>
      <c r="D301"/>
      <c r="E301"/>
      <c r="F301"/>
      <c r="G301"/>
      <c r="H301"/>
      <c r="I301"/>
      <c r="J301"/>
      <c r="K301"/>
      <c r="L301"/>
      <c r="M301"/>
      <c r="N301"/>
      <c r="O301"/>
      <c r="P301"/>
      <c r="Q301"/>
      <c r="R301"/>
      <c r="S301"/>
      <c r="T301"/>
      <c r="U301"/>
      <c r="V301"/>
      <c r="W301"/>
      <c r="X301"/>
      <c r="Y301"/>
      <c r="Z301"/>
      <c r="AA301"/>
      <c r="AB301"/>
      <c r="AC301"/>
      <c r="AD301"/>
    </row>
    <row r="302" spans="1:30" s="45" customFormat="1" x14ac:dyDescent="0.2">
      <c r="A302"/>
      <c r="B302"/>
      <c r="C302"/>
      <c r="D302"/>
      <c r="E302"/>
      <c r="F302"/>
      <c r="G302"/>
      <c r="H302"/>
      <c r="I302"/>
      <c r="J302"/>
      <c r="K302"/>
      <c r="L302"/>
      <c r="M302"/>
      <c r="N302"/>
      <c r="O302"/>
      <c r="P302"/>
      <c r="Q302"/>
      <c r="R302"/>
      <c r="S302"/>
      <c r="T302"/>
      <c r="U302"/>
      <c r="V302"/>
      <c r="W302"/>
      <c r="X302"/>
      <c r="Y302"/>
      <c r="Z302"/>
      <c r="AA302"/>
      <c r="AB302"/>
      <c r="AC302"/>
      <c r="AD302"/>
    </row>
    <row r="303" spans="1:30" s="45" customFormat="1" x14ac:dyDescent="0.2">
      <c r="A303"/>
      <c r="B303"/>
      <c r="C303"/>
      <c r="D303"/>
      <c r="E303"/>
      <c r="F303"/>
      <c r="G303"/>
      <c r="H303"/>
      <c r="I303"/>
      <c r="J303"/>
      <c r="K303"/>
      <c r="L303"/>
      <c r="M303"/>
      <c r="N303"/>
      <c r="O303"/>
      <c r="P303"/>
      <c r="Q303"/>
      <c r="R303"/>
      <c r="S303"/>
      <c r="T303"/>
      <c r="U303"/>
      <c r="V303"/>
      <c r="W303"/>
      <c r="X303"/>
      <c r="Y303"/>
      <c r="Z303"/>
      <c r="AA303"/>
      <c r="AB303"/>
      <c r="AC303"/>
      <c r="AD303"/>
    </row>
    <row r="304" spans="1:30" s="45" customFormat="1" x14ac:dyDescent="0.2">
      <c r="A304"/>
      <c r="B304"/>
      <c r="C304"/>
      <c r="D304"/>
      <c r="E304"/>
      <c r="F304"/>
      <c r="G304"/>
      <c r="H304"/>
      <c r="I304"/>
      <c r="J304"/>
      <c r="K304"/>
      <c r="L304"/>
      <c r="M304"/>
      <c r="N304"/>
      <c r="O304"/>
      <c r="P304"/>
      <c r="Q304"/>
      <c r="R304"/>
      <c r="S304"/>
      <c r="T304"/>
      <c r="U304"/>
      <c r="V304"/>
      <c r="W304"/>
      <c r="X304"/>
      <c r="Y304"/>
      <c r="Z304"/>
      <c r="AA304"/>
      <c r="AB304"/>
      <c r="AC304"/>
      <c r="AD304"/>
    </row>
    <row r="305" spans="1:30" s="45" customFormat="1" x14ac:dyDescent="0.2">
      <c r="A305"/>
      <c r="B305"/>
      <c r="C305"/>
      <c r="D305"/>
      <c r="E305"/>
      <c r="F305"/>
      <c r="G305"/>
      <c r="H305"/>
      <c r="I305"/>
      <c r="J305"/>
      <c r="K305"/>
      <c r="L305"/>
      <c r="M305"/>
      <c r="N305"/>
      <c r="O305"/>
      <c r="P305"/>
      <c r="Q305"/>
      <c r="R305"/>
      <c r="S305"/>
      <c r="T305"/>
      <c r="U305"/>
      <c r="V305"/>
      <c r="W305"/>
      <c r="X305"/>
      <c r="Y305"/>
      <c r="Z305"/>
      <c r="AA305"/>
      <c r="AB305"/>
      <c r="AC305"/>
      <c r="AD305"/>
    </row>
    <row r="306" spans="1:30" s="45" customFormat="1" x14ac:dyDescent="0.2">
      <c r="A306"/>
      <c r="B306"/>
      <c r="C306"/>
      <c r="D306"/>
      <c r="E306"/>
      <c r="F306"/>
      <c r="G306"/>
      <c r="H306"/>
      <c r="I306"/>
      <c r="J306"/>
      <c r="K306"/>
      <c r="L306"/>
      <c r="M306"/>
      <c r="N306"/>
      <c r="O306"/>
      <c r="P306"/>
      <c r="Q306"/>
      <c r="R306"/>
      <c r="S306"/>
      <c r="T306"/>
      <c r="U306"/>
      <c r="V306"/>
      <c r="W306"/>
      <c r="X306"/>
      <c r="Y306"/>
      <c r="Z306"/>
      <c r="AA306"/>
      <c r="AB306"/>
      <c r="AC306"/>
      <c r="AD306"/>
    </row>
    <row r="307" spans="1:30" s="45" customFormat="1" x14ac:dyDescent="0.2">
      <c r="A307"/>
      <c r="B307"/>
      <c r="C307"/>
      <c r="D307"/>
      <c r="E307"/>
      <c r="F307"/>
      <c r="G307"/>
      <c r="H307"/>
      <c r="I307"/>
      <c r="J307"/>
      <c r="K307"/>
      <c r="L307"/>
      <c r="M307"/>
      <c r="N307"/>
      <c r="O307"/>
      <c r="P307"/>
      <c r="Q307"/>
      <c r="R307"/>
      <c r="S307"/>
      <c r="T307"/>
      <c r="U307"/>
      <c r="V307"/>
      <c r="W307"/>
      <c r="X307"/>
      <c r="Y307"/>
      <c r="Z307"/>
      <c r="AA307"/>
      <c r="AB307"/>
      <c r="AC307"/>
      <c r="AD307"/>
    </row>
    <row r="308" spans="1:30" s="45" customFormat="1" x14ac:dyDescent="0.2">
      <c r="A308"/>
      <c r="B308"/>
      <c r="C308"/>
      <c r="D308"/>
      <c r="E308"/>
      <c r="F308"/>
      <c r="G308"/>
      <c r="H308"/>
      <c r="I308"/>
      <c r="J308"/>
      <c r="K308"/>
      <c r="L308"/>
      <c r="M308"/>
      <c r="N308"/>
      <c r="O308"/>
      <c r="P308"/>
      <c r="Q308"/>
      <c r="R308"/>
      <c r="S308"/>
      <c r="T308"/>
      <c r="U308"/>
      <c r="V308"/>
      <c r="W308"/>
      <c r="X308"/>
      <c r="Y308"/>
      <c r="Z308"/>
      <c r="AA308"/>
      <c r="AB308"/>
      <c r="AC308"/>
      <c r="AD308"/>
    </row>
    <row r="309" spans="1:30" s="45" customFormat="1" x14ac:dyDescent="0.2">
      <c r="A309"/>
      <c r="B309"/>
      <c r="C309"/>
      <c r="D309"/>
      <c r="E309"/>
      <c r="F309"/>
      <c r="G309"/>
      <c r="H309"/>
      <c r="I309"/>
      <c r="J309"/>
      <c r="K309"/>
      <c r="L309"/>
      <c r="M309"/>
      <c r="N309"/>
      <c r="O309"/>
      <c r="P309"/>
      <c r="Q309"/>
      <c r="R309"/>
      <c r="S309"/>
      <c r="T309"/>
      <c r="U309"/>
      <c r="V309"/>
      <c r="W309"/>
      <c r="X309"/>
      <c r="Y309"/>
      <c r="Z309"/>
      <c r="AA309"/>
      <c r="AB309"/>
      <c r="AC309"/>
      <c r="AD309"/>
    </row>
    <row r="310" spans="1:30" s="45" customFormat="1" x14ac:dyDescent="0.2">
      <c r="A310"/>
      <c r="B310"/>
      <c r="C310"/>
      <c r="D310"/>
      <c r="E310"/>
      <c r="F310"/>
      <c r="G310"/>
      <c r="H310"/>
      <c r="I310"/>
      <c r="J310"/>
      <c r="K310"/>
      <c r="L310"/>
      <c r="M310"/>
      <c r="N310"/>
      <c r="O310"/>
      <c r="P310"/>
      <c r="Q310"/>
      <c r="R310"/>
      <c r="S310"/>
      <c r="T310"/>
      <c r="U310"/>
      <c r="V310"/>
      <c r="W310"/>
      <c r="X310"/>
      <c r="Y310"/>
      <c r="Z310"/>
      <c r="AA310"/>
      <c r="AB310"/>
      <c r="AC310"/>
      <c r="AD310"/>
    </row>
    <row r="311" spans="1:30" s="45" customFormat="1" x14ac:dyDescent="0.2">
      <c r="A311"/>
      <c r="B311"/>
      <c r="C311"/>
      <c r="D311"/>
      <c r="E311"/>
      <c r="F311"/>
      <c r="G311"/>
      <c r="H311"/>
      <c r="I311"/>
      <c r="J311"/>
      <c r="K311"/>
      <c r="L311"/>
      <c r="M311"/>
      <c r="N311"/>
      <c r="O311"/>
      <c r="P311"/>
      <c r="Q311"/>
      <c r="R311"/>
      <c r="S311"/>
      <c r="T311"/>
      <c r="U311"/>
      <c r="V311"/>
      <c r="W311"/>
      <c r="X311"/>
      <c r="Y311"/>
      <c r="Z311"/>
      <c r="AA311"/>
      <c r="AB311"/>
      <c r="AC311"/>
      <c r="AD311"/>
    </row>
    <row r="312" spans="1:30" s="45" customFormat="1" x14ac:dyDescent="0.2">
      <c r="A312"/>
      <c r="B312"/>
      <c r="C312"/>
      <c r="D312"/>
      <c r="E312"/>
      <c r="F312"/>
      <c r="G312"/>
      <c r="H312"/>
      <c r="I312"/>
      <c r="J312"/>
      <c r="K312"/>
      <c r="L312"/>
      <c r="M312"/>
      <c r="N312"/>
      <c r="O312"/>
      <c r="P312"/>
      <c r="Q312"/>
      <c r="R312"/>
      <c r="S312"/>
      <c r="T312"/>
      <c r="U312"/>
      <c r="V312"/>
      <c r="W312"/>
      <c r="X312"/>
      <c r="Y312"/>
      <c r="Z312"/>
      <c r="AA312"/>
      <c r="AB312"/>
      <c r="AC312"/>
      <c r="AD312"/>
    </row>
    <row r="313" spans="1:30" s="45" customFormat="1" x14ac:dyDescent="0.2">
      <c r="A313"/>
      <c r="B313"/>
      <c r="C313"/>
      <c r="D313"/>
      <c r="E313"/>
      <c r="F313"/>
      <c r="G313"/>
      <c r="H313"/>
      <c r="I313"/>
      <c r="J313"/>
      <c r="K313"/>
      <c r="L313"/>
      <c r="M313"/>
      <c r="N313"/>
      <c r="O313"/>
      <c r="P313"/>
      <c r="Q313"/>
      <c r="R313"/>
      <c r="S313"/>
      <c r="T313"/>
      <c r="U313"/>
      <c r="V313"/>
      <c r="W313"/>
      <c r="X313"/>
      <c r="Y313"/>
      <c r="Z313"/>
      <c r="AA313"/>
      <c r="AB313"/>
      <c r="AC313"/>
      <c r="AD313"/>
    </row>
    <row r="314" spans="1:30" s="45" customFormat="1" x14ac:dyDescent="0.2">
      <c r="A314"/>
      <c r="B314"/>
      <c r="C314"/>
      <c r="D314"/>
      <c r="E314"/>
      <c r="F314"/>
      <c r="G314"/>
      <c r="H314"/>
      <c r="I314"/>
      <c r="J314"/>
      <c r="K314"/>
      <c r="L314"/>
      <c r="M314"/>
      <c r="N314"/>
      <c r="O314"/>
      <c r="P314"/>
      <c r="Q314"/>
      <c r="R314"/>
      <c r="S314"/>
      <c r="T314"/>
      <c r="U314"/>
      <c r="V314"/>
      <c r="W314"/>
      <c r="X314"/>
      <c r="Y314"/>
      <c r="Z314"/>
      <c r="AA314"/>
      <c r="AB314"/>
      <c r="AC314"/>
      <c r="AD314"/>
    </row>
    <row r="315" spans="1:30" s="45" customFormat="1" x14ac:dyDescent="0.2">
      <c r="A315"/>
      <c r="B315"/>
      <c r="C315"/>
      <c r="D315"/>
      <c r="E315"/>
      <c r="F315"/>
      <c r="G315"/>
      <c r="H315"/>
      <c r="I315"/>
      <c r="J315"/>
      <c r="K315"/>
      <c r="L315"/>
      <c r="M315"/>
      <c r="N315"/>
      <c r="O315"/>
      <c r="P315"/>
      <c r="Q315"/>
      <c r="R315"/>
      <c r="S315"/>
      <c r="T315"/>
      <c r="U315"/>
      <c r="V315"/>
      <c r="W315"/>
      <c r="X315"/>
      <c r="Y315"/>
      <c r="Z315"/>
      <c r="AA315"/>
      <c r="AB315"/>
      <c r="AC315"/>
      <c r="AD315"/>
    </row>
    <row r="316" spans="1:30" s="45" customFormat="1" x14ac:dyDescent="0.2">
      <c r="A316"/>
      <c r="B316"/>
      <c r="C316"/>
      <c r="D316"/>
      <c r="E316"/>
      <c r="F316"/>
      <c r="G316"/>
      <c r="H316"/>
      <c r="I316"/>
      <c r="J316"/>
      <c r="K316"/>
      <c r="L316"/>
      <c r="M316"/>
      <c r="N316"/>
      <c r="O316"/>
      <c r="P316"/>
      <c r="Q316"/>
      <c r="R316"/>
      <c r="S316"/>
      <c r="T316"/>
      <c r="U316"/>
      <c r="V316"/>
      <c r="W316"/>
      <c r="X316"/>
      <c r="Y316"/>
      <c r="Z316"/>
      <c r="AA316"/>
      <c r="AB316"/>
      <c r="AC316"/>
      <c r="AD316"/>
    </row>
    <row r="317" spans="1:30" s="45" customFormat="1" x14ac:dyDescent="0.2">
      <c r="A317"/>
      <c r="B317"/>
      <c r="C317"/>
      <c r="D317"/>
      <c r="E317"/>
      <c r="F317"/>
      <c r="G317"/>
      <c r="H317"/>
      <c r="I317"/>
      <c r="J317"/>
      <c r="K317"/>
      <c r="L317"/>
      <c r="M317"/>
      <c r="N317"/>
      <c r="O317"/>
      <c r="P317"/>
      <c r="Q317"/>
      <c r="R317"/>
      <c r="S317"/>
      <c r="T317"/>
      <c r="U317"/>
      <c r="V317"/>
      <c r="W317"/>
      <c r="X317"/>
      <c r="Y317"/>
      <c r="Z317"/>
      <c r="AA317"/>
      <c r="AB317"/>
      <c r="AC317"/>
      <c r="AD317"/>
    </row>
    <row r="318" spans="1:30" s="45" customFormat="1" x14ac:dyDescent="0.2">
      <c r="A318"/>
      <c r="B318"/>
      <c r="C318"/>
      <c r="D318"/>
      <c r="E318"/>
      <c r="F318"/>
      <c r="G318"/>
      <c r="H318"/>
      <c r="I318"/>
      <c r="J318"/>
      <c r="K318"/>
      <c r="L318"/>
      <c r="M318"/>
      <c r="N318"/>
      <c r="O318"/>
      <c r="P318"/>
      <c r="Q318"/>
      <c r="R318"/>
      <c r="S318"/>
      <c r="T318"/>
      <c r="U318"/>
      <c r="V318"/>
      <c r="W318"/>
      <c r="X318"/>
      <c r="Y318"/>
      <c r="Z318"/>
      <c r="AA318"/>
      <c r="AB318"/>
      <c r="AC318"/>
      <c r="AD318"/>
    </row>
    <row r="319" spans="1:30" s="45" customFormat="1" x14ac:dyDescent="0.2">
      <c r="A319"/>
      <c r="B319"/>
      <c r="C319"/>
      <c r="D319"/>
      <c r="E319"/>
      <c r="F319"/>
      <c r="G319"/>
      <c r="H319"/>
      <c r="I319"/>
      <c r="J319"/>
      <c r="K319"/>
      <c r="L319"/>
      <c r="M319"/>
      <c r="N319"/>
      <c r="O319"/>
      <c r="P319"/>
      <c r="Q319"/>
      <c r="R319"/>
      <c r="S319"/>
      <c r="T319"/>
      <c r="U319"/>
      <c r="V319"/>
      <c r="W319"/>
      <c r="X319"/>
      <c r="Y319"/>
      <c r="Z319"/>
      <c r="AA319"/>
      <c r="AB319"/>
      <c r="AC319"/>
      <c r="AD319"/>
    </row>
    <row r="320" spans="1:30" s="45" customFormat="1" x14ac:dyDescent="0.2">
      <c r="A320"/>
      <c r="B320"/>
      <c r="C320"/>
      <c r="D320"/>
      <c r="E320"/>
      <c r="F320"/>
      <c r="G320"/>
      <c r="H320"/>
      <c r="I320"/>
      <c r="J320"/>
      <c r="K320"/>
      <c r="L320"/>
      <c r="M320"/>
      <c r="N320"/>
      <c r="O320"/>
      <c r="P320"/>
      <c r="Q320"/>
      <c r="R320"/>
      <c r="S320"/>
      <c r="T320"/>
      <c r="U320"/>
      <c r="V320"/>
      <c r="W320"/>
      <c r="X320"/>
      <c r="Y320"/>
      <c r="Z320"/>
      <c r="AA320"/>
      <c r="AB320"/>
      <c r="AC320"/>
      <c r="AD320"/>
    </row>
    <row r="321" spans="1:3" x14ac:dyDescent="0.2">
      <c r="A321"/>
      <c r="B321"/>
      <c r="C321"/>
    </row>
    <row r="322" spans="1:3" x14ac:dyDescent="0.2">
      <c r="A322"/>
      <c r="B322"/>
      <c r="C322"/>
    </row>
    <row r="323" spans="1:3" x14ac:dyDescent="0.2">
      <c r="A323"/>
      <c r="B323"/>
      <c r="C323"/>
    </row>
    <row r="324" spans="1:3" x14ac:dyDescent="0.2">
      <c r="A324"/>
      <c r="B324"/>
      <c r="C324"/>
    </row>
    <row r="325" spans="1:3" x14ac:dyDescent="0.2">
      <c r="A325"/>
      <c r="B325"/>
      <c r="C325"/>
    </row>
    <row r="326" spans="1:3" x14ac:dyDescent="0.2">
      <c r="A326"/>
      <c r="B326"/>
      <c r="C326"/>
    </row>
    <row r="327" spans="1:3" x14ac:dyDescent="0.2">
      <c r="A327"/>
      <c r="B327"/>
      <c r="C327"/>
    </row>
    <row r="328" spans="1:3" x14ac:dyDescent="0.2">
      <c r="A328"/>
      <c r="B328"/>
      <c r="C328"/>
    </row>
    <row r="329" spans="1:3" x14ac:dyDescent="0.2">
      <c r="A329"/>
      <c r="B329"/>
      <c r="C329"/>
    </row>
    <row r="330" spans="1:3" x14ac:dyDescent="0.2">
      <c r="A330"/>
      <c r="B330"/>
      <c r="C330"/>
    </row>
    <row r="331" spans="1:3" x14ac:dyDescent="0.2">
      <c r="A331"/>
      <c r="B331"/>
      <c r="C331"/>
    </row>
    <row r="332" spans="1:3" x14ac:dyDescent="0.2">
      <c r="A332"/>
      <c r="B332"/>
      <c r="C332"/>
    </row>
    <row r="333" spans="1:3" x14ac:dyDescent="0.2">
      <c r="A333"/>
      <c r="B333"/>
      <c r="C333"/>
    </row>
    <row r="334" spans="1:3" x14ac:dyDescent="0.2">
      <c r="A334"/>
      <c r="B334"/>
      <c r="C334"/>
    </row>
    <row r="335" spans="1:3" x14ac:dyDescent="0.2">
      <c r="A335"/>
      <c r="B335"/>
      <c r="C335"/>
    </row>
    <row r="336" spans="1:3" x14ac:dyDescent="0.2">
      <c r="A336"/>
      <c r="B336"/>
      <c r="C336"/>
    </row>
    <row r="337" spans="1:30" x14ac:dyDescent="0.2">
      <c r="A337"/>
      <c r="B337"/>
      <c r="C337"/>
    </row>
    <row r="338" spans="1:30" s="45" customFormat="1" x14ac:dyDescent="0.2">
      <c r="A338"/>
      <c r="B338"/>
      <c r="C338"/>
      <c r="D338"/>
      <c r="E338"/>
      <c r="F338"/>
      <c r="G338"/>
      <c r="H338"/>
      <c r="I338"/>
      <c r="J338"/>
      <c r="K338"/>
      <c r="L338"/>
      <c r="M338"/>
      <c r="N338"/>
      <c r="O338"/>
      <c r="P338"/>
      <c r="Q338"/>
      <c r="R338"/>
      <c r="S338"/>
      <c r="T338"/>
      <c r="U338"/>
      <c r="V338"/>
      <c r="W338"/>
      <c r="X338"/>
      <c r="Y338"/>
      <c r="Z338"/>
      <c r="AA338"/>
      <c r="AB338"/>
      <c r="AC338"/>
      <c r="AD338"/>
    </row>
    <row r="339" spans="1:30" s="45" customFormat="1" x14ac:dyDescent="0.2">
      <c r="A339"/>
      <c r="B339"/>
      <c r="C339"/>
      <c r="D339"/>
      <c r="E339"/>
      <c r="F339"/>
      <c r="G339"/>
      <c r="H339"/>
      <c r="I339"/>
      <c r="J339"/>
      <c r="K339"/>
      <c r="L339"/>
      <c r="M339"/>
      <c r="N339"/>
      <c r="O339"/>
      <c r="P339"/>
      <c r="Q339"/>
      <c r="R339"/>
      <c r="S339"/>
      <c r="T339"/>
      <c r="U339"/>
      <c r="V339"/>
      <c r="W339"/>
      <c r="X339"/>
      <c r="Y339"/>
      <c r="Z339"/>
      <c r="AA339"/>
      <c r="AB339"/>
      <c r="AC339"/>
      <c r="AD339"/>
    </row>
    <row r="340" spans="1:30" s="45" customFormat="1" x14ac:dyDescent="0.2">
      <c r="A340"/>
      <c r="B340"/>
      <c r="C340"/>
      <c r="D340"/>
      <c r="E340"/>
      <c r="F340"/>
      <c r="G340"/>
      <c r="H340"/>
      <c r="I340"/>
      <c r="J340"/>
      <c r="K340"/>
      <c r="L340"/>
      <c r="M340"/>
      <c r="N340"/>
      <c r="O340"/>
      <c r="P340"/>
      <c r="Q340"/>
      <c r="R340"/>
      <c r="S340"/>
      <c r="T340"/>
      <c r="U340"/>
      <c r="V340"/>
      <c r="W340"/>
      <c r="X340"/>
      <c r="Y340"/>
      <c r="Z340"/>
      <c r="AA340"/>
      <c r="AB340"/>
      <c r="AC340"/>
      <c r="AD340"/>
    </row>
    <row r="341" spans="1:30" s="45" customFormat="1" x14ac:dyDescent="0.2">
      <c r="A341"/>
      <c r="B341"/>
      <c r="C341"/>
      <c r="D341"/>
      <c r="E341"/>
      <c r="F341"/>
      <c r="G341"/>
      <c r="H341"/>
      <c r="I341"/>
      <c r="J341"/>
      <c r="K341"/>
      <c r="L341"/>
      <c r="M341"/>
      <c r="N341"/>
      <c r="O341"/>
      <c r="P341"/>
      <c r="Q341"/>
      <c r="R341"/>
      <c r="S341"/>
      <c r="T341"/>
      <c r="U341"/>
      <c r="V341"/>
      <c r="W341"/>
      <c r="X341"/>
      <c r="Y341"/>
      <c r="Z341"/>
      <c r="AA341"/>
      <c r="AB341"/>
      <c r="AC341"/>
      <c r="AD341"/>
    </row>
    <row r="342" spans="1:30" s="45" customFormat="1" x14ac:dyDescent="0.2">
      <c r="A342"/>
      <c r="B342"/>
      <c r="C342"/>
      <c r="D342"/>
      <c r="E342"/>
      <c r="F342"/>
      <c r="G342"/>
      <c r="H342"/>
      <c r="I342"/>
      <c r="J342"/>
      <c r="K342"/>
      <c r="L342"/>
      <c r="M342"/>
      <c r="N342"/>
      <c r="O342"/>
      <c r="P342"/>
      <c r="Q342"/>
      <c r="R342"/>
      <c r="S342"/>
      <c r="T342"/>
      <c r="U342"/>
      <c r="V342"/>
      <c r="W342"/>
      <c r="X342"/>
      <c r="Y342"/>
      <c r="Z342"/>
      <c r="AA342"/>
      <c r="AB342"/>
      <c r="AC342"/>
      <c r="AD342"/>
    </row>
    <row r="343" spans="1:30" s="45" customFormat="1" x14ac:dyDescent="0.2">
      <c r="A343"/>
      <c r="B343"/>
      <c r="C343"/>
      <c r="D343"/>
      <c r="E343"/>
      <c r="F343"/>
      <c r="G343"/>
      <c r="H343"/>
      <c r="I343"/>
      <c r="J343"/>
      <c r="K343"/>
      <c r="L343"/>
      <c r="M343"/>
      <c r="N343"/>
      <c r="O343"/>
      <c r="P343"/>
      <c r="Q343"/>
      <c r="R343"/>
      <c r="S343"/>
      <c r="T343"/>
      <c r="U343"/>
      <c r="V343"/>
      <c r="W343"/>
      <c r="X343"/>
      <c r="Y343"/>
      <c r="Z343"/>
      <c r="AA343"/>
      <c r="AB343"/>
      <c r="AC343"/>
      <c r="AD343"/>
    </row>
    <row r="344" spans="1:30" s="45" customFormat="1" x14ac:dyDescent="0.2">
      <c r="A344"/>
      <c r="B344"/>
      <c r="C344"/>
      <c r="D344"/>
      <c r="E344"/>
      <c r="F344"/>
      <c r="G344"/>
      <c r="H344"/>
      <c r="I344"/>
      <c r="J344"/>
      <c r="K344"/>
      <c r="L344"/>
      <c r="M344"/>
      <c r="N344"/>
      <c r="O344"/>
      <c r="P344"/>
      <c r="Q344"/>
      <c r="R344"/>
      <c r="S344"/>
      <c r="T344"/>
      <c r="U344"/>
      <c r="V344"/>
      <c r="W344"/>
      <c r="X344"/>
      <c r="Y344"/>
      <c r="Z344"/>
      <c r="AA344"/>
      <c r="AB344"/>
      <c r="AC344"/>
      <c r="AD344"/>
    </row>
    <row r="345" spans="1:30" s="45" customFormat="1" x14ac:dyDescent="0.2">
      <c r="A345"/>
      <c r="B345"/>
      <c r="C345"/>
      <c r="D345"/>
      <c r="E345"/>
      <c r="F345"/>
      <c r="G345"/>
      <c r="H345"/>
      <c r="I345"/>
      <c r="J345"/>
      <c r="K345"/>
      <c r="L345"/>
      <c r="M345"/>
      <c r="N345"/>
      <c r="O345"/>
      <c r="P345"/>
      <c r="Q345"/>
      <c r="R345"/>
      <c r="S345"/>
      <c r="T345"/>
      <c r="U345"/>
      <c r="V345"/>
      <c r="W345"/>
      <c r="X345"/>
      <c r="Y345"/>
      <c r="Z345"/>
      <c r="AA345"/>
      <c r="AB345"/>
      <c r="AC345"/>
      <c r="AD345"/>
    </row>
    <row r="346" spans="1:30" s="45" customFormat="1" x14ac:dyDescent="0.2">
      <c r="A346"/>
      <c r="B346"/>
      <c r="C346"/>
      <c r="D346"/>
      <c r="E346"/>
      <c r="F346"/>
      <c r="G346"/>
      <c r="H346"/>
      <c r="I346"/>
      <c r="J346"/>
      <c r="K346"/>
      <c r="L346"/>
      <c r="M346"/>
      <c r="N346"/>
      <c r="O346"/>
      <c r="P346"/>
      <c r="Q346"/>
      <c r="R346"/>
      <c r="S346"/>
      <c r="T346"/>
      <c r="U346"/>
      <c r="V346"/>
      <c r="W346"/>
      <c r="X346"/>
      <c r="Y346"/>
      <c r="Z346"/>
      <c r="AA346"/>
      <c r="AB346"/>
      <c r="AC346"/>
      <c r="AD346"/>
    </row>
    <row r="347" spans="1:30" s="45" customFormat="1" x14ac:dyDescent="0.2">
      <c r="A347"/>
      <c r="B347"/>
      <c r="C347"/>
      <c r="D347"/>
      <c r="E347"/>
      <c r="F347"/>
      <c r="G347"/>
      <c r="H347"/>
      <c r="I347"/>
      <c r="J347"/>
      <c r="K347"/>
      <c r="L347"/>
      <c r="M347"/>
      <c r="N347"/>
      <c r="O347"/>
      <c r="P347"/>
      <c r="Q347"/>
      <c r="R347"/>
      <c r="S347"/>
      <c r="T347"/>
      <c r="U347"/>
      <c r="V347"/>
      <c r="W347"/>
      <c r="X347"/>
      <c r="Y347"/>
      <c r="Z347"/>
      <c r="AA347"/>
      <c r="AB347"/>
      <c r="AC347"/>
      <c r="AD347"/>
    </row>
    <row r="348" spans="1:30" s="45" customFormat="1" x14ac:dyDescent="0.2">
      <c r="A348"/>
      <c r="B348"/>
      <c r="C348"/>
      <c r="D348"/>
      <c r="E348"/>
      <c r="F348"/>
      <c r="G348"/>
      <c r="H348"/>
      <c r="I348"/>
      <c r="J348"/>
      <c r="K348"/>
      <c r="L348"/>
      <c r="M348"/>
      <c r="N348"/>
      <c r="O348"/>
      <c r="P348"/>
      <c r="Q348"/>
      <c r="R348"/>
      <c r="S348"/>
      <c r="T348"/>
      <c r="U348"/>
      <c r="V348"/>
      <c r="W348"/>
      <c r="X348"/>
      <c r="Y348"/>
      <c r="Z348"/>
      <c r="AA348"/>
      <c r="AB348"/>
      <c r="AC348"/>
      <c r="AD348"/>
    </row>
    <row r="349" spans="1:30" s="45" customFormat="1" x14ac:dyDescent="0.2">
      <c r="A349"/>
      <c r="B349"/>
      <c r="C349"/>
      <c r="D349"/>
      <c r="E349"/>
      <c r="F349"/>
      <c r="G349"/>
      <c r="H349"/>
      <c r="I349"/>
      <c r="J349"/>
      <c r="K349"/>
      <c r="L349"/>
      <c r="M349"/>
      <c r="N349"/>
      <c r="O349"/>
      <c r="P349"/>
      <c r="Q349"/>
      <c r="R349"/>
      <c r="S349"/>
      <c r="T349"/>
      <c r="U349"/>
      <c r="V349"/>
      <c r="W349"/>
      <c r="X349"/>
      <c r="Y349"/>
      <c r="Z349"/>
      <c r="AA349"/>
      <c r="AB349"/>
      <c r="AC349"/>
      <c r="AD349"/>
    </row>
    <row r="350" spans="1:30" s="45" customFormat="1" x14ac:dyDescent="0.2">
      <c r="A350"/>
      <c r="B350"/>
      <c r="C350"/>
      <c r="D350"/>
      <c r="E350"/>
      <c r="F350"/>
      <c r="G350"/>
      <c r="H350"/>
      <c r="I350"/>
      <c r="J350"/>
      <c r="K350"/>
      <c r="L350"/>
      <c r="M350"/>
      <c r="N350"/>
      <c r="O350"/>
      <c r="P350"/>
      <c r="Q350"/>
      <c r="R350"/>
      <c r="S350"/>
      <c r="T350"/>
      <c r="U350"/>
      <c r="V350"/>
      <c r="W350"/>
      <c r="X350"/>
      <c r="Y350"/>
      <c r="Z350"/>
      <c r="AA350"/>
      <c r="AB350"/>
      <c r="AC350"/>
      <c r="AD350"/>
    </row>
    <row r="351" spans="1:30" s="45" customFormat="1" x14ac:dyDescent="0.2">
      <c r="A351"/>
      <c r="B351"/>
      <c r="C351"/>
      <c r="D351"/>
      <c r="E351"/>
      <c r="F351"/>
      <c r="G351"/>
      <c r="H351"/>
      <c r="I351"/>
      <c r="J351"/>
      <c r="K351"/>
      <c r="L351"/>
      <c r="M351"/>
      <c r="N351"/>
      <c r="O351"/>
      <c r="P351"/>
      <c r="Q351"/>
      <c r="R351"/>
      <c r="S351"/>
      <c r="T351"/>
      <c r="U351"/>
      <c r="V351"/>
      <c r="W351"/>
      <c r="X351"/>
      <c r="Y351"/>
      <c r="Z351"/>
      <c r="AA351"/>
      <c r="AB351"/>
      <c r="AC351"/>
      <c r="AD351"/>
    </row>
    <row r="352" spans="1:30" s="45" customFormat="1" x14ac:dyDescent="0.2">
      <c r="A352"/>
      <c r="B352"/>
      <c r="C352"/>
      <c r="D352"/>
      <c r="E352"/>
      <c r="F352"/>
      <c r="G352"/>
      <c r="H352"/>
      <c r="I352"/>
      <c r="J352"/>
      <c r="K352"/>
      <c r="L352"/>
      <c r="M352"/>
      <c r="N352"/>
      <c r="O352"/>
      <c r="P352"/>
      <c r="Q352"/>
      <c r="R352"/>
      <c r="S352"/>
      <c r="T352"/>
      <c r="U352"/>
      <c r="V352"/>
      <c r="W352"/>
      <c r="X352"/>
      <c r="Y352"/>
      <c r="Z352"/>
      <c r="AA352"/>
      <c r="AB352"/>
      <c r="AC352"/>
      <c r="AD352"/>
    </row>
    <row r="353" spans="1:30" s="45" customFormat="1" x14ac:dyDescent="0.2">
      <c r="A353"/>
      <c r="B353"/>
      <c r="C353"/>
      <c r="D353"/>
      <c r="E353"/>
      <c r="F353"/>
      <c r="G353"/>
      <c r="H353"/>
      <c r="I353"/>
      <c r="J353"/>
      <c r="K353"/>
      <c r="L353"/>
      <c r="M353"/>
      <c r="N353"/>
      <c r="O353"/>
      <c r="P353"/>
      <c r="Q353"/>
      <c r="R353"/>
      <c r="S353"/>
      <c r="T353"/>
      <c r="U353"/>
      <c r="V353"/>
      <c r="W353"/>
      <c r="X353"/>
      <c r="Y353"/>
      <c r="Z353"/>
      <c r="AA353"/>
      <c r="AB353"/>
      <c r="AC353"/>
      <c r="AD353"/>
    </row>
    <row r="354" spans="1:30" s="45" customFormat="1" x14ac:dyDescent="0.2">
      <c r="A354"/>
      <c r="B354"/>
      <c r="C354"/>
      <c r="D354"/>
      <c r="E354"/>
      <c r="F354"/>
      <c r="G354"/>
      <c r="H354"/>
      <c r="I354"/>
      <c r="J354"/>
      <c r="K354"/>
      <c r="L354"/>
      <c r="M354"/>
      <c r="N354"/>
      <c r="O354"/>
      <c r="P354"/>
      <c r="Q354"/>
      <c r="R354"/>
      <c r="S354"/>
      <c r="T354"/>
      <c r="U354"/>
      <c r="V354"/>
      <c r="W354"/>
      <c r="X354"/>
      <c r="Y354"/>
      <c r="Z354"/>
      <c r="AA354"/>
      <c r="AB354"/>
      <c r="AC354"/>
      <c r="AD354"/>
    </row>
    <row r="355" spans="1:30" s="45" customFormat="1" x14ac:dyDescent="0.2">
      <c r="A355"/>
      <c r="B355"/>
      <c r="C355"/>
      <c r="D355"/>
      <c r="E355"/>
      <c r="F355"/>
      <c r="G355"/>
      <c r="H355"/>
      <c r="I355"/>
      <c r="J355"/>
      <c r="K355"/>
      <c r="L355"/>
      <c r="M355"/>
      <c r="N355"/>
      <c r="O355"/>
      <c r="P355"/>
      <c r="Q355"/>
      <c r="R355"/>
      <c r="S355"/>
      <c r="T355"/>
      <c r="U355"/>
      <c r="V355"/>
      <c r="W355"/>
      <c r="X355"/>
      <c r="Y355"/>
      <c r="Z355"/>
      <c r="AA355"/>
      <c r="AB355"/>
      <c r="AC355"/>
      <c r="AD355"/>
    </row>
    <row r="356" spans="1:30" s="45" customFormat="1" x14ac:dyDescent="0.2">
      <c r="A356"/>
      <c r="B356"/>
      <c r="C356"/>
      <c r="D356"/>
      <c r="E356"/>
      <c r="F356"/>
      <c r="G356"/>
      <c r="H356"/>
      <c r="I356"/>
      <c r="J356"/>
      <c r="K356"/>
      <c r="L356"/>
      <c r="M356"/>
      <c r="N356"/>
      <c r="O356"/>
      <c r="P356"/>
      <c r="Q356"/>
      <c r="R356"/>
      <c r="S356"/>
      <c r="T356"/>
      <c r="U356"/>
      <c r="V356"/>
      <c r="W356"/>
      <c r="X356"/>
      <c r="Y356"/>
      <c r="Z356"/>
      <c r="AA356"/>
      <c r="AB356"/>
      <c r="AC356"/>
      <c r="AD356"/>
    </row>
    <row r="357" spans="1:30" s="45" customFormat="1" x14ac:dyDescent="0.2">
      <c r="A357"/>
      <c r="B357"/>
      <c r="C357"/>
      <c r="D357"/>
      <c r="E357"/>
      <c r="F357"/>
      <c r="G357"/>
      <c r="H357"/>
      <c r="I357"/>
      <c r="J357"/>
      <c r="K357"/>
      <c r="L357"/>
      <c r="M357"/>
      <c r="N357"/>
      <c r="O357"/>
      <c r="P357"/>
      <c r="Q357"/>
      <c r="R357"/>
      <c r="S357"/>
      <c r="T357"/>
      <c r="U357"/>
      <c r="V357"/>
      <c r="W357"/>
      <c r="X357"/>
      <c r="Y357"/>
      <c r="Z357"/>
      <c r="AA357"/>
      <c r="AB357"/>
      <c r="AC357"/>
      <c r="AD357"/>
    </row>
    <row r="358" spans="1:30" s="45" customFormat="1" x14ac:dyDescent="0.2">
      <c r="A358"/>
      <c r="B358"/>
      <c r="C358"/>
      <c r="D358"/>
      <c r="E358"/>
      <c r="F358"/>
      <c r="G358"/>
      <c r="H358"/>
      <c r="I358"/>
      <c r="J358"/>
      <c r="K358"/>
      <c r="L358"/>
      <c r="M358"/>
      <c r="N358"/>
      <c r="O358"/>
      <c r="P358"/>
      <c r="Q358"/>
      <c r="R358"/>
      <c r="S358"/>
      <c r="T358"/>
      <c r="U358"/>
      <c r="V358"/>
      <c r="W358"/>
      <c r="X358"/>
      <c r="Y358"/>
      <c r="Z358"/>
      <c r="AA358"/>
      <c r="AB358"/>
      <c r="AC358"/>
      <c r="AD358"/>
    </row>
    <row r="359" spans="1:30" s="45" customFormat="1" x14ac:dyDescent="0.2">
      <c r="A359"/>
      <c r="B359"/>
      <c r="C359"/>
      <c r="D359"/>
      <c r="E359"/>
      <c r="F359"/>
      <c r="G359"/>
      <c r="H359"/>
      <c r="I359"/>
      <c r="J359"/>
      <c r="K359"/>
      <c r="L359"/>
      <c r="M359"/>
      <c r="N359"/>
      <c r="O359"/>
      <c r="P359"/>
      <c r="Q359"/>
      <c r="R359"/>
      <c r="S359"/>
      <c r="T359"/>
      <c r="U359"/>
      <c r="V359"/>
      <c r="W359"/>
      <c r="X359"/>
      <c r="Y359"/>
      <c r="Z359"/>
      <c r="AA359"/>
      <c r="AB359"/>
      <c r="AC359"/>
      <c r="AD359"/>
    </row>
    <row r="360" spans="1:30" s="45" customFormat="1" x14ac:dyDescent="0.2">
      <c r="A360"/>
      <c r="B360"/>
      <c r="C360"/>
      <c r="D360"/>
      <c r="E360"/>
      <c r="F360"/>
      <c r="G360"/>
      <c r="H360"/>
      <c r="I360"/>
      <c r="J360"/>
      <c r="K360"/>
      <c r="L360"/>
      <c r="M360"/>
      <c r="N360"/>
      <c r="O360"/>
      <c r="P360"/>
      <c r="Q360"/>
      <c r="R360"/>
      <c r="S360"/>
      <c r="T360"/>
      <c r="U360"/>
      <c r="V360"/>
      <c r="W360"/>
      <c r="X360"/>
      <c r="Y360"/>
      <c r="Z360"/>
      <c r="AA360"/>
      <c r="AB360"/>
      <c r="AC360"/>
      <c r="AD360"/>
    </row>
    <row r="361" spans="1:30" s="45" customFormat="1" x14ac:dyDescent="0.2">
      <c r="A361"/>
      <c r="B361"/>
      <c r="C361"/>
      <c r="D361"/>
      <c r="E361"/>
      <c r="F361"/>
      <c r="G361"/>
      <c r="H361"/>
      <c r="I361"/>
      <c r="J361"/>
      <c r="K361"/>
      <c r="L361"/>
      <c r="M361"/>
      <c r="N361"/>
      <c r="O361"/>
      <c r="P361"/>
      <c r="Q361"/>
      <c r="R361"/>
      <c r="S361"/>
      <c r="T361"/>
      <c r="U361"/>
      <c r="V361"/>
      <c r="W361"/>
      <c r="X361"/>
      <c r="Y361"/>
      <c r="Z361"/>
      <c r="AA361"/>
      <c r="AB361"/>
      <c r="AC361"/>
      <c r="AD361"/>
    </row>
    <row r="362" spans="1:30" s="45" customFormat="1" x14ac:dyDescent="0.2">
      <c r="A362"/>
      <c r="B362"/>
      <c r="C362"/>
      <c r="D362"/>
      <c r="E362"/>
      <c r="F362"/>
      <c r="G362"/>
      <c r="H362"/>
      <c r="I362"/>
      <c r="J362"/>
      <c r="K362"/>
      <c r="L362"/>
      <c r="M362"/>
      <c r="N362"/>
      <c r="O362"/>
      <c r="P362"/>
      <c r="Q362"/>
      <c r="R362"/>
      <c r="S362"/>
      <c r="T362"/>
      <c r="U362"/>
      <c r="V362"/>
      <c r="W362"/>
      <c r="X362"/>
      <c r="Y362"/>
      <c r="Z362"/>
      <c r="AA362"/>
      <c r="AB362"/>
      <c r="AC362"/>
      <c r="AD362"/>
    </row>
    <row r="363" spans="1:30" s="45" customFormat="1" x14ac:dyDescent="0.2">
      <c r="A363"/>
      <c r="B363"/>
      <c r="C363"/>
      <c r="D363"/>
      <c r="E363"/>
      <c r="F363"/>
      <c r="G363"/>
      <c r="H363"/>
      <c r="I363"/>
      <c r="J363"/>
      <c r="K363"/>
      <c r="L363"/>
      <c r="M363"/>
      <c r="N363"/>
      <c r="O363"/>
      <c r="P363"/>
      <c r="Q363"/>
      <c r="R363"/>
      <c r="S363"/>
      <c r="T363"/>
      <c r="U363"/>
      <c r="V363"/>
      <c r="W363"/>
      <c r="X363"/>
      <c r="Y363"/>
      <c r="Z363"/>
      <c r="AA363"/>
      <c r="AB363"/>
      <c r="AC363"/>
      <c r="AD363"/>
    </row>
    <row r="364" spans="1:30" s="45" customFormat="1" x14ac:dyDescent="0.2">
      <c r="A364"/>
      <c r="B364"/>
      <c r="C364"/>
      <c r="D364"/>
      <c r="E364"/>
      <c r="F364"/>
      <c r="G364"/>
      <c r="H364"/>
      <c r="I364"/>
      <c r="J364"/>
      <c r="K364"/>
      <c r="L364"/>
      <c r="M364"/>
      <c r="N364"/>
      <c r="O364"/>
      <c r="P364"/>
      <c r="Q364"/>
      <c r="R364"/>
      <c r="S364"/>
      <c r="T364"/>
      <c r="U364"/>
      <c r="V364"/>
      <c r="W364"/>
      <c r="X364"/>
      <c r="Y364"/>
      <c r="Z364"/>
      <c r="AA364"/>
      <c r="AB364"/>
      <c r="AC364"/>
      <c r="AD364"/>
    </row>
    <row r="365" spans="1:30" s="45" customFormat="1" x14ac:dyDescent="0.2">
      <c r="A365"/>
      <c r="B365"/>
      <c r="C365"/>
      <c r="D365"/>
      <c r="E365"/>
      <c r="F365"/>
      <c r="G365"/>
      <c r="H365"/>
      <c r="I365"/>
      <c r="J365"/>
      <c r="K365"/>
      <c r="L365"/>
      <c r="M365"/>
      <c r="N365"/>
      <c r="O365"/>
      <c r="P365"/>
      <c r="Q365"/>
      <c r="R365"/>
      <c r="S365"/>
      <c r="T365"/>
      <c r="U365"/>
      <c r="V365"/>
      <c r="W365"/>
      <c r="X365"/>
      <c r="Y365"/>
      <c r="Z365"/>
      <c r="AA365"/>
      <c r="AB365"/>
      <c r="AC365"/>
      <c r="AD365"/>
    </row>
    <row r="366" spans="1:30" s="45" customFormat="1" x14ac:dyDescent="0.2">
      <c r="A366"/>
      <c r="B366"/>
      <c r="C366"/>
      <c r="D366"/>
      <c r="E366"/>
      <c r="F366"/>
      <c r="G366"/>
      <c r="H366"/>
      <c r="I366"/>
      <c r="J366"/>
      <c r="K366"/>
      <c r="L366"/>
      <c r="M366"/>
      <c r="N366"/>
      <c r="O366"/>
      <c r="P366"/>
      <c r="Q366"/>
      <c r="R366"/>
      <c r="S366"/>
      <c r="T366"/>
      <c r="U366"/>
      <c r="V366"/>
      <c r="W366"/>
      <c r="X366"/>
      <c r="Y366"/>
      <c r="Z366"/>
      <c r="AA366"/>
      <c r="AB366"/>
      <c r="AC366"/>
      <c r="AD366"/>
    </row>
    <row r="367" spans="1:30" s="45" customFormat="1" x14ac:dyDescent="0.2">
      <c r="A367"/>
      <c r="B367"/>
      <c r="C367"/>
      <c r="D367"/>
      <c r="E367"/>
      <c r="F367"/>
      <c r="G367"/>
      <c r="H367"/>
      <c r="I367"/>
      <c r="J367"/>
      <c r="K367"/>
      <c r="L367"/>
      <c r="M367"/>
      <c r="N367"/>
      <c r="O367"/>
      <c r="P367"/>
      <c r="Q367"/>
      <c r="R367"/>
      <c r="S367"/>
      <c r="T367"/>
      <c r="U367"/>
      <c r="V367"/>
      <c r="W367"/>
      <c r="X367"/>
      <c r="Y367"/>
      <c r="Z367"/>
      <c r="AA367"/>
      <c r="AB367"/>
      <c r="AC367"/>
      <c r="AD367"/>
    </row>
    <row r="368" spans="1:30" s="45" customFormat="1" x14ac:dyDescent="0.2">
      <c r="A368"/>
      <c r="B368"/>
      <c r="C368"/>
      <c r="D368"/>
      <c r="E368"/>
      <c r="F368"/>
      <c r="G368"/>
      <c r="H368"/>
      <c r="I368"/>
      <c r="J368"/>
      <c r="K368"/>
      <c r="L368"/>
      <c r="M368"/>
      <c r="N368"/>
      <c r="O368"/>
      <c r="P368"/>
      <c r="Q368"/>
      <c r="R368"/>
      <c r="S368"/>
      <c r="T368"/>
      <c r="U368"/>
      <c r="V368"/>
      <c r="W368"/>
      <c r="X368"/>
      <c r="Y368"/>
      <c r="Z368"/>
      <c r="AA368"/>
      <c r="AB368"/>
      <c r="AC368"/>
      <c r="AD368"/>
    </row>
    <row r="369" spans="1:30" s="45" customFormat="1" x14ac:dyDescent="0.2">
      <c r="A369"/>
      <c r="B369"/>
      <c r="C369"/>
      <c r="D369"/>
      <c r="E369"/>
      <c r="F369"/>
      <c r="G369"/>
      <c r="H369"/>
      <c r="I369"/>
      <c r="J369"/>
      <c r="K369"/>
      <c r="L369"/>
      <c r="M369"/>
      <c r="N369"/>
      <c r="O369"/>
      <c r="P369"/>
      <c r="Q369"/>
      <c r="R369"/>
      <c r="S369"/>
      <c r="T369"/>
      <c r="U369"/>
      <c r="V369"/>
      <c r="W369"/>
      <c r="X369"/>
      <c r="Y369"/>
      <c r="Z369"/>
      <c r="AA369"/>
      <c r="AB369"/>
      <c r="AC369"/>
      <c r="AD369"/>
    </row>
    <row r="370" spans="1:30" s="45" customFormat="1" x14ac:dyDescent="0.2">
      <c r="A370"/>
      <c r="B370"/>
      <c r="C370"/>
      <c r="D370"/>
      <c r="E370"/>
      <c r="F370"/>
      <c r="G370"/>
      <c r="H370"/>
      <c r="I370"/>
      <c r="J370"/>
      <c r="K370"/>
      <c r="L370"/>
      <c r="M370"/>
      <c r="N370"/>
      <c r="O370"/>
      <c r="P370"/>
      <c r="Q370"/>
      <c r="R370"/>
      <c r="S370"/>
      <c r="T370"/>
      <c r="U370"/>
      <c r="V370"/>
      <c r="W370"/>
      <c r="X370"/>
      <c r="Y370"/>
      <c r="Z370"/>
      <c r="AA370"/>
      <c r="AB370"/>
      <c r="AC370"/>
      <c r="AD370"/>
    </row>
    <row r="371" spans="1:30" s="45" customFormat="1" x14ac:dyDescent="0.2">
      <c r="A371"/>
      <c r="B371"/>
      <c r="C371"/>
      <c r="D371"/>
      <c r="E371"/>
      <c r="F371"/>
      <c r="G371"/>
      <c r="H371"/>
      <c r="I371"/>
      <c r="J371"/>
      <c r="K371"/>
      <c r="L371"/>
      <c r="M371"/>
      <c r="N371"/>
      <c r="O371"/>
      <c r="P371"/>
      <c r="Q371"/>
      <c r="R371"/>
      <c r="S371"/>
      <c r="T371"/>
      <c r="U371"/>
      <c r="V371"/>
      <c r="W371"/>
      <c r="X371"/>
      <c r="Y371"/>
      <c r="Z371"/>
      <c r="AA371"/>
      <c r="AB371"/>
      <c r="AC371"/>
      <c r="AD371"/>
    </row>
    <row r="372" spans="1:30" s="45" customFormat="1" x14ac:dyDescent="0.2">
      <c r="A372"/>
      <c r="B372"/>
      <c r="C372"/>
      <c r="D372"/>
      <c r="E372"/>
      <c r="F372"/>
      <c r="G372"/>
      <c r="H372"/>
      <c r="I372"/>
      <c r="J372"/>
      <c r="K372"/>
      <c r="L372"/>
      <c r="M372"/>
      <c r="N372"/>
      <c r="O372"/>
      <c r="P372"/>
      <c r="Q372"/>
      <c r="R372"/>
      <c r="S372"/>
      <c r="T372"/>
      <c r="U372"/>
      <c r="V372"/>
      <c r="W372"/>
      <c r="X372"/>
      <c r="Y372"/>
      <c r="Z372"/>
      <c r="AA372"/>
      <c r="AB372"/>
      <c r="AC372"/>
      <c r="AD372"/>
    </row>
    <row r="373" spans="1:30" s="45" customFormat="1" x14ac:dyDescent="0.2">
      <c r="A373"/>
      <c r="B373"/>
      <c r="C373"/>
      <c r="D373"/>
      <c r="E373"/>
      <c r="F373"/>
      <c r="G373"/>
      <c r="H373"/>
      <c r="I373"/>
      <c r="J373"/>
      <c r="K373"/>
      <c r="L373"/>
      <c r="M373"/>
      <c r="N373"/>
      <c r="O373"/>
      <c r="P373"/>
      <c r="Q373"/>
      <c r="R373"/>
      <c r="S373"/>
      <c r="T373"/>
      <c r="U373"/>
      <c r="V373"/>
      <c r="W373"/>
      <c r="X373"/>
      <c r="Y373"/>
      <c r="Z373"/>
      <c r="AA373"/>
      <c r="AB373"/>
      <c r="AC373"/>
      <c r="AD373"/>
    </row>
    <row r="374" spans="1:30" s="45" customFormat="1" x14ac:dyDescent="0.2">
      <c r="A374"/>
      <c r="B374"/>
      <c r="C374"/>
      <c r="D374"/>
      <c r="E374"/>
      <c r="F374"/>
      <c r="G374"/>
      <c r="H374"/>
      <c r="I374"/>
      <c r="J374"/>
      <c r="K374"/>
      <c r="L374"/>
      <c r="M374"/>
      <c r="N374"/>
      <c r="O374"/>
      <c r="P374"/>
      <c r="Q374"/>
      <c r="R374"/>
      <c r="S374"/>
      <c r="T374"/>
      <c r="U374"/>
      <c r="V374"/>
      <c r="W374"/>
      <c r="X374"/>
      <c r="Y374"/>
      <c r="Z374"/>
      <c r="AA374"/>
      <c r="AB374"/>
      <c r="AC374"/>
      <c r="AD374"/>
    </row>
    <row r="375" spans="1:30" s="45" customFormat="1" x14ac:dyDescent="0.2">
      <c r="A375"/>
      <c r="B375"/>
      <c r="C375"/>
      <c r="D375"/>
      <c r="E375"/>
      <c r="F375"/>
      <c r="G375"/>
      <c r="H375"/>
      <c r="I375"/>
      <c r="J375"/>
      <c r="K375"/>
      <c r="L375"/>
      <c r="M375"/>
      <c r="N375"/>
      <c r="O375"/>
      <c r="P375"/>
      <c r="Q375"/>
      <c r="R375"/>
      <c r="S375"/>
      <c r="T375"/>
      <c r="U375"/>
      <c r="V375"/>
      <c r="W375"/>
      <c r="X375"/>
      <c r="Y375"/>
      <c r="Z375"/>
      <c r="AA375"/>
      <c r="AB375"/>
      <c r="AC375"/>
      <c r="AD375"/>
    </row>
    <row r="376" spans="1:30" s="45" customFormat="1" x14ac:dyDescent="0.2">
      <c r="A376"/>
      <c r="B376"/>
      <c r="C376"/>
      <c r="D376"/>
      <c r="E376"/>
      <c r="F376"/>
      <c r="G376"/>
      <c r="H376"/>
      <c r="I376"/>
      <c r="J376"/>
      <c r="K376"/>
      <c r="L376"/>
      <c r="M376"/>
      <c r="N376"/>
      <c r="O376"/>
      <c r="P376"/>
      <c r="Q376"/>
      <c r="R376"/>
      <c r="S376"/>
      <c r="T376"/>
      <c r="U376"/>
      <c r="V376"/>
      <c r="W376"/>
      <c r="X376"/>
      <c r="Y376"/>
      <c r="Z376"/>
      <c r="AA376"/>
      <c r="AB376"/>
      <c r="AC376"/>
      <c r="AD376"/>
    </row>
    <row r="377" spans="1:30" s="45" customFormat="1" x14ac:dyDescent="0.2">
      <c r="A377"/>
      <c r="B377"/>
      <c r="C377"/>
      <c r="D377"/>
      <c r="E377"/>
      <c r="F377"/>
      <c r="G377"/>
      <c r="H377"/>
      <c r="I377"/>
      <c r="J377"/>
      <c r="K377"/>
      <c r="L377"/>
      <c r="M377"/>
      <c r="N377"/>
      <c r="O377"/>
      <c r="P377"/>
      <c r="Q377"/>
      <c r="R377"/>
      <c r="S377"/>
      <c r="T377"/>
      <c r="U377"/>
      <c r="V377"/>
      <c r="W377"/>
      <c r="X377"/>
      <c r="Y377"/>
      <c r="Z377"/>
      <c r="AA377"/>
      <c r="AB377"/>
      <c r="AC377"/>
      <c r="AD377"/>
    </row>
    <row r="378" spans="1:30" s="45" customFormat="1" x14ac:dyDescent="0.2">
      <c r="A378"/>
      <c r="B378"/>
      <c r="C378"/>
      <c r="D378"/>
      <c r="E378"/>
      <c r="F378"/>
      <c r="G378"/>
      <c r="H378"/>
      <c r="I378"/>
      <c r="J378"/>
      <c r="K378"/>
      <c r="L378"/>
      <c r="M378"/>
      <c r="N378"/>
      <c r="O378"/>
      <c r="P378"/>
      <c r="Q378"/>
      <c r="R378"/>
      <c r="S378"/>
      <c r="T378"/>
      <c r="U378"/>
      <c r="V378"/>
      <c r="W378"/>
      <c r="X378"/>
      <c r="Y378"/>
      <c r="Z378"/>
      <c r="AA378"/>
      <c r="AB378"/>
      <c r="AC378"/>
      <c r="AD378"/>
    </row>
    <row r="379" spans="1:30" s="45" customFormat="1" x14ac:dyDescent="0.2">
      <c r="A379"/>
      <c r="B379"/>
      <c r="C379"/>
      <c r="D379"/>
      <c r="E379"/>
      <c r="F379"/>
      <c r="G379"/>
      <c r="H379"/>
      <c r="I379"/>
      <c r="J379"/>
      <c r="K379"/>
      <c r="L379"/>
      <c r="M379"/>
      <c r="N379"/>
      <c r="O379"/>
      <c r="P379"/>
      <c r="Q379"/>
      <c r="R379"/>
      <c r="S379"/>
      <c r="T379"/>
      <c r="U379"/>
      <c r="V379"/>
      <c r="W379"/>
      <c r="X379"/>
      <c r="Y379"/>
      <c r="Z379"/>
      <c r="AA379"/>
      <c r="AB379"/>
      <c r="AC379"/>
      <c r="AD379"/>
    </row>
    <row r="380" spans="1:30" s="45" customFormat="1" x14ac:dyDescent="0.2">
      <c r="A380"/>
      <c r="B380"/>
      <c r="C380"/>
      <c r="D380"/>
      <c r="E380"/>
      <c r="F380"/>
      <c r="G380"/>
      <c r="H380"/>
      <c r="I380"/>
      <c r="J380"/>
      <c r="K380"/>
      <c r="L380"/>
      <c r="M380"/>
      <c r="N380"/>
      <c r="O380"/>
      <c r="P380"/>
      <c r="Q380"/>
      <c r="R380"/>
      <c r="S380"/>
      <c r="T380"/>
      <c r="U380"/>
      <c r="V380"/>
      <c r="W380"/>
      <c r="X380"/>
      <c r="Y380"/>
      <c r="Z380"/>
      <c r="AA380"/>
      <c r="AB380"/>
      <c r="AC380"/>
      <c r="AD380"/>
    </row>
    <row r="381" spans="1:30" s="45" customFormat="1" x14ac:dyDescent="0.2">
      <c r="A381"/>
      <c r="B381"/>
      <c r="C381"/>
      <c r="D381"/>
      <c r="E381"/>
      <c r="F381"/>
      <c r="G381"/>
      <c r="H381"/>
      <c r="I381"/>
      <c r="J381"/>
      <c r="K381"/>
      <c r="L381"/>
      <c r="M381"/>
      <c r="N381"/>
      <c r="O381"/>
      <c r="P381"/>
      <c r="Q381"/>
      <c r="R381"/>
      <c r="S381"/>
      <c r="T381"/>
      <c r="U381"/>
      <c r="V381"/>
      <c r="W381"/>
      <c r="X381"/>
      <c r="Y381"/>
      <c r="Z381"/>
      <c r="AA381"/>
      <c r="AB381"/>
      <c r="AC381"/>
      <c r="AD381"/>
    </row>
    <row r="382" spans="1:30" s="45" customFormat="1" x14ac:dyDescent="0.2">
      <c r="A382"/>
      <c r="B382"/>
      <c r="C382"/>
      <c r="D382"/>
      <c r="E382"/>
      <c r="F382"/>
      <c r="G382"/>
      <c r="H382"/>
      <c r="I382"/>
      <c r="J382"/>
      <c r="K382"/>
      <c r="L382"/>
      <c r="M382"/>
      <c r="N382"/>
      <c r="O382"/>
      <c r="P382"/>
      <c r="Q382"/>
      <c r="R382"/>
      <c r="S382"/>
      <c r="T382"/>
      <c r="U382"/>
      <c r="V382"/>
      <c r="W382"/>
      <c r="X382"/>
      <c r="Y382"/>
      <c r="Z382"/>
      <c r="AA382"/>
      <c r="AB382"/>
      <c r="AC382"/>
      <c r="AD382"/>
    </row>
    <row r="383" spans="1:30" s="45" customFormat="1" x14ac:dyDescent="0.2">
      <c r="A383"/>
      <c r="B383"/>
      <c r="C383"/>
      <c r="D383"/>
      <c r="E383"/>
      <c r="F383"/>
      <c r="G383"/>
      <c r="H383"/>
      <c r="I383"/>
      <c r="J383"/>
      <c r="K383"/>
      <c r="L383"/>
      <c r="M383"/>
      <c r="N383"/>
      <c r="O383"/>
      <c r="P383"/>
      <c r="Q383"/>
      <c r="R383"/>
      <c r="S383"/>
      <c r="T383"/>
      <c r="U383"/>
      <c r="V383"/>
      <c r="W383"/>
      <c r="X383"/>
      <c r="Y383"/>
      <c r="Z383"/>
      <c r="AA383"/>
      <c r="AB383"/>
      <c r="AC383"/>
      <c r="AD383"/>
    </row>
    <row r="384" spans="1:30" s="45" customFormat="1" x14ac:dyDescent="0.2">
      <c r="A384"/>
      <c r="B384"/>
      <c r="C384"/>
      <c r="D384"/>
      <c r="E384"/>
      <c r="F384"/>
      <c r="G384"/>
      <c r="H384"/>
      <c r="I384"/>
      <c r="J384"/>
      <c r="K384"/>
      <c r="L384"/>
      <c r="M384"/>
      <c r="N384"/>
      <c r="O384"/>
      <c r="P384"/>
      <c r="Q384"/>
      <c r="R384"/>
      <c r="S384"/>
      <c r="T384"/>
      <c r="U384"/>
      <c r="V384"/>
      <c r="W384"/>
      <c r="X384"/>
      <c r="Y384"/>
      <c r="Z384"/>
      <c r="AA384"/>
      <c r="AB384"/>
      <c r="AC384"/>
      <c r="AD384"/>
    </row>
    <row r="385" spans="1:30" s="45" customFormat="1" x14ac:dyDescent="0.2">
      <c r="A385"/>
      <c r="B385"/>
      <c r="C385"/>
      <c r="D385"/>
      <c r="E385"/>
      <c r="F385"/>
      <c r="G385"/>
      <c r="H385"/>
      <c r="I385"/>
      <c r="J385"/>
      <c r="K385"/>
      <c r="L385"/>
      <c r="M385"/>
      <c r="N385"/>
      <c r="O385"/>
      <c r="P385"/>
      <c r="Q385"/>
      <c r="R385"/>
      <c r="S385"/>
      <c r="T385"/>
      <c r="U385"/>
      <c r="V385"/>
      <c r="W385"/>
      <c r="X385"/>
      <c r="Y385"/>
      <c r="Z385"/>
      <c r="AA385"/>
      <c r="AB385"/>
      <c r="AC385"/>
      <c r="AD385"/>
    </row>
    <row r="386" spans="1:30" s="45" customFormat="1" x14ac:dyDescent="0.2">
      <c r="A386"/>
      <c r="B386"/>
      <c r="C386"/>
      <c r="D386"/>
      <c r="E386"/>
      <c r="F386"/>
      <c r="G386"/>
      <c r="H386"/>
      <c r="I386"/>
      <c r="J386"/>
      <c r="K386"/>
      <c r="L386"/>
      <c r="M386"/>
      <c r="N386"/>
      <c r="O386"/>
      <c r="P386"/>
      <c r="Q386"/>
      <c r="R386"/>
      <c r="S386"/>
      <c r="T386"/>
      <c r="U386"/>
      <c r="V386"/>
      <c r="W386"/>
      <c r="X386"/>
      <c r="Y386"/>
      <c r="Z386"/>
      <c r="AA386"/>
      <c r="AB386"/>
      <c r="AC386"/>
      <c r="AD386"/>
    </row>
    <row r="387" spans="1:30" s="45" customFormat="1" x14ac:dyDescent="0.2">
      <c r="A387"/>
      <c r="B387"/>
      <c r="C387"/>
      <c r="D387"/>
      <c r="E387"/>
      <c r="F387"/>
      <c r="G387"/>
      <c r="H387"/>
      <c r="I387"/>
      <c r="J387"/>
      <c r="K387"/>
      <c r="L387"/>
      <c r="M387"/>
      <c r="N387"/>
      <c r="O387"/>
      <c r="P387"/>
      <c r="Q387"/>
      <c r="R387"/>
      <c r="S387"/>
      <c r="T387"/>
      <c r="U387"/>
      <c r="V387"/>
      <c r="W387"/>
      <c r="X387"/>
      <c r="Y387"/>
      <c r="Z387"/>
      <c r="AA387"/>
      <c r="AB387"/>
      <c r="AC387"/>
      <c r="AD387"/>
    </row>
    <row r="388" spans="1:30" s="45" customFormat="1" x14ac:dyDescent="0.2">
      <c r="A388"/>
      <c r="B388"/>
      <c r="C388"/>
      <c r="D388"/>
      <c r="E388"/>
      <c r="F388"/>
      <c r="G388"/>
      <c r="H388"/>
      <c r="I388"/>
      <c r="J388"/>
      <c r="K388"/>
      <c r="L388"/>
      <c r="M388"/>
      <c r="N388"/>
      <c r="O388"/>
      <c r="P388"/>
      <c r="Q388"/>
      <c r="R388"/>
      <c r="S388"/>
      <c r="T388"/>
      <c r="U388"/>
      <c r="V388"/>
      <c r="W388"/>
      <c r="X388"/>
      <c r="Y388"/>
      <c r="Z388"/>
      <c r="AA388"/>
      <c r="AB388"/>
      <c r="AC388"/>
      <c r="AD388"/>
    </row>
    <row r="389" spans="1:30" s="45" customFormat="1" x14ac:dyDescent="0.2">
      <c r="A389"/>
      <c r="B389"/>
      <c r="C389"/>
      <c r="D389"/>
      <c r="E389"/>
      <c r="F389"/>
      <c r="G389"/>
      <c r="H389"/>
      <c r="I389"/>
      <c r="J389"/>
      <c r="K389"/>
      <c r="L389"/>
      <c r="M389"/>
      <c r="N389"/>
      <c r="O389"/>
      <c r="P389"/>
      <c r="Q389"/>
      <c r="R389"/>
      <c r="S389"/>
      <c r="T389"/>
      <c r="U389"/>
      <c r="V389"/>
      <c r="W389"/>
      <c r="X389"/>
      <c r="Y389"/>
      <c r="Z389"/>
      <c r="AA389"/>
      <c r="AB389"/>
      <c r="AC389"/>
      <c r="AD389"/>
    </row>
    <row r="390" spans="1:30" s="45" customFormat="1" x14ac:dyDescent="0.2">
      <c r="A390"/>
      <c r="B390"/>
      <c r="C390"/>
      <c r="D390"/>
      <c r="E390"/>
      <c r="F390"/>
      <c r="G390"/>
      <c r="H390"/>
      <c r="I390"/>
      <c r="J390"/>
      <c r="K390"/>
      <c r="L390"/>
      <c r="M390"/>
      <c r="N390"/>
      <c r="O390"/>
      <c r="P390"/>
      <c r="Q390"/>
      <c r="R390"/>
      <c r="S390"/>
      <c r="T390"/>
      <c r="U390"/>
      <c r="V390"/>
      <c r="W390"/>
      <c r="X390"/>
      <c r="Y390"/>
      <c r="Z390"/>
      <c r="AA390"/>
      <c r="AB390"/>
      <c r="AC390"/>
      <c r="AD390"/>
    </row>
    <row r="391" spans="1:30" s="45" customFormat="1" x14ac:dyDescent="0.2">
      <c r="A391"/>
      <c r="B391"/>
      <c r="C391"/>
      <c r="D391"/>
      <c r="E391"/>
      <c r="F391"/>
      <c r="G391"/>
      <c r="H391"/>
      <c r="I391"/>
      <c r="J391"/>
      <c r="K391"/>
      <c r="L391"/>
      <c r="M391"/>
      <c r="N391"/>
      <c r="O391"/>
      <c r="P391"/>
      <c r="Q391"/>
      <c r="R391"/>
      <c r="S391"/>
      <c r="T391"/>
      <c r="U391"/>
      <c r="V391"/>
      <c r="W391"/>
      <c r="X391"/>
      <c r="Y391"/>
      <c r="Z391"/>
      <c r="AA391"/>
      <c r="AB391"/>
      <c r="AC391"/>
      <c r="AD391"/>
    </row>
    <row r="392" spans="1:30" s="45" customFormat="1" x14ac:dyDescent="0.2">
      <c r="A392"/>
      <c r="B392"/>
      <c r="C392"/>
      <c r="D392"/>
      <c r="E392"/>
      <c r="F392"/>
      <c r="G392"/>
      <c r="H392"/>
      <c r="I392"/>
      <c r="J392"/>
      <c r="K392"/>
      <c r="L392"/>
      <c r="M392"/>
      <c r="N392"/>
      <c r="O392"/>
      <c r="P392"/>
      <c r="Q392"/>
      <c r="R392"/>
      <c r="S392"/>
      <c r="T392"/>
      <c r="U392"/>
      <c r="V392"/>
      <c r="W392"/>
      <c r="X392"/>
      <c r="Y392"/>
      <c r="Z392"/>
      <c r="AA392"/>
      <c r="AB392"/>
      <c r="AC392"/>
      <c r="AD392"/>
    </row>
    <row r="393" spans="1:30" s="45" customFormat="1" x14ac:dyDescent="0.2">
      <c r="A393"/>
      <c r="B393"/>
      <c r="C393"/>
      <c r="D393"/>
      <c r="E393"/>
      <c r="F393"/>
      <c r="G393"/>
      <c r="H393"/>
      <c r="I393"/>
      <c r="J393"/>
      <c r="K393"/>
      <c r="L393"/>
      <c r="M393"/>
      <c r="N393"/>
      <c r="O393"/>
      <c r="P393"/>
      <c r="Q393"/>
      <c r="R393"/>
      <c r="S393"/>
      <c r="T393"/>
      <c r="U393"/>
      <c r="V393"/>
      <c r="W393"/>
      <c r="X393"/>
      <c r="Y393"/>
      <c r="Z393"/>
      <c r="AA393"/>
      <c r="AB393"/>
      <c r="AC393"/>
      <c r="AD393"/>
    </row>
    <row r="394" spans="1:30" s="45" customFormat="1" x14ac:dyDescent="0.2">
      <c r="A394"/>
      <c r="B394"/>
      <c r="C394"/>
      <c r="D394"/>
      <c r="E394"/>
      <c r="F394"/>
      <c r="G394"/>
      <c r="H394"/>
      <c r="I394"/>
      <c r="J394"/>
      <c r="K394"/>
      <c r="L394"/>
      <c r="M394"/>
      <c r="N394"/>
      <c r="O394"/>
      <c r="P394"/>
      <c r="Q394"/>
      <c r="R394"/>
      <c r="S394"/>
      <c r="T394"/>
      <c r="U394"/>
      <c r="V394"/>
      <c r="W394"/>
      <c r="X394"/>
      <c r="Y394"/>
      <c r="Z394"/>
      <c r="AA394"/>
      <c r="AB394"/>
      <c r="AC394"/>
      <c r="AD394"/>
    </row>
    <row r="395" spans="1:30" s="45" customFormat="1" x14ac:dyDescent="0.2">
      <c r="A395"/>
      <c r="B395"/>
      <c r="C395"/>
      <c r="D395"/>
      <c r="E395"/>
      <c r="F395"/>
      <c r="G395"/>
      <c r="H395"/>
      <c r="I395"/>
      <c r="J395"/>
      <c r="K395"/>
      <c r="L395"/>
      <c r="M395"/>
      <c r="N395"/>
      <c r="O395"/>
      <c r="P395"/>
      <c r="Q395"/>
      <c r="R395"/>
      <c r="S395"/>
      <c r="T395"/>
      <c r="U395"/>
      <c r="V395"/>
      <c r="W395"/>
      <c r="X395"/>
      <c r="Y395"/>
      <c r="Z395"/>
      <c r="AA395"/>
      <c r="AB395"/>
      <c r="AC395"/>
      <c r="AD395"/>
    </row>
    <row r="396" spans="1:30" s="45" customFormat="1" x14ac:dyDescent="0.2">
      <c r="A396"/>
      <c r="B396"/>
      <c r="C396"/>
      <c r="D396"/>
      <c r="E396"/>
      <c r="F396"/>
      <c r="G396"/>
      <c r="H396"/>
      <c r="I396"/>
      <c r="J396"/>
      <c r="K396"/>
      <c r="L396"/>
      <c r="M396"/>
      <c r="N396"/>
      <c r="O396"/>
      <c r="P396"/>
      <c r="Q396"/>
      <c r="R396"/>
      <c r="S396"/>
      <c r="T396"/>
      <c r="U396"/>
      <c r="V396"/>
      <c r="W396"/>
      <c r="X396"/>
      <c r="Y396"/>
      <c r="Z396"/>
      <c r="AA396"/>
      <c r="AB396"/>
      <c r="AC396"/>
      <c r="AD396"/>
    </row>
    <row r="397" spans="1:30" s="45" customFormat="1" x14ac:dyDescent="0.2">
      <c r="A397"/>
      <c r="B397"/>
      <c r="C397"/>
      <c r="D397"/>
      <c r="E397"/>
      <c r="F397"/>
      <c r="G397"/>
      <c r="H397"/>
      <c r="I397"/>
      <c r="J397"/>
      <c r="K397"/>
      <c r="L397"/>
      <c r="M397"/>
      <c r="N397"/>
      <c r="O397"/>
      <c r="P397"/>
      <c r="Q397"/>
      <c r="R397"/>
      <c r="S397"/>
      <c r="T397"/>
      <c r="U397"/>
      <c r="V397"/>
      <c r="W397"/>
      <c r="X397"/>
      <c r="Y397"/>
      <c r="Z397"/>
      <c r="AA397"/>
      <c r="AB397"/>
      <c r="AC397"/>
      <c r="AD397"/>
    </row>
    <row r="398" spans="1:30" s="45" customFormat="1" x14ac:dyDescent="0.2">
      <c r="A398"/>
      <c r="B398"/>
      <c r="C398"/>
      <c r="D398"/>
      <c r="E398"/>
      <c r="F398"/>
      <c r="G398"/>
      <c r="H398"/>
      <c r="I398"/>
      <c r="J398"/>
      <c r="K398"/>
      <c r="L398"/>
      <c r="M398"/>
      <c r="N398"/>
      <c r="O398"/>
      <c r="P398"/>
      <c r="Q398"/>
      <c r="R398"/>
      <c r="S398"/>
      <c r="T398"/>
      <c r="U398"/>
      <c r="V398"/>
      <c r="W398"/>
      <c r="X398"/>
      <c r="Y398"/>
      <c r="Z398"/>
      <c r="AA398"/>
      <c r="AB398"/>
      <c r="AC398"/>
      <c r="AD398"/>
    </row>
    <row r="399" spans="1:30" s="45" customFormat="1" x14ac:dyDescent="0.2">
      <c r="A399"/>
      <c r="B399"/>
      <c r="C399"/>
      <c r="D399"/>
      <c r="E399"/>
      <c r="F399"/>
      <c r="G399"/>
      <c r="H399"/>
      <c r="I399"/>
      <c r="J399"/>
      <c r="K399"/>
      <c r="L399"/>
      <c r="M399"/>
      <c r="N399"/>
      <c r="O399"/>
      <c r="P399"/>
      <c r="Q399"/>
      <c r="R399"/>
      <c r="S399"/>
      <c r="T399"/>
      <c r="U399"/>
      <c r="V399"/>
      <c r="W399"/>
      <c r="X399"/>
      <c r="Y399"/>
      <c r="Z399"/>
      <c r="AA399"/>
      <c r="AB399"/>
      <c r="AC399"/>
      <c r="AD399"/>
    </row>
    <row r="400" spans="1:30" s="45" customFormat="1" x14ac:dyDescent="0.2">
      <c r="A400"/>
      <c r="B400"/>
      <c r="C400"/>
      <c r="D400"/>
      <c r="E400"/>
      <c r="F400"/>
      <c r="G400"/>
      <c r="H400"/>
      <c r="I400"/>
      <c r="J400"/>
      <c r="K400"/>
      <c r="L400"/>
      <c r="M400"/>
      <c r="N400"/>
      <c r="O400"/>
      <c r="P400"/>
      <c r="Q400"/>
      <c r="R400"/>
      <c r="S400"/>
      <c r="T400"/>
      <c r="U400"/>
      <c r="V400"/>
      <c r="W400"/>
      <c r="X400"/>
      <c r="Y400"/>
      <c r="Z400"/>
      <c r="AA400"/>
      <c r="AB400"/>
      <c r="AC400"/>
      <c r="AD400"/>
    </row>
    <row r="401" spans="1:30" s="45" customFormat="1" x14ac:dyDescent="0.2">
      <c r="A401"/>
      <c r="B401"/>
      <c r="C401"/>
      <c r="D401"/>
      <c r="E401"/>
      <c r="F401"/>
      <c r="G401"/>
      <c r="H401"/>
      <c r="I401"/>
      <c r="J401"/>
      <c r="K401"/>
      <c r="L401"/>
      <c r="M401"/>
      <c r="N401"/>
      <c r="O401"/>
      <c r="P401"/>
      <c r="Q401"/>
      <c r="R401"/>
      <c r="S401"/>
      <c r="T401"/>
      <c r="U401"/>
      <c r="V401"/>
      <c r="W401"/>
      <c r="X401"/>
      <c r="Y401"/>
      <c r="Z401"/>
      <c r="AA401"/>
      <c r="AB401"/>
      <c r="AC401"/>
      <c r="AD401"/>
    </row>
    <row r="402" spans="1:30" s="45" customFormat="1" x14ac:dyDescent="0.2">
      <c r="A402"/>
      <c r="B402"/>
      <c r="C402"/>
      <c r="D402"/>
      <c r="E402"/>
      <c r="F402"/>
      <c r="G402"/>
      <c r="H402"/>
      <c r="I402"/>
      <c r="J402"/>
      <c r="K402"/>
      <c r="L402"/>
      <c r="M402"/>
      <c r="N402"/>
      <c r="O402"/>
      <c r="P402"/>
      <c r="Q402"/>
      <c r="R402"/>
      <c r="S402"/>
      <c r="T402"/>
      <c r="U402"/>
      <c r="V402"/>
      <c r="W402"/>
      <c r="X402"/>
      <c r="Y402"/>
      <c r="Z402"/>
      <c r="AA402"/>
      <c r="AB402"/>
      <c r="AC402"/>
      <c r="AD402"/>
    </row>
    <row r="403" spans="1:30" s="45" customFormat="1" x14ac:dyDescent="0.2">
      <c r="A403"/>
      <c r="B403"/>
      <c r="C403"/>
      <c r="D403"/>
      <c r="E403"/>
      <c r="F403"/>
      <c r="G403"/>
      <c r="H403"/>
      <c r="I403"/>
      <c r="J403"/>
      <c r="K403"/>
      <c r="L403"/>
      <c r="M403"/>
      <c r="N403"/>
      <c r="O403"/>
      <c r="P403"/>
      <c r="Q403"/>
      <c r="R403"/>
      <c r="S403"/>
      <c r="T403"/>
      <c r="U403"/>
      <c r="V403"/>
      <c r="W403"/>
      <c r="X403"/>
      <c r="Y403"/>
      <c r="Z403"/>
      <c r="AA403"/>
      <c r="AB403"/>
      <c r="AC403"/>
      <c r="AD403"/>
    </row>
    <row r="404" spans="1:30" s="45" customFormat="1" x14ac:dyDescent="0.2">
      <c r="A404"/>
      <c r="B404"/>
      <c r="C404"/>
      <c r="D404"/>
      <c r="E404"/>
      <c r="F404"/>
      <c r="G404"/>
      <c r="H404"/>
      <c r="I404"/>
      <c r="J404"/>
      <c r="K404"/>
      <c r="L404"/>
      <c r="M404"/>
      <c r="N404"/>
      <c r="O404"/>
      <c r="P404"/>
      <c r="Q404"/>
      <c r="R404"/>
      <c r="S404"/>
      <c r="T404"/>
      <c r="U404"/>
      <c r="V404"/>
      <c r="W404"/>
      <c r="X404"/>
      <c r="Y404"/>
      <c r="Z404"/>
      <c r="AA404"/>
      <c r="AB404"/>
      <c r="AC404"/>
      <c r="AD404"/>
    </row>
    <row r="405" spans="1:30" s="45" customFormat="1" x14ac:dyDescent="0.2">
      <c r="A405"/>
      <c r="B405"/>
      <c r="C405"/>
      <c r="D405"/>
      <c r="E405"/>
      <c r="F405"/>
      <c r="G405"/>
      <c r="H405"/>
      <c r="I405"/>
      <c r="J405"/>
      <c r="K405"/>
      <c r="L405"/>
      <c r="M405"/>
      <c r="N405"/>
      <c r="O405"/>
      <c r="P405"/>
      <c r="Q405"/>
      <c r="R405"/>
      <c r="S405"/>
      <c r="T405"/>
      <c r="U405"/>
      <c r="V405"/>
      <c r="W405"/>
      <c r="X405"/>
      <c r="Y405"/>
      <c r="Z405"/>
      <c r="AA405"/>
      <c r="AB405"/>
      <c r="AC405"/>
      <c r="AD405"/>
    </row>
    <row r="406" spans="1:30" s="45" customFormat="1" x14ac:dyDescent="0.2">
      <c r="A406"/>
      <c r="B406"/>
      <c r="C406"/>
      <c r="D406"/>
      <c r="E406"/>
      <c r="F406"/>
      <c r="G406"/>
      <c r="H406"/>
      <c r="I406"/>
      <c r="J406"/>
      <c r="K406"/>
      <c r="L406"/>
      <c r="M406"/>
      <c r="N406"/>
      <c r="O406"/>
      <c r="P406"/>
      <c r="Q406"/>
      <c r="R406"/>
      <c r="S406"/>
      <c r="T406"/>
      <c r="U406"/>
      <c r="V406"/>
      <c r="W406"/>
      <c r="X406"/>
      <c r="Y406"/>
      <c r="Z406"/>
      <c r="AA406"/>
      <c r="AB406"/>
      <c r="AC406"/>
      <c r="AD406"/>
    </row>
    <row r="407" spans="1:30" s="45" customFormat="1" x14ac:dyDescent="0.2">
      <c r="A407"/>
      <c r="B407"/>
      <c r="C407"/>
      <c r="D407"/>
      <c r="E407"/>
      <c r="F407"/>
      <c r="G407"/>
      <c r="H407"/>
      <c r="I407"/>
      <c r="J407"/>
      <c r="K407"/>
      <c r="L407"/>
      <c r="M407"/>
      <c r="N407"/>
      <c r="O407"/>
      <c r="P407"/>
      <c r="Q407"/>
      <c r="R407"/>
      <c r="S407"/>
      <c r="T407"/>
      <c r="U407"/>
      <c r="V407"/>
      <c r="W407"/>
      <c r="X407"/>
      <c r="Y407"/>
      <c r="Z407"/>
      <c r="AA407"/>
      <c r="AB407"/>
      <c r="AC407"/>
      <c r="AD407"/>
    </row>
    <row r="408" spans="1:30" s="45" customFormat="1" x14ac:dyDescent="0.2">
      <c r="A408"/>
      <c r="B408"/>
      <c r="C408"/>
      <c r="D408"/>
      <c r="E408"/>
      <c r="F408"/>
      <c r="G408"/>
      <c r="H408"/>
      <c r="I408"/>
      <c r="J408"/>
      <c r="K408"/>
      <c r="L408"/>
      <c r="M408"/>
      <c r="N408"/>
      <c r="O408"/>
      <c r="P408"/>
      <c r="Q408"/>
      <c r="R408"/>
      <c r="S408"/>
      <c r="T408"/>
      <c r="U408"/>
      <c r="V408"/>
      <c r="W408"/>
      <c r="X408"/>
      <c r="Y408"/>
      <c r="Z408"/>
      <c r="AA408"/>
      <c r="AB408"/>
      <c r="AC408"/>
      <c r="AD408"/>
    </row>
    <row r="409" spans="1:30" s="45" customFormat="1" x14ac:dyDescent="0.2">
      <c r="A409"/>
      <c r="B409"/>
      <c r="C409"/>
      <c r="D409"/>
      <c r="E409"/>
      <c r="F409"/>
      <c r="G409"/>
      <c r="H409"/>
      <c r="I409"/>
      <c r="J409"/>
      <c r="K409"/>
      <c r="L409"/>
      <c r="M409"/>
      <c r="N409"/>
      <c r="O409"/>
      <c r="P409"/>
      <c r="Q409"/>
      <c r="R409"/>
      <c r="S409"/>
      <c r="T409"/>
      <c r="U409"/>
      <c r="V409"/>
      <c r="W409"/>
      <c r="X409"/>
      <c r="Y409"/>
      <c r="Z409"/>
      <c r="AA409"/>
      <c r="AB409"/>
      <c r="AC409"/>
      <c r="AD409"/>
    </row>
    <row r="410" spans="1:30" s="45" customFormat="1" x14ac:dyDescent="0.2">
      <c r="A410"/>
      <c r="B410"/>
      <c r="C410"/>
      <c r="D410"/>
      <c r="E410"/>
      <c r="F410"/>
      <c r="G410"/>
      <c r="H410"/>
      <c r="I410"/>
      <c r="J410"/>
      <c r="K410"/>
      <c r="L410"/>
      <c r="M410"/>
      <c r="N410"/>
      <c r="O410"/>
      <c r="P410"/>
      <c r="Q410"/>
      <c r="R410"/>
      <c r="S410"/>
      <c r="T410"/>
      <c r="U410"/>
      <c r="V410"/>
      <c r="W410"/>
      <c r="X410"/>
      <c r="Y410"/>
      <c r="Z410"/>
      <c r="AA410"/>
      <c r="AB410"/>
      <c r="AC410"/>
      <c r="AD410"/>
    </row>
    <row r="411" spans="1:30" s="45" customFormat="1" x14ac:dyDescent="0.2">
      <c r="A411"/>
      <c r="B411"/>
      <c r="C411"/>
      <c r="D411"/>
      <c r="E411"/>
      <c r="F411"/>
      <c r="G411"/>
      <c r="H411"/>
      <c r="I411"/>
      <c r="J411"/>
      <c r="K411"/>
      <c r="L411"/>
      <c r="M411"/>
      <c r="N411"/>
      <c r="O411"/>
      <c r="P411"/>
      <c r="Q411"/>
      <c r="R411"/>
      <c r="S411"/>
      <c r="T411"/>
      <c r="U411"/>
      <c r="V411"/>
      <c r="W411"/>
      <c r="X411"/>
      <c r="Y411"/>
      <c r="Z411"/>
      <c r="AA411"/>
      <c r="AB411"/>
      <c r="AC411"/>
      <c r="AD411"/>
    </row>
    <row r="412" spans="1:30" s="45" customFormat="1" x14ac:dyDescent="0.2">
      <c r="A412"/>
      <c r="B412"/>
      <c r="C412"/>
      <c r="D412"/>
      <c r="E412"/>
      <c r="F412"/>
      <c r="G412"/>
      <c r="H412"/>
      <c r="I412"/>
      <c r="J412"/>
      <c r="K412"/>
      <c r="L412"/>
      <c r="M412"/>
      <c r="N412"/>
      <c r="O412"/>
      <c r="P412"/>
      <c r="Q412"/>
      <c r="R412"/>
      <c r="S412"/>
      <c r="T412"/>
      <c r="U412"/>
      <c r="V412"/>
      <c r="W412"/>
      <c r="X412"/>
      <c r="Y412"/>
      <c r="Z412"/>
      <c r="AA412"/>
      <c r="AB412"/>
      <c r="AC412"/>
      <c r="AD412"/>
    </row>
    <row r="413" spans="1:30" s="45" customFormat="1" x14ac:dyDescent="0.2">
      <c r="A413"/>
      <c r="B413"/>
      <c r="C413"/>
      <c r="D413"/>
      <c r="E413"/>
      <c r="F413"/>
      <c r="G413"/>
      <c r="H413"/>
      <c r="I413"/>
      <c r="J413"/>
      <c r="K413"/>
      <c r="L413"/>
      <c r="M413"/>
      <c r="N413"/>
      <c r="O413"/>
      <c r="P413"/>
      <c r="Q413"/>
      <c r="R413"/>
      <c r="S413"/>
      <c r="T413"/>
      <c r="U413"/>
      <c r="V413"/>
      <c r="W413"/>
      <c r="X413"/>
      <c r="Y413"/>
      <c r="Z413"/>
      <c r="AA413"/>
      <c r="AB413"/>
      <c r="AC413"/>
      <c r="AD413"/>
    </row>
    <row r="414" spans="1:30" s="45" customFormat="1" x14ac:dyDescent="0.2">
      <c r="A414"/>
      <c r="B414"/>
      <c r="C414"/>
      <c r="D414"/>
      <c r="E414"/>
      <c r="F414"/>
      <c r="G414"/>
      <c r="H414"/>
      <c r="I414"/>
      <c r="J414"/>
      <c r="K414"/>
      <c r="L414"/>
      <c r="M414"/>
      <c r="N414"/>
      <c r="O414"/>
      <c r="P414"/>
      <c r="Q414"/>
      <c r="R414"/>
      <c r="S414"/>
      <c r="T414"/>
      <c r="U414"/>
      <c r="V414"/>
      <c r="W414"/>
      <c r="X414"/>
      <c r="Y414"/>
      <c r="Z414"/>
      <c r="AA414"/>
      <c r="AB414"/>
      <c r="AC414"/>
      <c r="AD414"/>
    </row>
    <row r="415" spans="1:30" s="45" customFormat="1" x14ac:dyDescent="0.2">
      <c r="A415"/>
      <c r="B415"/>
      <c r="C415"/>
      <c r="D415"/>
      <c r="E415"/>
      <c r="F415"/>
      <c r="G415"/>
      <c r="H415"/>
      <c r="I415"/>
      <c r="J415"/>
      <c r="K415"/>
      <c r="L415"/>
      <c r="M415"/>
      <c r="N415"/>
      <c r="O415"/>
      <c r="P415"/>
      <c r="Q415"/>
      <c r="R415"/>
      <c r="S415"/>
      <c r="T415"/>
      <c r="U415"/>
      <c r="V415"/>
      <c r="W415"/>
      <c r="X415"/>
      <c r="Y415"/>
      <c r="Z415"/>
      <c r="AA415"/>
      <c r="AB415"/>
      <c r="AC415"/>
      <c r="AD415"/>
    </row>
    <row r="416" spans="1:30" s="45" customFormat="1" x14ac:dyDescent="0.2">
      <c r="A416"/>
      <c r="B416"/>
      <c r="C416"/>
      <c r="D416"/>
      <c r="E416"/>
      <c r="F416"/>
      <c r="G416"/>
      <c r="H416"/>
      <c r="I416"/>
      <c r="J416"/>
      <c r="K416"/>
      <c r="L416"/>
      <c r="M416"/>
      <c r="N416"/>
      <c r="O416"/>
      <c r="P416"/>
      <c r="Q416"/>
      <c r="R416"/>
      <c r="S416"/>
      <c r="T416"/>
      <c r="U416"/>
      <c r="V416"/>
      <c r="W416"/>
      <c r="X416"/>
      <c r="Y416"/>
      <c r="Z416"/>
      <c r="AA416"/>
      <c r="AB416"/>
      <c r="AC416"/>
      <c r="AD416"/>
    </row>
    <row r="417" spans="1:30" s="45" customFormat="1" x14ac:dyDescent="0.2">
      <c r="A417"/>
      <c r="B417"/>
      <c r="C417"/>
      <c r="D417"/>
      <c r="E417"/>
      <c r="F417"/>
      <c r="G417"/>
      <c r="H417"/>
      <c r="I417"/>
      <c r="J417"/>
      <c r="K417"/>
      <c r="L417"/>
      <c r="M417"/>
      <c r="N417"/>
      <c r="O417"/>
      <c r="P417"/>
      <c r="Q417"/>
      <c r="R417"/>
      <c r="S417"/>
      <c r="T417"/>
      <c r="U417"/>
      <c r="V417"/>
      <c r="W417"/>
      <c r="X417"/>
      <c r="Y417"/>
      <c r="Z417"/>
      <c r="AA417"/>
      <c r="AB417"/>
      <c r="AC417"/>
      <c r="AD417"/>
    </row>
    <row r="418" spans="1:30" s="45" customFormat="1" x14ac:dyDescent="0.2">
      <c r="A418"/>
      <c r="B418"/>
      <c r="C418"/>
      <c r="D418"/>
      <c r="E418"/>
      <c r="F418"/>
      <c r="G418"/>
      <c r="H418"/>
      <c r="I418"/>
      <c r="J418"/>
      <c r="K418"/>
      <c r="L418"/>
      <c r="M418"/>
      <c r="N418"/>
      <c r="O418"/>
      <c r="P418"/>
      <c r="Q418"/>
      <c r="R418"/>
      <c r="S418"/>
      <c r="T418"/>
      <c r="U418"/>
      <c r="V418"/>
      <c r="W418"/>
      <c r="X418"/>
      <c r="Y418"/>
      <c r="Z418"/>
      <c r="AA418"/>
      <c r="AB418"/>
      <c r="AC418"/>
      <c r="AD418"/>
    </row>
    <row r="419" spans="1:30" s="45" customFormat="1" x14ac:dyDescent="0.2">
      <c r="A419"/>
      <c r="B419"/>
      <c r="C419"/>
      <c r="D419"/>
      <c r="E419"/>
      <c r="F419"/>
      <c r="G419"/>
      <c r="H419"/>
      <c r="I419"/>
      <c r="J419"/>
      <c r="K419"/>
      <c r="L419"/>
      <c r="M419"/>
      <c r="N419"/>
      <c r="O419"/>
      <c r="P419"/>
      <c r="Q419"/>
      <c r="R419"/>
      <c r="S419"/>
      <c r="T419"/>
      <c r="U419"/>
      <c r="V419"/>
      <c r="W419"/>
      <c r="X419"/>
      <c r="Y419"/>
      <c r="Z419"/>
      <c r="AA419"/>
      <c r="AB419"/>
      <c r="AC419"/>
      <c r="AD419"/>
    </row>
    <row r="420" spans="1:30" s="45" customFormat="1" x14ac:dyDescent="0.2">
      <c r="A420"/>
      <c r="B420"/>
      <c r="C420"/>
      <c r="D420"/>
      <c r="E420"/>
      <c r="F420"/>
      <c r="G420"/>
      <c r="H420"/>
      <c r="I420"/>
      <c r="J420"/>
      <c r="K420"/>
      <c r="L420"/>
      <c r="M420"/>
      <c r="N420"/>
      <c r="O420"/>
      <c r="P420"/>
      <c r="Q420"/>
      <c r="R420"/>
      <c r="S420"/>
      <c r="T420"/>
      <c r="U420"/>
      <c r="V420"/>
      <c r="W420"/>
      <c r="X420"/>
      <c r="Y420"/>
      <c r="Z420"/>
      <c r="AA420"/>
      <c r="AB420"/>
      <c r="AC420"/>
      <c r="AD420"/>
    </row>
    <row r="421" spans="1:30" s="45" customFormat="1" x14ac:dyDescent="0.2">
      <c r="A421"/>
      <c r="B421"/>
      <c r="C421"/>
      <c r="D421"/>
      <c r="E421"/>
      <c r="F421"/>
      <c r="G421"/>
      <c r="H421"/>
      <c r="I421"/>
      <c r="J421"/>
      <c r="K421"/>
      <c r="L421"/>
      <c r="M421"/>
      <c r="N421"/>
      <c r="O421"/>
      <c r="P421"/>
      <c r="Q421"/>
      <c r="R421"/>
      <c r="S421"/>
      <c r="T421"/>
      <c r="U421"/>
      <c r="V421"/>
      <c r="W421"/>
      <c r="X421"/>
      <c r="Y421"/>
      <c r="Z421"/>
      <c r="AA421"/>
      <c r="AB421"/>
      <c r="AC421"/>
      <c r="AD421"/>
    </row>
    <row r="422" spans="1:30" s="45" customFormat="1" x14ac:dyDescent="0.2">
      <c r="A422"/>
      <c r="B422"/>
      <c r="C422"/>
      <c r="D422"/>
      <c r="E422"/>
      <c r="F422"/>
      <c r="G422"/>
      <c r="H422"/>
      <c r="I422"/>
      <c r="J422"/>
      <c r="K422"/>
      <c r="L422"/>
      <c r="M422"/>
      <c r="N422"/>
      <c r="O422"/>
      <c r="P422"/>
      <c r="Q422"/>
      <c r="R422"/>
      <c r="S422"/>
      <c r="T422"/>
      <c r="U422"/>
      <c r="V422"/>
      <c r="W422"/>
      <c r="X422"/>
      <c r="Y422"/>
      <c r="Z422"/>
      <c r="AA422"/>
      <c r="AB422"/>
      <c r="AC422"/>
      <c r="AD422"/>
    </row>
    <row r="423" spans="1:30" s="45" customFormat="1" x14ac:dyDescent="0.2">
      <c r="A423"/>
      <c r="B423"/>
      <c r="C423"/>
      <c r="D423"/>
      <c r="E423"/>
      <c r="F423"/>
      <c r="G423"/>
      <c r="H423"/>
      <c r="I423"/>
      <c r="J423"/>
      <c r="K423"/>
      <c r="L423"/>
      <c r="M423"/>
      <c r="N423"/>
      <c r="O423"/>
      <c r="P423"/>
      <c r="Q423"/>
      <c r="R423"/>
      <c r="S423"/>
      <c r="T423"/>
      <c r="U423"/>
      <c r="V423"/>
      <c r="W423"/>
      <c r="X423"/>
      <c r="Y423"/>
      <c r="Z423"/>
      <c r="AA423"/>
      <c r="AB423"/>
      <c r="AC423"/>
      <c r="AD423"/>
    </row>
    <row r="424" spans="1:30" s="45" customFormat="1" x14ac:dyDescent="0.2">
      <c r="A424"/>
      <c r="B424"/>
      <c r="C424"/>
      <c r="D424"/>
      <c r="E424"/>
      <c r="F424"/>
      <c r="G424"/>
      <c r="H424"/>
      <c r="I424"/>
      <c r="J424"/>
      <c r="K424"/>
      <c r="L424"/>
      <c r="M424"/>
      <c r="N424"/>
      <c r="O424"/>
      <c r="P424"/>
      <c r="Q424"/>
      <c r="R424"/>
      <c r="S424"/>
      <c r="T424"/>
      <c r="U424"/>
      <c r="V424"/>
      <c r="W424"/>
      <c r="X424"/>
      <c r="Y424"/>
      <c r="Z424"/>
      <c r="AA424"/>
      <c r="AB424"/>
      <c r="AC424"/>
      <c r="AD424"/>
    </row>
    <row r="425" spans="1:30" s="45" customFormat="1" x14ac:dyDescent="0.2">
      <c r="A425"/>
      <c r="B425"/>
      <c r="C425"/>
      <c r="D425"/>
      <c r="E425"/>
      <c r="F425"/>
      <c r="G425"/>
      <c r="H425"/>
      <c r="I425"/>
      <c r="J425"/>
      <c r="K425"/>
      <c r="L425"/>
      <c r="M425"/>
      <c r="N425"/>
      <c r="O425"/>
      <c r="P425"/>
      <c r="Q425"/>
      <c r="R425"/>
      <c r="S425"/>
      <c r="T425"/>
      <c r="U425"/>
      <c r="V425"/>
      <c r="W425"/>
      <c r="X425"/>
      <c r="Y425"/>
      <c r="Z425"/>
      <c r="AA425"/>
      <c r="AB425"/>
      <c r="AC425"/>
      <c r="AD425"/>
    </row>
    <row r="426" spans="1:30" s="45" customFormat="1" x14ac:dyDescent="0.2">
      <c r="A426"/>
      <c r="B426"/>
      <c r="C426"/>
      <c r="D426"/>
      <c r="E426"/>
      <c r="F426"/>
      <c r="G426"/>
      <c r="H426"/>
      <c r="I426"/>
      <c r="J426"/>
      <c r="K426"/>
      <c r="L426"/>
      <c r="M426"/>
      <c r="N426"/>
      <c r="O426"/>
      <c r="P426"/>
      <c r="Q426"/>
      <c r="R426"/>
      <c r="S426"/>
      <c r="T426"/>
      <c r="U426"/>
      <c r="V426"/>
      <c r="W426"/>
      <c r="X426"/>
      <c r="Y426"/>
      <c r="Z426"/>
      <c r="AA426"/>
      <c r="AB426"/>
      <c r="AC426"/>
      <c r="AD426"/>
    </row>
    <row r="427" spans="1:30" s="45" customFormat="1" x14ac:dyDescent="0.2">
      <c r="A427"/>
      <c r="B427"/>
      <c r="C427"/>
      <c r="D427"/>
      <c r="E427"/>
      <c r="F427"/>
      <c r="G427"/>
      <c r="H427"/>
      <c r="I427"/>
      <c r="J427"/>
      <c r="K427"/>
      <c r="L427"/>
      <c r="M427"/>
      <c r="N427"/>
      <c r="O427"/>
      <c r="P427"/>
      <c r="Q427"/>
      <c r="R427"/>
      <c r="S427"/>
      <c r="T427"/>
      <c r="U427"/>
      <c r="V427"/>
      <c r="W427"/>
      <c r="X427"/>
      <c r="Y427"/>
      <c r="Z427"/>
      <c r="AA427"/>
      <c r="AB427"/>
      <c r="AC427"/>
      <c r="AD427"/>
    </row>
    <row r="428" spans="1:30" s="45" customFormat="1" x14ac:dyDescent="0.2">
      <c r="A428"/>
      <c r="B428"/>
      <c r="C428"/>
      <c r="D428"/>
      <c r="E428"/>
      <c r="F428"/>
      <c r="G428"/>
      <c r="H428"/>
      <c r="I428"/>
      <c r="J428"/>
      <c r="K428"/>
      <c r="L428"/>
      <c r="M428"/>
      <c r="N428"/>
      <c r="O428"/>
      <c r="P428"/>
      <c r="Q428"/>
      <c r="R428"/>
      <c r="S428"/>
      <c r="T428"/>
      <c r="U428"/>
      <c r="V428"/>
      <c r="W428"/>
      <c r="X428"/>
      <c r="Y428"/>
      <c r="Z428"/>
      <c r="AA428"/>
      <c r="AB428"/>
      <c r="AC428"/>
      <c r="AD428"/>
    </row>
    <row r="429" spans="1:30" s="45" customFormat="1" x14ac:dyDescent="0.2">
      <c r="A429"/>
      <c r="B429"/>
      <c r="C429"/>
      <c r="D429"/>
      <c r="E429"/>
      <c r="F429"/>
      <c r="G429"/>
      <c r="H429"/>
      <c r="I429"/>
      <c r="J429"/>
      <c r="K429"/>
      <c r="L429"/>
      <c r="M429"/>
      <c r="N429"/>
      <c r="O429"/>
      <c r="P429"/>
      <c r="Q429"/>
      <c r="R429"/>
      <c r="S429"/>
      <c r="T429"/>
      <c r="U429"/>
      <c r="V429"/>
      <c r="W429"/>
      <c r="X429"/>
      <c r="Y429"/>
      <c r="Z429"/>
      <c r="AA429"/>
      <c r="AB429"/>
      <c r="AC429"/>
      <c r="AD429"/>
    </row>
    <row r="430" spans="1:30" s="45" customFormat="1" x14ac:dyDescent="0.2">
      <c r="A430"/>
      <c r="B430"/>
      <c r="C430"/>
      <c r="D430"/>
      <c r="E430"/>
      <c r="F430"/>
      <c r="G430"/>
      <c r="H430"/>
      <c r="I430"/>
      <c r="J430"/>
      <c r="K430"/>
      <c r="L430"/>
      <c r="M430"/>
      <c r="N430"/>
      <c r="O430"/>
      <c r="P430"/>
      <c r="Q430"/>
      <c r="R430"/>
      <c r="S430"/>
      <c r="T430"/>
      <c r="U430"/>
      <c r="V430"/>
      <c r="W430"/>
      <c r="X430"/>
      <c r="Y430"/>
      <c r="Z430"/>
      <c r="AA430"/>
      <c r="AB430"/>
      <c r="AC430"/>
      <c r="AD430"/>
    </row>
    <row r="431" spans="1:30" s="45" customFormat="1" x14ac:dyDescent="0.2">
      <c r="A431"/>
      <c r="B431"/>
      <c r="C431"/>
      <c r="D431"/>
      <c r="E431"/>
      <c r="F431"/>
      <c r="G431"/>
      <c r="H431"/>
      <c r="I431"/>
      <c r="J431"/>
      <c r="K431"/>
      <c r="L431"/>
      <c r="M431"/>
      <c r="N431"/>
      <c r="O431"/>
      <c r="P431"/>
      <c r="Q431"/>
      <c r="R431"/>
      <c r="S431"/>
      <c r="T431"/>
      <c r="U431"/>
      <c r="V431"/>
      <c r="W431"/>
      <c r="X431"/>
      <c r="Y431"/>
      <c r="Z431"/>
      <c r="AA431"/>
      <c r="AB431"/>
      <c r="AC431"/>
      <c r="AD431"/>
    </row>
    <row r="432" spans="1:30" s="45" customFormat="1" x14ac:dyDescent="0.2">
      <c r="A432"/>
      <c r="B432"/>
      <c r="C432"/>
      <c r="D432"/>
      <c r="E432"/>
      <c r="F432"/>
      <c r="G432"/>
      <c r="H432"/>
      <c r="I432"/>
      <c r="J432"/>
      <c r="K432"/>
      <c r="L432"/>
      <c r="M432"/>
      <c r="N432"/>
      <c r="O432"/>
      <c r="P432"/>
      <c r="Q432"/>
      <c r="R432"/>
      <c r="S432"/>
      <c r="T432"/>
      <c r="U432"/>
      <c r="V432"/>
      <c r="W432"/>
      <c r="X432"/>
      <c r="Y432"/>
      <c r="Z432"/>
      <c r="AA432"/>
      <c r="AB432"/>
      <c r="AC432"/>
      <c r="AD432"/>
    </row>
    <row r="433" spans="1:30" s="45" customFormat="1" x14ac:dyDescent="0.2">
      <c r="A433"/>
      <c r="B433"/>
      <c r="C433"/>
      <c r="D433"/>
      <c r="E433"/>
      <c r="F433"/>
      <c r="G433"/>
      <c r="H433"/>
      <c r="I433"/>
      <c r="J433"/>
      <c r="K433"/>
      <c r="L433"/>
      <c r="M433"/>
      <c r="N433"/>
      <c r="O433"/>
      <c r="P433"/>
      <c r="Q433"/>
      <c r="R433"/>
      <c r="S433"/>
      <c r="T433"/>
      <c r="U433"/>
      <c r="V433"/>
      <c r="W433"/>
      <c r="X433"/>
      <c r="Y433"/>
      <c r="Z433"/>
      <c r="AA433"/>
      <c r="AB433"/>
      <c r="AC433"/>
      <c r="AD433"/>
    </row>
    <row r="434" spans="1:30" s="45" customFormat="1" x14ac:dyDescent="0.2">
      <c r="A434"/>
      <c r="B434"/>
      <c r="C434"/>
      <c r="D434"/>
      <c r="E434"/>
      <c r="F434"/>
      <c r="G434"/>
      <c r="H434"/>
      <c r="I434"/>
      <c r="J434"/>
      <c r="K434"/>
      <c r="L434"/>
      <c r="M434"/>
      <c r="N434"/>
      <c r="O434"/>
      <c r="P434"/>
      <c r="Q434"/>
      <c r="R434"/>
      <c r="S434"/>
      <c r="T434"/>
      <c r="U434"/>
      <c r="V434"/>
      <c r="W434"/>
      <c r="X434"/>
      <c r="Y434"/>
      <c r="Z434"/>
      <c r="AA434"/>
      <c r="AB434"/>
      <c r="AC434"/>
      <c r="AD434"/>
    </row>
    <row r="435" spans="1:30" s="45" customFormat="1" x14ac:dyDescent="0.2">
      <c r="A435"/>
      <c r="B435"/>
      <c r="C435"/>
      <c r="D435"/>
      <c r="E435"/>
      <c r="F435"/>
      <c r="G435"/>
      <c r="H435"/>
      <c r="I435"/>
      <c r="J435"/>
      <c r="K435"/>
      <c r="L435"/>
      <c r="M435"/>
      <c r="N435"/>
      <c r="O435"/>
      <c r="P435"/>
      <c r="Q435"/>
      <c r="R435"/>
      <c r="S435"/>
      <c r="T435"/>
      <c r="U435"/>
      <c r="V435"/>
      <c r="W435"/>
      <c r="X435"/>
      <c r="Y435"/>
      <c r="Z435"/>
      <c r="AA435"/>
      <c r="AB435"/>
      <c r="AC435"/>
      <c r="AD435"/>
    </row>
    <row r="436" spans="1:30" s="45" customFormat="1" x14ac:dyDescent="0.2">
      <c r="A436"/>
      <c r="B436"/>
      <c r="C436"/>
      <c r="D436"/>
      <c r="E436"/>
      <c r="F436"/>
      <c r="G436"/>
      <c r="H436"/>
      <c r="I436"/>
      <c r="J436"/>
      <c r="K436"/>
      <c r="L436"/>
      <c r="M436"/>
      <c r="N436"/>
      <c r="O436"/>
      <c r="P436"/>
      <c r="Q436"/>
      <c r="R436"/>
      <c r="S436"/>
      <c r="T436"/>
      <c r="U436"/>
      <c r="V436"/>
      <c r="W436"/>
      <c r="X436"/>
      <c r="Y436"/>
      <c r="Z436"/>
      <c r="AA436"/>
      <c r="AB436"/>
      <c r="AC436"/>
      <c r="AD436"/>
    </row>
    <row r="437" spans="1:30" s="45" customFormat="1" x14ac:dyDescent="0.2">
      <c r="A437"/>
      <c r="B437"/>
      <c r="C437"/>
      <c r="D437"/>
      <c r="E437"/>
      <c r="F437"/>
      <c r="G437"/>
      <c r="H437"/>
      <c r="I437"/>
      <c r="J437"/>
      <c r="K437"/>
      <c r="L437"/>
      <c r="M437"/>
      <c r="N437"/>
      <c r="O437"/>
      <c r="P437"/>
      <c r="Q437"/>
      <c r="R437"/>
      <c r="S437"/>
      <c r="T437"/>
      <c r="U437"/>
      <c r="V437"/>
      <c r="W437"/>
      <c r="X437"/>
      <c r="Y437"/>
      <c r="Z437"/>
      <c r="AA437"/>
      <c r="AB437"/>
      <c r="AC437"/>
      <c r="AD437"/>
    </row>
    <row r="438" spans="1:30" s="45" customFormat="1" x14ac:dyDescent="0.2">
      <c r="A438"/>
      <c r="B438"/>
      <c r="C438"/>
      <c r="D438"/>
      <c r="E438"/>
      <c r="F438"/>
      <c r="G438"/>
      <c r="H438"/>
      <c r="I438"/>
      <c r="J438"/>
      <c r="K438"/>
      <c r="L438"/>
      <c r="M438"/>
      <c r="N438"/>
      <c r="O438"/>
      <c r="P438"/>
      <c r="Q438"/>
      <c r="R438"/>
      <c r="S438"/>
      <c r="T438"/>
      <c r="U438"/>
      <c r="V438"/>
      <c r="W438"/>
      <c r="X438"/>
      <c r="Y438"/>
      <c r="Z438"/>
      <c r="AA438"/>
      <c r="AB438"/>
      <c r="AC438"/>
      <c r="AD438"/>
    </row>
    <row r="439" spans="1:30" s="45" customFormat="1" x14ac:dyDescent="0.2">
      <c r="A439"/>
      <c r="B439"/>
      <c r="C439"/>
      <c r="D439"/>
      <c r="E439"/>
      <c r="F439"/>
      <c r="G439"/>
      <c r="H439"/>
      <c r="I439"/>
      <c r="J439"/>
      <c r="K439"/>
      <c r="L439"/>
      <c r="M439"/>
      <c r="N439"/>
      <c r="O439"/>
      <c r="P439"/>
      <c r="Q439"/>
      <c r="R439"/>
      <c r="S439"/>
      <c r="T439"/>
      <c r="U439"/>
      <c r="V439"/>
      <c r="W439"/>
      <c r="X439"/>
      <c r="Y439"/>
      <c r="Z439"/>
      <c r="AA439"/>
      <c r="AB439"/>
      <c r="AC439"/>
      <c r="AD439"/>
    </row>
    <row r="440" spans="1:30" s="45" customFormat="1" x14ac:dyDescent="0.2">
      <c r="A440"/>
      <c r="B440"/>
      <c r="C440"/>
      <c r="D440"/>
      <c r="E440"/>
      <c r="F440"/>
      <c r="G440"/>
      <c r="H440"/>
      <c r="I440"/>
      <c r="J440"/>
      <c r="K440"/>
      <c r="L440"/>
      <c r="M440"/>
      <c r="N440"/>
      <c r="O440"/>
      <c r="P440"/>
      <c r="Q440"/>
      <c r="R440"/>
      <c r="S440"/>
      <c r="T440"/>
      <c r="U440"/>
      <c r="V440"/>
      <c r="W440"/>
      <c r="X440"/>
      <c r="Y440"/>
      <c r="Z440"/>
      <c r="AA440"/>
      <c r="AB440"/>
      <c r="AC440"/>
      <c r="AD440"/>
    </row>
    <row r="441" spans="1:30" s="45" customFormat="1" x14ac:dyDescent="0.2">
      <c r="A441"/>
      <c r="B441"/>
      <c r="C441"/>
      <c r="D441"/>
      <c r="E441"/>
      <c r="F441"/>
      <c r="G441"/>
      <c r="H441"/>
      <c r="I441"/>
      <c r="J441"/>
      <c r="K441"/>
      <c r="L441"/>
      <c r="M441"/>
      <c r="N441"/>
      <c r="O441"/>
      <c r="P441"/>
      <c r="Q441"/>
      <c r="R441"/>
      <c r="S441"/>
      <c r="T441"/>
      <c r="U441"/>
      <c r="V441"/>
      <c r="W441"/>
      <c r="X441"/>
      <c r="Y441"/>
      <c r="Z441"/>
      <c r="AA441"/>
      <c r="AB441"/>
      <c r="AC441"/>
      <c r="AD441"/>
    </row>
    <row r="442" spans="1:30" s="45" customFormat="1" x14ac:dyDescent="0.2">
      <c r="A442"/>
      <c r="B442"/>
      <c r="C442"/>
      <c r="D442"/>
      <c r="E442"/>
      <c r="F442"/>
      <c r="G442"/>
      <c r="H442"/>
      <c r="I442"/>
      <c r="J442"/>
      <c r="K442"/>
      <c r="L442"/>
      <c r="M442"/>
      <c r="N442"/>
      <c r="O442"/>
      <c r="P442"/>
      <c r="Q442"/>
      <c r="R442"/>
      <c r="S442"/>
      <c r="T442"/>
      <c r="U442"/>
      <c r="V442"/>
      <c r="W442"/>
      <c r="X442"/>
      <c r="Y442"/>
      <c r="Z442"/>
      <c r="AA442"/>
      <c r="AB442"/>
      <c r="AC442"/>
      <c r="AD442"/>
    </row>
    <row r="443" spans="1:30" s="45" customFormat="1" x14ac:dyDescent="0.2">
      <c r="A443"/>
      <c r="B443"/>
      <c r="C443"/>
      <c r="D443"/>
      <c r="E443"/>
      <c r="F443"/>
      <c r="G443"/>
      <c r="H443"/>
      <c r="I443"/>
      <c r="J443"/>
      <c r="K443"/>
      <c r="L443"/>
      <c r="M443"/>
      <c r="N443"/>
      <c r="O443"/>
      <c r="P443"/>
      <c r="Q443"/>
      <c r="R443"/>
      <c r="S443"/>
      <c r="T443"/>
      <c r="U443"/>
      <c r="V443"/>
      <c r="W443"/>
      <c r="X443"/>
      <c r="Y443"/>
      <c r="Z443"/>
      <c r="AA443"/>
      <c r="AB443"/>
      <c r="AC443"/>
      <c r="AD443"/>
    </row>
    <row r="444" spans="1:30" s="45" customFormat="1" x14ac:dyDescent="0.2">
      <c r="A444"/>
      <c r="B444"/>
      <c r="C444"/>
      <c r="D444"/>
      <c r="E444"/>
      <c r="F444"/>
      <c r="G444"/>
      <c r="H444"/>
      <c r="I444"/>
      <c r="J444"/>
      <c r="K444"/>
      <c r="L444"/>
      <c r="M444"/>
      <c r="N444"/>
      <c r="O444"/>
      <c r="P444"/>
      <c r="Q444"/>
      <c r="R444"/>
      <c r="S444"/>
      <c r="T444"/>
      <c r="U444"/>
      <c r="V444"/>
      <c r="W444"/>
      <c r="X444"/>
      <c r="Y444"/>
      <c r="Z444"/>
      <c r="AA444"/>
      <c r="AB444"/>
      <c r="AC444"/>
      <c r="AD444"/>
    </row>
    <row r="445" spans="1:30" s="45" customFormat="1" x14ac:dyDescent="0.2">
      <c r="A445"/>
      <c r="B445"/>
      <c r="C445"/>
      <c r="D445"/>
      <c r="E445"/>
      <c r="F445"/>
      <c r="G445"/>
      <c r="H445"/>
      <c r="I445"/>
      <c r="J445"/>
      <c r="K445"/>
      <c r="L445"/>
      <c r="M445"/>
      <c r="N445"/>
      <c r="O445"/>
      <c r="P445"/>
      <c r="Q445"/>
      <c r="R445"/>
      <c r="S445"/>
      <c r="T445"/>
      <c r="U445"/>
      <c r="V445"/>
      <c r="W445"/>
      <c r="X445"/>
      <c r="Y445"/>
      <c r="Z445"/>
      <c r="AA445"/>
      <c r="AB445"/>
      <c r="AC445"/>
      <c r="AD445"/>
    </row>
    <row r="446" spans="1:30" s="45" customFormat="1" x14ac:dyDescent="0.2">
      <c r="A446"/>
      <c r="B446"/>
      <c r="C446"/>
      <c r="D446"/>
      <c r="E446"/>
      <c r="F446"/>
      <c r="G446"/>
      <c r="H446"/>
      <c r="I446"/>
      <c r="J446"/>
      <c r="K446"/>
      <c r="L446"/>
      <c r="M446"/>
      <c r="N446"/>
      <c r="O446"/>
      <c r="P446"/>
      <c r="Q446"/>
      <c r="R446"/>
      <c r="S446"/>
      <c r="T446"/>
      <c r="U446"/>
      <c r="V446"/>
      <c r="W446"/>
      <c r="X446"/>
      <c r="Y446"/>
      <c r="Z446"/>
      <c r="AA446"/>
      <c r="AB446"/>
      <c r="AC446"/>
      <c r="AD446"/>
    </row>
    <row r="447" spans="1:30" s="45" customFormat="1" x14ac:dyDescent="0.2">
      <c r="A447"/>
      <c r="B447"/>
      <c r="C447"/>
      <c r="D447"/>
      <c r="E447"/>
      <c r="F447"/>
      <c r="G447"/>
      <c r="H447"/>
      <c r="I447"/>
      <c r="J447"/>
      <c r="K447"/>
      <c r="L447"/>
      <c r="M447"/>
      <c r="N447"/>
      <c r="O447"/>
      <c r="P447"/>
      <c r="Q447"/>
      <c r="R447"/>
      <c r="S447"/>
      <c r="T447"/>
      <c r="U447"/>
      <c r="V447"/>
      <c r="W447"/>
      <c r="X447"/>
      <c r="Y447"/>
      <c r="Z447"/>
      <c r="AA447"/>
      <c r="AB447"/>
      <c r="AC447"/>
      <c r="AD447"/>
    </row>
    <row r="448" spans="1:30" s="45" customFormat="1" x14ac:dyDescent="0.2">
      <c r="A448"/>
      <c r="B448"/>
      <c r="C448"/>
      <c r="D448"/>
      <c r="E448"/>
      <c r="F448"/>
      <c r="G448"/>
      <c r="H448"/>
      <c r="I448"/>
      <c r="J448"/>
      <c r="K448"/>
      <c r="L448"/>
      <c r="M448"/>
      <c r="N448"/>
      <c r="O448"/>
      <c r="P448"/>
      <c r="Q448"/>
      <c r="R448"/>
      <c r="S448"/>
      <c r="T448"/>
      <c r="U448"/>
      <c r="V448"/>
      <c r="W448"/>
      <c r="X448"/>
      <c r="Y448"/>
      <c r="Z448"/>
      <c r="AA448"/>
      <c r="AB448"/>
      <c r="AC448"/>
      <c r="AD448"/>
    </row>
    <row r="449" spans="1:30" s="45" customFormat="1" x14ac:dyDescent="0.2">
      <c r="A449"/>
      <c r="B449"/>
      <c r="C449"/>
      <c r="D449"/>
      <c r="E449"/>
      <c r="F449"/>
      <c r="G449"/>
      <c r="H449"/>
      <c r="I449"/>
      <c r="J449"/>
      <c r="K449"/>
      <c r="L449"/>
      <c r="M449"/>
      <c r="N449"/>
      <c r="O449"/>
      <c r="P449"/>
      <c r="Q449"/>
      <c r="R449"/>
      <c r="S449"/>
      <c r="T449"/>
      <c r="U449"/>
      <c r="V449"/>
      <c r="W449"/>
      <c r="X449"/>
      <c r="Y449"/>
      <c r="Z449"/>
      <c r="AA449"/>
      <c r="AB449"/>
      <c r="AC449"/>
      <c r="AD449"/>
    </row>
    <row r="450" spans="1:30" s="45" customFormat="1" x14ac:dyDescent="0.2">
      <c r="A450"/>
      <c r="B450"/>
      <c r="C450"/>
      <c r="D450"/>
      <c r="E450"/>
      <c r="F450"/>
      <c r="G450"/>
      <c r="H450"/>
      <c r="I450"/>
      <c r="J450"/>
      <c r="K450"/>
      <c r="L450"/>
      <c r="M450"/>
      <c r="N450"/>
      <c r="O450"/>
      <c r="P450"/>
      <c r="Q450"/>
      <c r="R450"/>
      <c r="S450"/>
      <c r="T450"/>
      <c r="U450"/>
      <c r="V450"/>
      <c r="W450"/>
      <c r="X450"/>
      <c r="Y450"/>
      <c r="Z450"/>
      <c r="AA450"/>
      <c r="AB450"/>
      <c r="AC450"/>
      <c r="AD450"/>
    </row>
    <row r="451" spans="1:30" s="45" customFormat="1" x14ac:dyDescent="0.2">
      <c r="A451"/>
      <c r="B451"/>
      <c r="C451"/>
      <c r="D451"/>
      <c r="E451"/>
      <c r="F451"/>
      <c r="G451"/>
      <c r="H451"/>
      <c r="I451"/>
      <c r="J451"/>
      <c r="K451"/>
      <c r="L451"/>
      <c r="M451"/>
      <c r="N451"/>
      <c r="O451"/>
      <c r="P451"/>
      <c r="Q451"/>
      <c r="R451"/>
      <c r="S451"/>
      <c r="T451"/>
      <c r="U451"/>
      <c r="V451"/>
      <c r="W451"/>
      <c r="X451"/>
      <c r="Y451"/>
      <c r="Z451"/>
      <c r="AA451"/>
      <c r="AB451"/>
      <c r="AC451"/>
      <c r="AD451"/>
    </row>
    <row r="452" spans="1:30" s="45" customFormat="1" x14ac:dyDescent="0.2">
      <c r="A452"/>
      <c r="B452"/>
      <c r="C452"/>
      <c r="D452"/>
      <c r="E452"/>
      <c r="F452"/>
      <c r="G452"/>
      <c r="H452"/>
      <c r="I452"/>
      <c r="J452"/>
      <c r="K452"/>
      <c r="L452"/>
      <c r="M452"/>
      <c r="N452"/>
      <c r="O452"/>
      <c r="P452"/>
      <c r="Q452"/>
      <c r="R452"/>
      <c r="S452"/>
      <c r="T452"/>
      <c r="U452"/>
      <c r="V452"/>
      <c r="W452"/>
      <c r="X452"/>
      <c r="Y452"/>
      <c r="Z452"/>
      <c r="AA452"/>
      <c r="AB452"/>
      <c r="AC452"/>
      <c r="AD452"/>
    </row>
    <row r="453" spans="1:30" s="45" customFormat="1" x14ac:dyDescent="0.2">
      <c r="A453"/>
      <c r="B453"/>
      <c r="C453"/>
      <c r="D453"/>
      <c r="E453"/>
      <c r="F453"/>
      <c r="G453"/>
      <c r="H453"/>
      <c r="I453"/>
      <c r="J453"/>
      <c r="K453"/>
      <c r="L453"/>
      <c r="M453"/>
      <c r="N453"/>
      <c r="O453"/>
      <c r="P453"/>
      <c r="Q453"/>
      <c r="R453"/>
      <c r="S453"/>
      <c r="T453"/>
      <c r="U453"/>
      <c r="V453"/>
      <c r="W453"/>
      <c r="X453"/>
      <c r="Y453"/>
      <c r="Z453"/>
      <c r="AA453"/>
      <c r="AB453"/>
      <c r="AC453"/>
      <c r="AD453"/>
    </row>
    <row r="454" spans="1:30" s="45" customFormat="1" x14ac:dyDescent="0.2">
      <c r="A454"/>
      <c r="B454"/>
      <c r="C454"/>
      <c r="D454"/>
      <c r="E454"/>
      <c r="F454"/>
      <c r="G454"/>
      <c r="H454"/>
      <c r="I454"/>
      <c r="J454"/>
      <c r="K454"/>
      <c r="L454"/>
      <c r="M454"/>
      <c r="N454"/>
      <c r="O454"/>
      <c r="P454"/>
      <c r="Q454"/>
      <c r="R454"/>
      <c r="S454"/>
      <c r="T454"/>
      <c r="U454"/>
      <c r="V454"/>
      <c r="W454"/>
      <c r="X454"/>
      <c r="Y454"/>
      <c r="Z454"/>
      <c r="AA454"/>
      <c r="AB454"/>
      <c r="AC454"/>
      <c r="AD454"/>
    </row>
    <row r="455" spans="1:30" s="45" customFormat="1" x14ac:dyDescent="0.2">
      <c r="A455"/>
      <c r="B455"/>
      <c r="C455"/>
      <c r="D455"/>
      <c r="E455"/>
      <c r="F455"/>
      <c r="G455"/>
      <c r="H455"/>
      <c r="I455"/>
      <c r="J455"/>
      <c r="K455"/>
      <c r="L455"/>
      <c r="M455"/>
      <c r="N455"/>
      <c r="O455"/>
      <c r="P455"/>
      <c r="Q455"/>
      <c r="R455"/>
      <c r="S455"/>
      <c r="T455"/>
      <c r="U455"/>
      <c r="V455"/>
      <c r="W455"/>
      <c r="X455"/>
      <c r="Y455"/>
      <c r="Z455"/>
      <c r="AA455"/>
      <c r="AB455"/>
      <c r="AC455"/>
      <c r="AD455"/>
    </row>
    <row r="456" spans="1:30" s="45" customFormat="1" x14ac:dyDescent="0.2">
      <c r="A456"/>
      <c r="B456"/>
      <c r="C456"/>
      <c r="D456"/>
      <c r="E456"/>
      <c r="F456"/>
      <c r="G456"/>
      <c r="H456"/>
      <c r="I456"/>
      <c r="J456"/>
      <c r="K456"/>
      <c r="L456"/>
      <c r="M456"/>
      <c r="N456"/>
      <c r="O456"/>
      <c r="P456"/>
      <c r="Q456"/>
      <c r="R456"/>
      <c r="S456"/>
      <c r="T456"/>
      <c r="U456"/>
      <c r="V456"/>
      <c r="W456"/>
      <c r="X456"/>
      <c r="Y456"/>
      <c r="Z456"/>
      <c r="AA456"/>
      <c r="AB456"/>
      <c r="AC456"/>
      <c r="AD456"/>
    </row>
    <row r="457" spans="1:30" s="45" customFormat="1" x14ac:dyDescent="0.2">
      <c r="A457"/>
      <c r="B457"/>
      <c r="C457"/>
      <c r="D457"/>
      <c r="E457"/>
      <c r="F457"/>
      <c r="G457"/>
      <c r="H457"/>
      <c r="I457"/>
      <c r="J457"/>
      <c r="K457"/>
      <c r="L457"/>
      <c r="M457"/>
      <c r="N457"/>
      <c r="O457"/>
      <c r="P457"/>
      <c r="Q457"/>
      <c r="R457"/>
      <c r="S457"/>
      <c r="T457"/>
      <c r="U457"/>
      <c r="V457"/>
      <c r="W457"/>
      <c r="X457"/>
      <c r="Y457"/>
      <c r="Z457"/>
      <c r="AA457"/>
      <c r="AB457"/>
      <c r="AC457"/>
      <c r="AD457"/>
    </row>
    <row r="458" spans="1:30" s="45" customFormat="1" x14ac:dyDescent="0.2">
      <c r="A458"/>
      <c r="B458"/>
      <c r="C458"/>
      <c r="D458"/>
      <c r="E458"/>
      <c r="F458"/>
      <c r="G458"/>
      <c r="H458"/>
      <c r="I458"/>
      <c r="J458"/>
      <c r="K458"/>
      <c r="L458"/>
      <c r="M458"/>
      <c r="N458"/>
      <c r="O458"/>
      <c r="P458"/>
      <c r="Q458"/>
      <c r="R458"/>
      <c r="S458"/>
      <c r="T458"/>
      <c r="U458"/>
      <c r="V458"/>
      <c r="W458"/>
      <c r="X458"/>
      <c r="Y458"/>
      <c r="Z458"/>
      <c r="AA458"/>
      <c r="AB458"/>
      <c r="AC458"/>
      <c r="AD458"/>
    </row>
    <row r="459" spans="1:30" s="45" customFormat="1" x14ac:dyDescent="0.2">
      <c r="A459"/>
      <c r="B459"/>
      <c r="C459"/>
      <c r="D459"/>
      <c r="E459"/>
      <c r="F459"/>
      <c r="G459"/>
      <c r="H459"/>
      <c r="I459"/>
      <c r="J459"/>
      <c r="K459"/>
      <c r="L459"/>
      <c r="M459"/>
      <c r="N459"/>
      <c r="O459"/>
      <c r="P459"/>
      <c r="Q459"/>
      <c r="R459"/>
      <c r="S459"/>
      <c r="T459"/>
      <c r="U459"/>
      <c r="V459"/>
      <c r="W459"/>
      <c r="X459"/>
      <c r="Y459"/>
      <c r="Z459"/>
      <c r="AA459"/>
      <c r="AB459"/>
      <c r="AC459"/>
      <c r="AD459"/>
    </row>
    <row r="460" spans="1:30" s="45" customFormat="1" x14ac:dyDescent="0.2">
      <c r="A460"/>
      <c r="B460"/>
      <c r="C460"/>
      <c r="D460"/>
      <c r="E460"/>
      <c r="F460"/>
      <c r="G460"/>
      <c r="H460"/>
      <c r="I460"/>
      <c r="J460"/>
      <c r="K460"/>
      <c r="L460"/>
      <c r="M460"/>
      <c r="N460"/>
      <c r="O460"/>
      <c r="P460"/>
      <c r="Q460"/>
      <c r="R460"/>
      <c r="S460"/>
      <c r="T460"/>
      <c r="U460"/>
      <c r="V460"/>
      <c r="W460"/>
      <c r="X460"/>
      <c r="Y460"/>
      <c r="Z460"/>
      <c r="AA460"/>
      <c r="AB460"/>
      <c r="AC460"/>
      <c r="AD460"/>
    </row>
    <row r="461" spans="1:30" s="45" customFormat="1" x14ac:dyDescent="0.2">
      <c r="A461"/>
      <c r="B461"/>
      <c r="C461"/>
      <c r="D461"/>
      <c r="E461"/>
      <c r="F461"/>
      <c r="G461"/>
      <c r="H461"/>
      <c r="I461"/>
      <c r="J461"/>
      <c r="K461"/>
      <c r="L461"/>
      <c r="M461"/>
      <c r="N461"/>
      <c r="O461"/>
      <c r="P461"/>
      <c r="Q461"/>
      <c r="R461"/>
      <c r="S461"/>
      <c r="T461"/>
      <c r="U461"/>
      <c r="V461"/>
      <c r="W461"/>
      <c r="X461"/>
      <c r="Y461"/>
      <c r="Z461"/>
      <c r="AA461"/>
      <c r="AB461"/>
      <c r="AC461"/>
      <c r="AD461"/>
    </row>
    <row r="462" spans="1:30" s="45" customFormat="1" x14ac:dyDescent="0.2">
      <c r="A462"/>
      <c r="B462"/>
      <c r="C462"/>
      <c r="D462"/>
      <c r="E462"/>
      <c r="F462"/>
      <c r="G462"/>
      <c r="H462"/>
      <c r="I462"/>
      <c r="J462"/>
      <c r="K462"/>
      <c r="L462"/>
      <c r="M462"/>
      <c r="N462"/>
      <c r="O462"/>
      <c r="P462"/>
      <c r="Q462"/>
      <c r="R462"/>
      <c r="S462"/>
      <c r="T462"/>
      <c r="U462"/>
      <c r="V462"/>
      <c r="W462"/>
      <c r="X462"/>
      <c r="Y462"/>
      <c r="Z462"/>
      <c r="AA462"/>
      <c r="AB462"/>
      <c r="AC462"/>
      <c r="AD462"/>
    </row>
    <row r="463" spans="1:30" s="45" customFormat="1" x14ac:dyDescent="0.2">
      <c r="A463"/>
      <c r="B463"/>
      <c r="C463"/>
      <c r="D463"/>
      <c r="E463"/>
      <c r="F463"/>
      <c r="G463"/>
      <c r="H463"/>
      <c r="I463"/>
      <c r="J463"/>
      <c r="K463"/>
      <c r="L463"/>
      <c r="M463"/>
      <c r="N463"/>
      <c r="O463"/>
      <c r="P463"/>
      <c r="Q463"/>
      <c r="R463"/>
      <c r="S463"/>
      <c r="T463"/>
      <c r="U463"/>
      <c r="V463"/>
      <c r="W463"/>
      <c r="X463"/>
      <c r="Y463"/>
      <c r="Z463"/>
      <c r="AA463"/>
      <c r="AB463"/>
      <c r="AC463"/>
      <c r="AD463"/>
    </row>
    <row r="464" spans="1:30" s="45" customFormat="1" x14ac:dyDescent="0.2">
      <c r="A464"/>
      <c r="B464"/>
      <c r="C464"/>
      <c r="D464"/>
      <c r="E464"/>
      <c r="F464"/>
      <c r="G464"/>
      <c r="H464"/>
      <c r="I464"/>
      <c r="J464"/>
      <c r="K464"/>
      <c r="L464"/>
      <c r="M464"/>
      <c r="N464"/>
      <c r="O464"/>
      <c r="P464"/>
      <c r="Q464"/>
      <c r="R464"/>
      <c r="S464"/>
      <c r="T464"/>
      <c r="U464"/>
      <c r="V464"/>
      <c r="W464"/>
      <c r="X464"/>
      <c r="Y464"/>
      <c r="Z464"/>
      <c r="AA464"/>
      <c r="AB464"/>
      <c r="AC464"/>
      <c r="AD464"/>
    </row>
    <row r="465" spans="1:30" s="45" customFormat="1" x14ac:dyDescent="0.2">
      <c r="A465"/>
      <c r="B465"/>
      <c r="C465"/>
      <c r="D465"/>
      <c r="E465"/>
      <c r="F465"/>
      <c r="G465"/>
      <c r="H465"/>
      <c r="I465"/>
      <c r="J465"/>
      <c r="K465"/>
      <c r="L465"/>
      <c r="M465"/>
      <c r="N465"/>
      <c r="O465"/>
      <c r="P465"/>
      <c r="Q465"/>
      <c r="R465"/>
      <c r="S465"/>
      <c r="T465"/>
      <c r="U465"/>
      <c r="V465"/>
      <c r="W465"/>
      <c r="X465"/>
      <c r="Y465"/>
      <c r="Z465"/>
      <c r="AA465"/>
      <c r="AB465"/>
      <c r="AC465"/>
      <c r="AD465"/>
    </row>
    <row r="466" spans="1:30" s="45" customFormat="1" x14ac:dyDescent="0.2">
      <c r="A466"/>
      <c r="B466"/>
      <c r="C466"/>
      <c r="D466"/>
      <c r="E466"/>
      <c r="F466"/>
      <c r="G466"/>
      <c r="H466"/>
      <c r="I466"/>
      <c r="J466"/>
      <c r="K466"/>
      <c r="L466"/>
      <c r="M466"/>
      <c r="N466"/>
      <c r="O466"/>
      <c r="P466"/>
      <c r="Q466"/>
      <c r="R466"/>
      <c r="S466"/>
      <c r="T466"/>
      <c r="U466"/>
      <c r="V466"/>
      <c r="W466"/>
      <c r="X466"/>
      <c r="Y466"/>
      <c r="Z466"/>
      <c r="AA466"/>
      <c r="AB466"/>
      <c r="AC466"/>
      <c r="AD466"/>
    </row>
    <row r="467" spans="1:30" s="45" customFormat="1" x14ac:dyDescent="0.2">
      <c r="A467"/>
      <c r="B467"/>
      <c r="C467"/>
      <c r="D467"/>
      <c r="E467"/>
      <c r="F467"/>
      <c r="G467"/>
      <c r="H467"/>
      <c r="I467"/>
      <c r="J467"/>
      <c r="K467"/>
      <c r="L467"/>
      <c r="M467"/>
      <c r="N467"/>
      <c r="O467"/>
      <c r="P467"/>
      <c r="Q467"/>
      <c r="R467"/>
      <c r="S467"/>
      <c r="T467"/>
      <c r="U467"/>
      <c r="V467"/>
      <c r="W467"/>
      <c r="X467"/>
      <c r="Y467"/>
      <c r="Z467"/>
      <c r="AA467"/>
      <c r="AB467"/>
      <c r="AC467"/>
      <c r="AD467"/>
    </row>
    <row r="468" spans="1:30" s="45" customFormat="1" x14ac:dyDescent="0.2">
      <c r="A468"/>
      <c r="B468"/>
      <c r="C468"/>
      <c r="D468"/>
      <c r="E468"/>
      <c r="F468"/>
      <c r="G468"/>
      <c r="H468"/>
      <c r="I468"/>
      <c r="J468"/>
      <c r="K468"/>
      <c r="L468"/>
      <c r="M468"/>
      <c r="N468"/>
      <c r="O468"/>
      <c r="P468"/>
      <c r="Q468"/>
      <c r="R468"/>
      <c r="S468"/>
      <c r="T468"/>
      <c r="U468"/>
      <c r="V468"/>
      <c r="W468"/>
      <c r="X468"/>
      <c r="Y468"/>
      <c r="Z468"/>
      <c r="AA468"/>
      <c r="AB468"/>
      <c r="AC468"/>
      <c r="AD468"/>
    </row>
    <row r="469" spans="1:30" s="45" customFormat="1" x14ac:dyDescent="0.2">
      <c r="A469"/>
      <c r="B469"/>
      <c r="C469"/>
      <c r="D469"/>
      <c r="E469"/>
      <c r="F469"/>
      <c r="G469"/>
      <c r="H469"/>
      <c r="I469"/>
      <c r="J469"/>
      <c r="K469"/>
      <c r="L469"/>
      <c r="M469"/>
      <c r="N469"/>
      <c r="O469"/>
      <c r="P469"/>
      <c r="Q469"/>
      <c r="R469"/>
      <c r="S469"/>
      <c r="T469"/>
      <c r="U469"/>
      <c r="V469"/>
      <c r="W469"/>
      <c r="X469"/>
      <c r="Y469"/>
      <c r="Z469"/>
      <c r="AA469"/>
      <c r="AB469"/>
      <c r="AC469"/>
      <c r="AD469"/>
    </row>
    <row r="470" spans="1:30" s="45" customFormat="1" x14ac:dyDescent="0.2">
      <c r="A470"/>
      <c r="B470"/>
      <c r="C470"/>
      <c r="D470"/>
      <c r="E470"/>
      <c r="F470"/>
      <c r="G470"/>
      <c r="H470"/>
      <c r="I470"/>
      <c r="J470"/>
      <c r="K470"/>
      <c r="L470"/>
      <c r="M470"/>
      <c r="N470"/>
      <c r="O470"/>
      <c r="P470"/>
      <c r="Q470"/>
      <c r="R470"/>
      <c r="S470"/>
      <c r="T470"/>
      <c r="U470"/>
      <c r="V470"/>
      <c r="W470"/>
      <c r="X470"/>
      <c r="Y470"/>
      <c r="Z470"/>
      <c r="AA470"/>
      <c r="AB470"/>
      <c r="AC470"/>
      <c r="AD470"/>
    </row>
    <row r="471" spans="1:30" s="45" customFormat="1" x14ac:dyDescent="0.2">
      <c r="A471"/>
      <c r="B471"/>
      <c r="C471"/>
      <c r="D471"/>
      <c r="E471"/>
      <c r="F471"/>
      <c r="G471"/>
      <c r="H471"/>
      <c r="I471"/>
      <c r="J471"/>
      <c r="K471"/>
      <c r="L471"/>
      <c r="M471"/>
      <c r="N471"/>
      <c r="O471"/>
      <c r="P471"/>
      <c r="Q471"/>
      <c r="R471"/>
      <c r="S471"/>
      <c r="T471"/>
      <c r="U471"/>
      <c r="V471"/>
      <c r="W471"/>
      <c r="X471"/>
      <c r="Y471"/>
      <c r="Z471"/>
      <c r="AA471"/>
      <c r="AB471"/>
      <c r="AC471"/>
      <c r="AD471"/>
    </row>
    <row r="472" spans="1:30" s="45" customFormat="1" x14ac:dyDescent="0.2">
      <c r="A472"/>
      <c r="B472"/>
      <c r="C472"/>
      <c r="D472"/>
      <c r="E472"/>
      <c r="F472"/>
      <c r="G472"/>
      <c r="H472"/>
      <c r="I472"/>
      <c r="J472"/>
      <c r="K472"/>
      <c r="L472"/>
      <c r="M472"/>
      <c r="N472"/>
      <c r="O472"/>
      <c r="P472"/>
      <c r="Q472"/>
      <c r="R472"/>
      <c r="S472"/>
      <c r="T472"/>
      <c r="U472"/>
      <c r="V472"/>
      <c r="W472"/>
      <c r="X472"/>
      <c r="Y472"/>
      <c r="Z472"/>
      <c r="AA472"/>
      <c r="AB472"/>
      <c r="AC472"/>
      <c r="AD472"/>
    </row>
    <row r="473" spans="1:30" s="45" customFormat="1" x14ac:dyDescent="0.2">
      <c r="A473"/>
      <c r="B473"/>
      <c r="C473"/>
      <c r="D473"/>
      <c r="E473"/>
      <c r="F473"/>
      <c r="G473"/>
      <c r="H473"/>
      <c r="I473"/>
      <c r="J473"/>
      <c r="K473"/>
      <c r="L473"/>
      <c r="M473"/>
      <c r="N473"/>
      <c r="O473"/>
      <c r="P473"/>
      <c r="Q473"/>
      <c r="R473"/>
      <c r="S473"/>
      <c r="T473"/>
      <c r="U473"/>
      <c r="V473"/>
      <c r="W473"/>
      <c r="X473"/>
      <c r="Y473"/>
      <c r="Z473"/>
      <c r="AA473"/>
      <c r="AB473"/>
      <c r="AC473"/>
      <c r="AD473"/>
    </row>
    <row r="474" spans="1:30" s="45" customFormat="1" x14ac:dyDescent="0.2">
      <c r="A474"/>
      <c r="B474"/>
      <c r="C474"/>
      <c r="D474"/>
      <c r="E474"/>
      <c r="F474"/>
      <c r="G474"/>
      <c r="H474"/>
      <c r="I474"/>
      <c r="J474"/>
      <c r="K474"/>
      <c r="L474"/>
      <c r="M474"/>
      <c r="N474"/>
      <c r="O474"/>
      <c r="P474"/>
      <c r="Q474"/>
      <c r="R474"/>
      <c r="S474"/>
      <c r="T474"/>
      <c r="U474"/>
      <c r="V474"/>
      <c r="W474"/>
      <c r="X474"/>
      <c r="Y474"/>
      <c r="Z474"/>
      <c r="AA474"/>
      <c r="AB474"/>
      <c r="AC474"/>
      <c r="AD474"/>
    </row>
    <row r="475" spans="1:30" s="45" customFormat="1" x14ac:dyDescent="0.2">
      <c r="A475"/>
      <c r="B475"/>
      <c r="C475"/>
      <c r="D475"/>
      <c r="E475"/>
      <c r="F475"/>
      <c r="G475"/>
      <c r="H475"/>
      <c r="I475"/>
      <c r="J475"/>
      <c r="K475"/>
      <c r="L475"/>
      <c r="M475"/>
      <c r="N475"/>
      <c r="O475"/>
      <c r="P475"/>
      <c r="Q475"/>
      <c r="R475"/>
      <c r="S475"/>
      <c r="T475"/>
      <c r="U475"/>
      <c r="V475"/>
      <c r="W475"/>
      <c r="X475"/>
      <c r="Y475"/>
      <c r="Z475"/>
      <c r="AA475"/>
      <c r="AB475"/>
      <c r="AC475"/>
      <c r="AD475"/>
    </row>
    <row r="476" spans="1:30" s="45" customFormat="1" x14ac:dyDescent="0.2">
      <c r="A476"/>
      <c r="B476"/>
      <c r="C476"/>
      <c r="D476"/>
      <c r="E476"/>
      <c r="F476"/>
      <c r="G476"/>
      <c r="H476"/>
      <c r="I476"/>
      <c r="J476"/>
      <c r="K476"/>
      <c r="L476"/>
      <c r="M476"/>
      <c r="N476"/>
      <c r="O476"/>
      <c r="P476"/>
      <c r="Q476"/>
      <c r="R476"/>
      <c r="S476"/>
      <c r="T476"/>
      <c r="U476"/>
      <c r="V476"/>
      <c r="W476"/>
      <c r="X476"/>
      <c r="Y476"/>
      <c r="Z476"/>
      <c r="AA476"/>
      <c r="AB476"/>
      <c r="AC476"/>
      <c r="AD476"/>
    </row>
    <row r="477" spans="1:30" s="45" customFormat="1" x14ac:dyDescent="0.2">
      <c r="A477"/>
      <c r="B477"/>
      <c r="C477"/>
      <c r="D477"/>
      <c r="E477"/>
      <c r="F477"/>
      <c r="G477"/>
      <c r="H477"/>
      <c r="I477"/>
      <c r="J477"/>
      <c r="K477"/>
      <c r="L477"/>
      <c r="M477"/>
      <c r="N477"/>
      <c r="O477"/>
      <c r="P477"/>
      <c r="Q477"/>
      <c r="R477"/>
      <c r="S477"/>
      <c r="T477"/>
      <c r="U477"/>
      <c r="V477"/>
      <c r="W477"/>
      <c r="X477"/>
      <c r="Y477"/>
      <c r="Z477"/>
      <c r="AA477"/>
      <c r="AB477"/>
      <c r="AC477"/>
      <c r="AD477"/>
    </row>
    <row r="478" spans="1:30" s="45" customFormat="1" x14ac:dyDescent="0.2">
      <c r="A478"/>
      <c r="B478"/>
      <c r="C478"/>
      <c r="D478"/>
      <c r="E478"/>
      <c r="F478"/>
      <c r="G478"/>
      <c r="H478"/>
      <c r="I478"/>
      <c r="J478"/>
      <c r="K478"/>
      <c r="L478"/>
      <c r="M478"/>
      <c r="N478"/>
      <c r="O478"/>
      <c r="P478"/>
      <c r="Q478"/>
      <c r="R478"/>
      <c r="S478"/>
      <c r="T478"/>
      <c r="U478"/>
      <c r="V478"/>
      <c r="W478"/>
      <c r="X478"/>
      <c r="Y478"/>
      <c r="Z478"/>
      <c r="AA478"/>
      <c r="AB478"/>
      <c r="AC478"/>
      <c r="AD478"/>
    </row>
    <row r="479" spans="1:30" s="45" customFormat="1" x14ac:dyDescent="0.2">
      <c r="A479"/>
      <c r="B479"/>
      <c r="C479"/>
      <c r="D479"/>
      <c r="E479"/>
      <c r="F479"/>
      <c r="G479"/>
      <c r="H479"/>
      <c r="I479"/>
      <c r="J479"/>
      <c r="K479"/>
      <c r="L479"/>
      <c r="M479"/>
      <c r="N479"/>
      <c r="O479"/>
      <c r="P479"/>
      <c r="Q479"/>
      <c r="R479"/>
      <c r="S479"/>
      <c r="T479"/>
      <c r="U479"/>
      <c r="V479"/>
      <c r="W479"/>
      <c r="X479"/>
      <c r="Y479"/>
      <c r="Z479"/>
      <c r="AA479"/>
      <c r="AB479"/>
      <c r="AC479"/>
      <c r="AD479"/>
    </row>
    <row r="480" spans="1:30" s="45" customFormat="1" x14ac:dyDescent="0.2">
      <c r="A480"/>
      <c r="B480"/>
      <c r="C480"/>
      <c r="D480"/>
      <c r="E480"/>
      <c r="F480"/>
      <c r="G480"/>
      <c r="H480"/>
      <c r="I480"/>
      <c r="J480"/>
      <c r="K480"/>
      <c r="L480"/>
      <c r="M480"/>
      <c r="N480"/>
      <c r="O480"/>
      <c r="P480"/>
      <c r="Q480"/>
      <c r="R480"/>
      <c r="S480"/>
      <c r="T480"/>
      <c r="U480"/>
      <c r="V480"/>
      <c r="W480"/>
      <c r="X480"/>
      <c r="Y480"/>
      <c r="Z480"/>
      <c r="AA480"/>
      <c r="AB480"/>
      <c r="AC480"/>
      <c r="AD480"/>
    </row>
    <row r="481" spans="1:30" s="45" customFormat="1" x14ac:dyDescent="0.2">
      <c r="A481"/>
      <c r="B481"/>
      <c r="C481"/>
      <c r="D481"/>
      <c r="E481"/>
      <c r="F481"/>
      <c r="G481"/>
      <c r="H481"/>
      <c r="I481"/>
      <c r="J481"/>
      <c r="K481"/>
      <c r="L481"/>
      <c r="M481"/>
      <c r="N481"/>
      <c r="O481"/>
      <c r="P481"/>
      <c r="Q481"/>
      <c r="R481"/>
      <c r="S481"/>
      <c r="T481"/>
      <c r="U481"/>
      <c r="V481"/>
      <c r="W481"/>
      <c r="X481"/>
      <c r="Y481"/>
      <c r="Z481"/>
      <c r="AA481"/>
      <c r="AB481"/>
      <c r="AC481"/>
      <c r="AD481"/>
    </row>
    <row r="482" spans="1:30" s="45" customFormat="1" x14ac:dyDescent="0.2">
      <c r="A482"/>
      <c r="B482"/>
      <c r="C482"/>
      <c r="D482"/>
      <c r="E482"/>
      <c r="F482"/>
      <c r="G482"/>
      <c r="H482"/>
      <c r="I482"/>
      <c r="J482"/>
      <c r="K482"/>
      <c r="L482"/>
      <c r="M482"/>
      <c r="N482"/>
      <c r="O482"/>
      <c r="P482"/>
      <c r="Q482"/>
      <c r="R482"/>
      <c r="S482"/>
      <c r="T482"/>
      <c r="U482"/>
      <c r="V482"/>
      <c r="W482"/>
      <c r="X482"/>
      <c r="Y482"/>
      <c r="Z482"/>
      <c r="AA482"/>
      <c r="AB482"/>
      <c r="AC482"/>
      <c r="AD482"/>
    </row>
    <row r="483" spans="1:30" s="45" customFormat="1" x14ac:dyDescent="0.2">
      <c r="A483"/>
      <c r="B483"/>
      <c r="C483"/>
      <c r="D483"/>
      <c r="E483"/>
      <c r="F483"/>
      <c r="G483"/>
      <c r="H483"/>
      <c r="I483"/>
      <c r="J483"/>
      <c r="K483"/>
      <c r="L483"/>
      <c r="M483"/>
      <c r="N483"/>
      <c r="O483"/>
      <c r="P483"/>
      <c r="Q483"/>
      <c r="R483"/>
      <c r="S483"/>
      <c r="T483"/>
      <c r="U483"/>
      <c r="V483"/>
      <c r="W483"/>
      <c r="X483"/>
      <c r="Y483"/>
      <c r="Z483"/>
      <c r="AA483"/>
      <c r="AB483"/>
      <c r="AC483"/>
      <c r="AD483"/>
    </row>
    <row r="484" spans="1:30" s="45" customFormat="1" x14ac:dyDescent="0.2">
      <c r="A484"/>
      <c r="B484"/>
      <c r="C484"/>
      <c r="D484"/>
      <c r="E484"/>
      <c r="F484"/>
      <c r="G484"/>
      <c r="H484"/>
      <c r="I484"/>
      <c r="J484"/>
      <c r="K484"/>
      <c r="L484"/>
      <c r="M484"/>
      <c r="N484"/>
      <c r="O484"/>
      <c r="P484"/>
      <c r="Q484"/>
      <c r="R484"/>
      <c r="S484"/>
      <c r="T484"/>
      <c r="U484"/>
      <c r="V484"/>
      <c r="W484"/>
      <c r="X484"/>
      <c r="Y484"/>
      <c r="Z484"/>
      <c r="AA484"/>
      <c r="AB484"/>
      <c r="AC484"/>
      <c r="AD484"/>
    </row>
    <row r="485" spans="1:30" s="45" customFormat="1" x14ac:dyDescent="0.2">
      <c r="A485"/>
      <c r="B485"/>
      <c r="C485"/>
      <c r="D485"/>
      <c r="E485"/>
      <c r="F485"/>
      <c r="G485"/>
      <c r="H485"/>
      <c r="I485"/>
      <c r="J485"/>
      <c r="K485"/>
      <c r="L485"/>
      <c r="M485"/>
      <c r="N485"/>
      <c r="O485"/>
      <c r="P485"/>
      <c r="Q485"/>
      <c r="R485"/>
      <c r="S485"/>
      <c r="T485"/>
      <c r="U485"/>
      <c r="V485"/>
      <c r="W485"/>
      <c r="X485"/>
      <c r="Y485"/>
      <c r="Z485"/>
      <c r="AA485"/>
      <c r="AB485"/>
      <c r="AC485"/>
      <c r="AD485"/>
    </row>
    <row r="486" spans="1:30" s="45" customFormat="1" x14ac:dyDescent="0.2">
      <c r="A486"/>
      <c r="B486"/>
      <c r="C486"/>
      <c r="D486"/>
      <c r="E486"/>
      <c r="F486"/>
      <c r="G486"/>
      <c r="H486"/>
      <c r="I486"/>
      <c r="J486"/>
      <c r="K486"/>
      <c r="L486"/>
      <c r="M486"/>
      <c r="N486"/>
      <c r="O486"/>
      <c r="P486"/>
      <c r="Q486"/>
      <c r="R486"/>
      <c r="S486"/>
      <c r="T486"/>
      <c r="U486"/>
      <c r="V486"/>
      <c r="W486"/>
      <c r="X486"/>
      <c r="Y486"/>
      <c r="Z486"/>
      <c r="AA486"/>
      <c r="AB486"/>
      <c r="AC486"/>
      <c r="AD486"/>
    </row>
    <row r="487" spans="1:30" s="45" customFormat="1" x14ac:dyDescent="0.2">
      <c r="A487"/>
      <c r="B487"/>
      <c r="C487"/>
      <c r="D487"/>
      <c r="E487"/>
      <c r="F487"/>
      <c r="G487"/>
      <c r="H487"/>
      <c r="I487"/>
      <c r="J487"/>
      <c r="K487"/>
      <c r="L487"/>
      <c r="M487"/>
      <c r="N487"/>
      <c r="O487"/>
      <c r="P487"/>
      <c r="Q487"/>
      <c r="R487"/>
      <c r="S487"/>
      <c r="T487"/>
      <c r="U487"/>
      <c r="V487"/>
      <c r="W487"/>
      <c r="X487"/>
      <c r="Y487"/>
      <c r="Z487"/>
      <c r="AA487"/>
      <c r="AB487"/>
      <c r="AC487"/>
      <c r="AD487"/>
    </row>
    <row r="488" spans="1:30" s="45" customFormat="1" x14ac:dyDescent="0.2">
      <c r="A488"/>
      <c r="B488"/>
      <c r="C488"/>
      <c r="D488"/>
      <c r="E488"/>
      <c r="F488"/>
      <c r="G488"/>
      <c r="H488"/>
      <c r="I488"/>
      <c r="J488"/>
      <c r="K488"/>
      <c r="L488"/>
      <c r="M488"/>
      <c r="N488"/>
      <c r="O488"/>
      <c r="P488"/>
      <c r="Q488"/>
      <c r="R488"/>
      <c r="S488"/>
      <c r="T488"/>
      <c r="U488"/>
      <c r="V488"/>
      <c r="W488"/>
      <c r="X488"/>
      <c r="Y488"/>
      <c r="Z488"/>
      <c r="AA488"/>
      <c r="AB488"/>
      <c r="AC488"/>
      <c r="AD488"/>
    </row>
    <row r="489" spans="1:30" s="45" customFormat="1" x14ac:dyDescent="0.2">
      <c r="A489"/>
      <c r="B489"/>
      <c r="C489"/>
      <c r="D489"/>
      <c r="E489"/>
      <c r="F489"/>
      <c r="G489"/>
      <c r="H489"/>
      <c r="I489"/>
      <c r="J489"/>
      <c r="K489"/>
      <c r="L489"/>
      <c r="M489"/>
      <c r="N489"/>
      <c r="O489"/>
      <c r="P489"/>
      <c r="Q489"/>
      <c r="R489"/>
      <c r="S489"/>
      <c r="T489"/>
      <c r="U489"/>
      <c r="V489"/>
      <c r="W489"/>
      <c r="X489"/>
      <c r="Y489"/>
      <c r="Z489"/>
      <c r="AA489"/>
      <c r="AB489"/>
      <c r="AC489"/>
      <c r="AD489"/>
    </row>
    <row r="490" spans="1:30" s="45" customFormat="1" x14ac:dyDescent="0.2">
      <c r="A490"/>
      <c r="B490"/>
      <c r="C490"/>
      <c r="D490"/>
      <c r="E490"/>
      <c r="F490"/>
      <c r="G490"/>
      <c r="H490"/>
      <c r="I490"/>
      <c r="J490"/>
      <c r="K490"/>
      <c r="L490"/>
      <c r="M490"/>
      <c r="N490"/>
      <c r="O490"/>
      <c r="P490"/>
      <c r="Q490"/>
      <c r="R490"/>
      <c r="S490"/>
      <c r="T490"/>
      <c r="U490"/>
      <c r="V490"/>
      <c r="W490"/>
      <c r="X490"/>
      <c r="Y490"/>
      <c r="Z490"/>
      <c r="AA490"/>
      <c r="AB490"/>
      <c r="AC490"/>
      <c r="AD490"/>
    </row>
    <row r="491" spans="1:30" s="45" customFormat="1" x14ac:dyDescent="0.2">
      <c r="A491"/>
      <c r="B491"/>
      <c r="C491"/>
      <c r="D491"/>
      <c r="E491"/>
      <c r="F491"/>
      <c r="G491"/>
      <c r="H491"/>
      <c r="I491"/>
      <c r="J491"/>
      <c r="K491"/>
      <c r="L491"/>
      <c r="M491"/>
      <c r="N491"/>
      <c r="O491"/>
      <c r="P491"/>
      <c r="Q491"/>
      <c r="R491"/>
      <c r="S491"/>
      <c r="T491"/>
      <c r="U491"/>
      <c r="V491"/>
      <c r="W491"/>
      <c r="X491"/>
      <c r="Y491"/>
      <c r="Z491"/>
      <c r="AA491"/>
      <c r="AB491"/>
      <c r="AC491"/>
      <c r="AD491"/>
    </row>
    <row r="492" spans="1:30" s="45" customFormat="1" x14ac:dyDescent="0.2">
      <c r="A492"/>
      <c r="B492"/>
      <c r="C492"/>
      <c r="D492"/>
      <c r="E492"/>
      <c r="F492"/>
      <c r="G492"/>
      <c r="H492"/>
      <c r="I492"/>
      <c r="J492"/>
      <c r="K492"/>
      <c r="L492"/>
      <c r="M492"/>
      <c r="N492"/>
      <c r="O492"/>
      <c r="P492"/>
      <c r="Q492"/>
      <c r="R492"/>
      <c r="S492"/>
      <c r="T492"/>
      <c r="U492"/>
      <c r="V492"/>
      <c r="W492"/>
      <c r="X492"/>
      <c r="Y492"/>
      <c r="Z492"/>
      <c r="AA492"/>
      <c r="AB492"/>
      <c r="AC492"/>
      <c r="AD492"/>
    </row>
    <row r="493" spans="1:30" s="45" customFormat="1" x14ac:dyDescent="0.2">
      <c r="A493"/>
      <c r="B493"/>
      <c r="C493"/>
      <c r="D493"/>
      <c r="E493"/>
      <c r="F493"/>
      <c r="G493"/>
      <c r="H493"/>
      <c r="I493"/>
      <c r="J493"/>
      <c r="K493"/>
      <c r="L493"/>
      <c r="M493"/>
      <c r="N493"/>
      <c r="O493"/>
      <c r="P493"/>
      <c r="Q493"/>
      <c r="R493"/>
      <c r="S493"/>
      <c r="T493"/>
      <c r="U493"/>
      <c r="V493"/>
      <c r="W493"/>
      <c r="X493"/>
      <c r="Y493"/>
      <c r="Z493"/>
      <c r="AA493"/>
      <c r="AB493"/>
      <c r="AC493"/>
      <c r="AD493"/>
    </row>
    <row r="494" spans="1:30" s="45" customFormat="1" x14ac:dyDescent="0.2">
      <c r="A494"/>
      <c r="B494"/>
      <c r="C494"/>
      <c r="D494"/>
      <c r="E494"/>
      <c r="F494"/>
      <c r="G494"/>
      <c r="H494"/>
      <c r="I494"/>
      <c r="J494"/>
      <c r="K494"/>
      <c r="L494"/>
      <c r="M494"/>
      <c r="N494"/>
      <c r="O494"/>
      <c r="P494"/>
      <c r="Q494"/>
      <c r="R494"/>
      <c r="S494"/>
      <c r="T494"/>
      <c r="U494"/>
      <c r="V494"/>
      <c r="W494"/>
      <c r="X494"/>
      <c r="Y494"/>
      <c r="Z494"/>
      <c r="AA494"/>
      <c r="AB494"/>
      <c r="AC494"/>
      <c r="AD494"/>
    </row>
    <row r="495" spans="1:30" s="45" customFormat="1" x14ac:dyDescent="0.2">
      <c r="A495"/>
      <c r="B495"/>
      <c r="C495"/>
      <c r="D495"/>
      <c r="E495"/>
      <c r="F495"/>
      <c r="G495"/>
      <c r="H495"/>
      <c r="I495"/>
      <c r="J495"/>
      <c r="K495"/>
      <c r="L495"/>
      <c r="M495"/>
      <c r="N495"/>
      <c r="O495"/>
      <c r="P495"/>
      <c r="Q495"/>
      <c r="R495"/>
      <c r="S495"/>
      <c r="T495"/>
      <c r="U495"/>
      <c r="V495"/>
      <c r="W495"/>
      <c r="X495"/>
      <c r="Y495"/>
      <c r="Z495"/>
      <c r="AA495"/>
      <c r="AB495"/>
      <c r="AC495"/>
      <c r="AD495"/>
    </row>
    <row r="496" spans="1:30" s="45" customFormat="1" x14ac:dyDescent="0.2">
      <c r="A496"/>
      <c r="B496"/>
      <c r="C496"/>
      <c r="D496"/>
      <c r="E496"/>
      <c r="F496"/>
      <c r="G496"/>
      <c r="H496"/>
      <c r="I496"/>
      <c r="J496"/>
      <c r="K496"/>
      <c r="L496"/>
      <c r="M496"/>
      <c r="N496"/>
      <c r="O496"/>
      <c r="P496"/>
      <c r="Q496"/>
      <c r="R496"/>
      <c r="S496"/>
      <c r="T496"/>
      <c r="U496"/>
      <c r="V496"/>
      <c r="W496"/>
      <c r="X496"/>
      <c r="Y496"/>
      <c r="Z496"/>
      <c r="AA496"/>
      <c r="AB496"/>
      <c r="AC496"/>
      <c r="AD496"/>
    </row>
    <row r="497" spans="1:30" s="45" customFormat="1" x14ac:dyDescent="0.2">
      <c r="A497"/>
      <c r="B497"/>
      <c r="C497"/>
      <c r="D497"/>
      <c r="E497"/>
      <c r="F497"/>
      <c r="G497"/>
      <c r="H497"/>
      <c r="I497"/>
      <c r="J497"/>
      <c r="K497"/>
      <c r="L497"/>
      <c r="M497"/>
      <c r="N497"/>
      <c r="O497"/>
      <c r="P497"/>
      <c r="Q497"/>
      <c r="R497"/>
      <c r="S497"/>
      <c r="T497"/>
      <c r="U497"/>
      <c r="V497"/>
      <c r="W497"/>
      <c r="X497"/>
      <c r="Y497"/>
      <c r="Z497"/>
      <c r="AA497"/>
      <c r="AB497"/>
      <c r="AC497"/>
      <c r="AD497"/>
    </row>
    <row r="498" spans="1:30" s="45" customFormat="1" x14ac:dyDescent="0.2">
      <c r="A498"/>
      <c r="B498"/>
      <c r="C498"/>
      <c r="D498"/>
      <c r="E498"/>
      <c r="F498"/>
      <c r="G498"/>
      <c r="H498"/>
      <c r="I498"/>
      <c r="J498"/>
      <c r="K498"/>
      <c r="L498"/>
      <c r="M498"/>
      <c r="N498"/>
      <c r="O498"/>
      <c r="P498"/>
      <c r="Q498"/>
      <c r="R498"/>
      <c r="S498"/>
      <c r="T498"/>
      <c r="U498"/>
      <c r="V498"/>
      <c r="W498"/>
      <c r="X498"/>
      <c r="Y498"/>
      <c r="Z498"/>
      <c r="AA498"/>
      <c r="AB498"/>
      <c r="AC498"/>
      <c r="AD498"/>
    </row>
    <row r="499" spans="1:30" s="45" customFormat="1" x14ac:dyDescent="0.2">
      <c r="A499"/>
      <c r="B499"/>
      <c r="C499"/>
      <c r="D499"/>
      <c r="E499"/>
      <c r="F499"/>
      <c r="G499"/>
      <c r="H499"/>
      <c r="I499"/>
      <c r="J499"/>
      <c r="K499"/>
      <c r="L499"/>
      <c r="M499"/>
      <c r="N499"/>
      <c r="O499"/>
      <c r="P499"/>
      <c r="Q499"/>
      <c r="R499"/>
      <c r="S499"/>
      <c r="T499"/>
      <c r="U499"/>
      <c r="V499"/>
      <c r="W499"/>
      <c r="X499"/>
      <c r="Y499"/>
      <c r="Z499"/>
      <c r="AA499"/>
      <c r="AB499"/>
      <c r="AC499"/>
      <c r="AD499"/>
    </row>
    <row r="500" spans="1:30" s="45" customFormat="1" x14ac:dyDescent="0.2">
      <c r="A500"/>
      <c r="B500"/>
      <c r="C500"/>
      <c r="D500"/>
      <c r="E500"/>
      <c r="F500"/>
      <c r="G500"/>
      <c r="H500"/>
      <c r="I500"/>
      <c r="J500"/>
      <c r="K500"/>
      <c r="L500"/>
      <c r="M500"/>
      <c r="N500"/>
      <c r="O500"/>
      <c r="P500"/>
      <c r="Q500"/>
      <c r="R500"/>
      <c r="S500"/>
      <c r="T500"/>
      <c r="U500"/>
      <c r="V500"/>
      <c r="W500"/>
      <c r="X500"/>
      <c r="Y500"/>
      <c r="Z500"/>
      <c r="AA500"/>
      <c r="AB500"/>
      <c r="AC500"/>
      <c r="AD500"/>
    </row>
    <row r="501" spans="1:30" s="45" customFormat="1" x14ac:dyDescent="0.2">
      <c r="A501"/>
      <c r="B501"/>
      <c r="C501"/>
      <c r="D501"/>
      <c r="E501"/>
      <c r="F501"/>
      <c r="G501"/>
      <c r="H501"/>
      <c r="I501"/>
      <c r="J501"/>
      <c r="K501"/>
      <c r="L501"/>
      <c r="M501"/>
      <c r="N501"/>
      <c r="O501"/>
      <c r="P501"/>
      <c r="Q501"/>
      <c r="R501"/>
      <c r="S501"/>
      <c r="T501"/>
      <c r="U501"/>
      <c r="V501"/>
      <c r="W501"/>
      <c r="X501"/>
      <c r="Y501"/>
      <c r="Z501"/>
      <c r="AA501"/>
      <c r="AB501"/>
      <c r="AC501"/>
      <c r="AD501"/>
    </row>
    <row r="502" spans="1:30" s="45" customFormat="1" x14ac:dyDescent="0.2">
      <c r="A502"/>
      <c r="B502"/>
      <c r="C502"/>
      <c r="D502"/>
      <c r="E502"/>
      <c r="F502"/>
      <c r="G502"/>
      <c r="H502"/>
      <c r="I502"/>
      <c r="J502"/>
      <c r="K502"/>
      <c r="L502"/>
      <c r="M502"/>
      <c r="N502"/>
      <c r="O502"/>
      <c r="P502"/>
      <c r="Q502"/>
      <c r="R502"/>
      <c r="S502"/>
      <c r="T502"/>
      <c r="U502"/>
      <c r="V502"/>
      <c r="W502"/>
      <c r="X502"/>
      <c r="Y502"/>
      <c r="Z502"/>
      <c r="AA502"/>
      <c r="AB502"/>
      <c r="AC502"/>
      <c r="AD502"/>
    </row>
    <row r="503" spans="1:30" s="45" customFormat="1" x14ac:dyDescent="0.2">
      <c r="A503"/>
      <c r="B503"/>
      <c r="C503"/>
      <c r="D503"/>
      <c r="E503"/>
      <c r="F503"/>
      <c r="G503"/>
      <c r="H503"/>
      <c r="I503"/>
      <c r="J503"/>
      <c r="K503"/>
      <c r="L503"/>
      <c r="M503"/>
      <c r="N503"/>
      <c r="O503"/>
      <c r="P503"/>
      <c r="Q503"/>
      <c r="R503"/>
      <c r="S503"/>
      <c r="T503"/>
      <c r="U503"/>
      <c r="V503"/>
      <c r="W503"/>
      <c r="X503"/>
      <c r="Y503"/>
      <c r="Z503"/>
      <c r="AA503"/>
      <c r="AB503"/>
      <c r="AC503"/>
      <c r="AD503"/>
    </row>
    <row r="504" spans="1:30" s="45" customFormat="1" x14ac:dyDescent="0.2">
      <c r="A504"/>
      <c r="B504"/>
      <c r="C504"/>
      <c r="D504"/>
      <c r="E504"/>
      <c r="F504"/>
      <c r="G504"/>
      <c r="H504"/>
      <c r="I504"/>
      <c r="J504"/>
      <c r="K504"/>
      <c r="L504"/>
      <c r="M504"/>
      <c r="N504"/>
      <c r="O504"/>
      <c r="P504"/>
      <c r="Q504"/>
      <c r="R504"/>
      <c r="S504"/>
      <c r="T504"/>
      <c r="U504"/>
      <c r="V504"/>
      <c r="W504"/>
      <c r="X504"/>
      <c r="Y504"/>
      <c r="Z504"/>
      <c r="AA504"/>
      <c r="AB504"/>
      <c r="AC504"/>
      <c r="AD504"/>
    </row>
    <row r="505" spans="1:30" s="45" customFormat="1" x14ac:dyDescent="0.2">
      <c r="A505"/>
      <c r="B505"/>
      <c r="C505"/>
      <c r="D505"/>
      <c r="E505"/>
      <c r="F505"/>
      <c r="G505"/>
      <c r="H505"/>
      <c r="I505"/>
      <c r="J505"/>
      <c r="K505"/>
      <c r="L505"/>
      <c r="M505"/>
      <c r="N505"/>
      <c r="O505"/>
      <c r="P505"/>
      <c r="Q505"/>
      <c r="R505"/>
      <c r="S505"/>
      <c r="T505"/>
      <c r="U505"/>
      <c r="V505"/>
      <c r="W505"/>
      <c r="X505"/>
      <c r="Y505"/>
      <c r="Z505"/>
      <c r="AA505"/>
      <c r="AB505"/>
      <c r="AC505"/>
      <c r="AD505"/>
    </row>
    <row r="506" spans="1:30" s="45" customFormat="1" x14ac:dyDescent="0.2">
      <c r="A506"/>
      <c r="B506"/>
      <c r="C506"/>
      <c r="D506"/>
      <c r="E506"/>
      <c r="F506"/>
      <c r="G506"/>
      <c r="H506"/>
      <c r="I506"/>
      <c r="J506"/>
      <c r="K506"/>
      <c r="L506"/>
      <c r="M506"/>
      <c r="N506"/>
      <c r="O506"/>
      <c r="P506"/>
      <c r="Q506"/>
      <c r="R506"/>
      <c r="S506"/>
      <c r="T506"/>
      <c r="U506"/>
      <c r="V506"/>
      <c r="W506"/>
      <c r="X506"/>
      <c r="Y506"/>
      <c r="Z506"/>
      <c r="AA506"/>
      <c r="AB506"/>
      <c r="AC506"/>
      <c r="AD506"/>
    </row>
    <row r="507" spans="1:30" s="45" customFormat="1" x14ac:dyDescent="0.2">
      <c r="A507"/>
      <c r="B507"/>
      <c r="C507"/>
      <c r="D507"/>
      <c r="E507"/>
      <c r="F507"/>
      <c r="G507"/>
      <c r="H507"/>
      <c r="I507"/>
      <c r="J507"/>
      <c r="K507"/>
      <c r="L507"/>
      <c r="M507"/>
      <c r="N507"/>
      <c r="O507"/>
      <c r="P507"/>
      <c r="Q507"/>
      <c r="R507"/>
      <c r="S507"/>
      <c r="T507"/>
      <c r="U507"/>
      <c r="V507"/>
      <c r="W507"/>
      <c r="X507"/>
      <c r="Y507"/>
      <c r="Z507"/>
      <c r="AA507"/>
      <c r="AB507"/>
      <c r="AC507"/>
      <c r="AD507"/>
    </row>
    <row r="508" spans="1:30" s="45" customFormat="1" x14ac:dyDescent="0.2">
      <c r="A508"/>
      <c r="B508"/>
      <c r="C508"/>
      <c r="D508"/>
      <c r="E508"/>
      <c r="F508"/>
      <c r="G508"/>
      <c r="H508"/>
      <c r="I508"/>
      <c r="J508"/>
      <c r="K508"/>
      <c r="L508"/>
      <c r="M508"/>
      <c r="N508"/>
      <c r="O508"/>
      <c r="P508"/>
      <c r="Q508"/>
      <c r="R508"/>
      <c r="S508"/>
      <c r="T508"/>
      <c r="U508"/>
      <c r="V508"/>
      <c r="W508"/>
      <c r="X508"/>
      <c r="Y508"/>
      <c r="Z508"/>
      <c r="AA508"/>
      <c r="AB508"/>
      <c r="AC508"/>
      <c r="AD508"/>
    </row>
    <row r="509" spans="1:30" s="45" customFormat="1" x14ac:dyDescent="0.2">
      <c r="A509"/>
      <c r="B509"/>
      <c r="C509"/>
      <c r="D509"/>
      <c r="E509"/>
      <c r="F509"/>
      <c r="G509"/>
      <c r="H509"/>
      <c r="I509"/>
      <c r="J509"/>
      <c r="K509"/>
      <c r="L509"/>
      <c r="M509"/>
      <c r="N509"/>
      <c r="O509"/>
      <c r="P509"/>
      <c r="Q509"/>
      <c r="R509"/>
      <c r="S509"/>
      <c r="T509"/>
      <c r="U509"/>
      <c r="V509"/>
      <c r="W509"/>
      <c r="X509"/>
      <c r="Y509"/>
      <c r="Z509"/>
      <c r="AA509"/>
      <c r="AB509"/>
      <c r="AC509"/>
      <c r="AD509"/>
    </row>
    <row r="510" spans="1:30" s="45" customFormat="1" x14ac:dyDescent="0.2">
      <c r="A510"/>
      <c r="B510"/>
      <c r="C510"/>
      <c r="D510"/>
      <c r="E510"/>
      <c r="F510"/>
      <c r="G510"/>
      <c r="H510"/>
      <c r="I510"/>
      <c r="J510"/>
      <c r="K510"/>
      <c r="L510"/>
      <c r="M510"/>
      <c r="N510"/>
      <c r="O510"/>
      <c r="P510"/>
      <c r="Q510"/>
      <c r="R510"/>
      <c r="S510"/>
      <c r="T510"/>
      <c r="U510"/>
      <c r="V510"/>
      <c r="W510"/>
      <c r="X510"/>
      <c r="Y510"/>
      <c r="Z510"/>
      <c r="AA510"/>
      <c r="AB510"/>
      <c r="AC510"/>
      <c r="AD510"/>
    </row>
    <row r="511" spans="1:30" s="45" customFormat="1" x14ac:dyDescent="0.2">
      <c r="A511"/>
      <c r="B511"/>
      <c r="C511"/>
      <c r="D511"/>
      <c r="E511"/>
      <c r="F511"/>
      <c r="G511"/>
      <c r="H511"/>
      <c r="I511"/>
      <c r="J511"/>
      <c r="K511"/>
      <c r="L511"/>
      <c r="M511"/>
      <c r="N511"/>
      <c r="O511"/>
      <c r="P511"/>
      <c r="Q511"/>
      <c r="R511"/>
      <c r="S511"/>
      <c r="T511"/>
      <c r="U511"/>
      <c r="V511"/>
      <c r="W511"/>
      <c r="X511"/>
      <c r="Y511"/>
      <c r="Z511"/>
      <c r="AA511"/>
      <c r="AB511"/>
      <c r="AC511"/>
      <c r="AD511"/>
    </row>
    <row r="512" spans="1:30" s="45" customFormat="1" x14ac:dyDescent="0.2">
      <c r="A512"/>
      <c r="B512"/>
      <c r="C512"/>
      <c r="D512"/>
      <c r="E512"/>
      <c r="F512"/>
      <c r="G512"/>
      <c r="H512"/>
      <c r="I512"/>
      <c r="J512"/>
      <c r="K512"/>
      <c r="L512"/>
      <c r="M512"/>
      <c r="N512"/>
      <c r="O512"/>
      <c r="P512"/>
      <c r="Q512"/>
      <c r="R512"/>
      <c r="S512"/>
      <c r="T512"/>
      <c r="U512"/>
      <c r="V512"/>
      <c r="W512"/>
      <c r="X512"/>
      <c r="Y512"/>
      <c r="Z512"/>
      <c r="AA512"/>
      <c r="AB512"/>
      <c r="AC512"/>
      <c r="AD512"/>
    </row>
    <row r="513" spans="1:30" s="45" customFormat="1" x14ac:dyDescent="0.2">
      <c r="A513"/>
      <c r="B513"/>
      <c r="C513"/>
      <c r="D513"/>
      <c r="E513"/>
      <c r="F513"/>
      <c r="G513"/>
      <c r="H513"/>
      <c r="I513"/>
      <c r="J513"/>
      <c r="K513"/>
      <c r="L513"/>
      <c r="M513"/>
      <c r="N513"/>
      <c r="O513"/>
      <c r="P513"/>
      <c r="Q513"/>
      <c r="R513"/>
      <c r="S513"/>
      <c r="T513"/>
      <c r="U513"/>
      <c r="V513"/>
      <c r="W513"/>
      <c r="X513"/>
      <c r="Y513"/>
      <c r="Z513"/>
      <c r="AA513"/>
      <c r="AB513"/>
      <c r="AC513"/>
      <c r="AD513"/>
    </row>
    <row r="514" spans="1:30" s="45" customFormat="1" x14ac:dyDescent="0.2">
      <c r="A514"/>
      <c r="B514"/>
      <c r="C514"/>
      <c r="D514"/>
      <c r="E514"/>
      <c r="F514"/>
      <c r="G514"/>
      <c r="H514"/>
      <c r="I514"/>
      <c r="J514"/>
      <c r="K514"/>
      <c r="L514"/>
      <c r="M514"/>
      <c r="N514"/>
      <c r="O514"/>
      <c r="P514"/>
      <c r="Q514"/>
      <c r="R514"/>
      <c r="S514"/>
      <c r="T514"/>
      <c r="U514"/>
      <c r="V514"/>
      <c r="W514"/>
      <c r="X514"/>
      <c r="Y514"/>
      <c r="Z514"/>
      <c r="AA514"/>
      <c r="AB514"/>
      <c r="AC514"/>
      <c r="AD514"/>
    </row>
    <row r="515" spans="1:30" s="45" customFormat="1" x14ac:dyDescent="0.2">
      <c r="A515"/>
      <c r="B515"/>
      <c r="C515"/>
      <c r="D515"/>
      <c r="E515"/>
      <c r="F515"/>
      <c r="G515"/>
      <c r="H515"/>
      <c r="I515"/>
      <c r="J515"/>
      <c r="K515"/>
      <c r="L515"/>
      <c r="M515"/>
      <c r="N515"/>
      <c r="O515"/>
      <c r="P515"/>
      <c r="Q515"/>
      <c r="R515"/>
      <c r="S515"/>
      <c r="T515"/>
      <c r="U515"/>
      <c r="V515"/>
      <c r="W515"/>
      <c r="X515"/>
      <c r="Y515"/>
      <c r="Z515"/>
      <c r="AA515"/>
      <c r="AB515"/>
      <c r="AC515"/>
      <c r="AD515"/>
    </row>
    <row r="516" spans="1:30" s="45" customFormat="1" x14ac:dyDescent="0.2">
      <c r="A516"/>
      <c r="B516"/>
      <c r="C516"/>
      <c r="D516"/>
      <c r="E516"/>
      <c r="F516"/>
      <c r="G516"/>
      <c r="H516"/>
      <c r="I516"/>
      <c r="J516"/>
      <c r="K516"/>
      <c r="L516"/>
      <c r="M516"/>
      <c r="N516"/>
      <c r="O516"/>
      <c r="P516"/>
      <c r="Q516"/>
      <c r="R516"/>
      <c r="S516"/>
      <c r="T516"/>
      <c r="U516"/>
      <c r="V516"/>
      <c r="W516"/>
      <c r="X516"/>
      <c r="Y516"/>
      <c r="Z516"/>
      <c r="AA516"/>
      <c r="AB516"/>
      <c r="AC516"/>
      <c r="AD516"/>
    </row>
    <row r="517" spans="1:30" s="45" customFormat="1" x14ac:dyDescent="0.2">
      <c r="A517"/>
      <c r="B517"/>
      <c r="C517"/>
      <c r="D517"/>
      <c r="E517"/>
      <c r="F517"/>
      <c r="G517"/>
      <c r="H517"/>
      <c r="I517"/>
      <c r="J517"/>
      <c r="K517"/>
      <c r="L517"/>
      <c r="M517"/>
      <c r="N517"/>
      <c r="O517"/>
      <c r="P517"/>
      <c r="Q517"/>
      <c r="R517"/>
      <c r="S517"/>
      <c r="T517"/>
      <c r="U517"/>
      <c r="V517"/>
      <c r="W517"/>
      <c r="X517"/>
      <c r="Y517"/>
      <c r="Z517"/>
      <c r="AA517"/>
      <c r="AB517"/>
      <c r="AC517"/>
      <c r="AD517"/>
    </row>
    <row r="518" spans="1:30" s="45" customFormat="1" x14ac:dyDescent="0.2">
      <c r="A518"/>
      <c r="B518"/>
      <c r="C518"/>
      <c r="D518"/>
      <c r="E518"/>
      <c r="F518"/>
      <c r="G518"/>
      <c r="H518"/>
      <c r="I518"/>
      <c r="J518"/>
      <c r="K518"/>
      <c r="L518"/>
      <c r="M518"/>
      <c r="N518"/>
      <c r="O518"/>
      <c r="P518"/>
      <c r="Q518"/>
      <c r="R518"/>
      <c r="S518"/>
      <c r="T518"/>
      <c r="U518"/>
      <c r="V518"/>
      <c r="W518"/>
      <c r="X518"/>
      <c r="Y518"/>
      <c r="Z518"/>
      <c r="AA518"/>
      <c r="AB518"/>
      <c r="AC518"/>
      <c r="AD518"/>
    </row>
    <row r="519" spans="1:30" s="45" customFormat="1" x14ac:dyDescent="0.2">
      <c r="A519"/>
      <c r="B519"/>
      <c r="C519"/>
      <c r="D519"/>
      <c r="E519"/>
      <c r="F519"/>
      <c r="G519"/>
      <c r="H519"/>
      <c r="I519"/>
      <c r="J519"/>
      <c r="K519"/>
      <c r="L519"/>
      <c r="M519"/>
      <c r="N519"/>
      <c r="O519"/>
      <c r="P519"/>
      <c r="Q519"/>
      <c r="R519"/>
      <c r="S519"/>
      <c r="T519"/>
      <c r="U519"/>
      <c r="V519"/>
      <c r="W519"/>
      <c r="X519"/>
      <c r="Y519"/>
      <c r="Z519"/>
      <c r="AA519"/>
      <c r="AB519"/>
      <c r="AC519"/>
      <c r="AD519"/>
    </row>
    <row r="520" spans="1:30" s="45" customFormat="1" x14ac:dyDescent="0.2">
      <c r="A520"/>
      <c r="B520"/>
      <c r="C520"/>
      <c r="D520"/>
      <c r="E520"/>
      <c r="F520"/>
      <c r="G520"/>
      <c r="H520"/>
      <c r="I520"/>
      <c r="J520"/>
      <c r="K520"/>
      <c r="L520"/>
      <c r="M520"/>
      <c r="N520"/>
      <c r="O520"/>
      <c r="P520"/>
      <c r="Q520"/>
      <c r="R520"/>
      <c r="S520"/>
      <c r="T520"/>
      <c r="U520"/>
      <c r="V520"/>
      <c r="W520"/>
      <c r="X520"/>
      <c r="Y520"/>
      <c r="Z520"/>
      <c r="AA520"/>
      <c r="AB520"/>
      <c r="AC520"/>
      <c r="AD520"/>
    </row>
    <row r="521" spans="1:30" s="45" customFormat="1" x14ac:dyDescent="0.2">
      <c r="A521"/>
      <c r="B521"/>
      <c r="C521"/>
      <c r="D521"/>
      <c r="E521"/>
      <c r="F521"/>
      <c r="G521"/>
      <c r="H521"/>
      <c r="I521"/>
      <c r="J521"/>
      <c r="K521"/>
      <c r="L521"/>
      <c r="M521"/>
      <c r="N521"/>
      <c r="O521"/>
      <c r="P521"/>
      <c r="Q521"/>
      <c r="R521"/>
      <c r="S521"/>
      <c r="T521"/>
      <c r="U521"/>
      <c r="V521"/>
      <c r="W521"/>
      <c r="X521"/>
      <c r="Y521"/>
      <c r="Z521"/>
      <c r="AA521"/>
      <c r="AB521"/>
      <c r="AC521"/>
      <c r="AD521"/>
    </row>
    <row r="522" spans="1:30" s="45" customFormat="1" x14ac:dyDescent="0.2">
      <c r="A522"/>
      <c r="B522"/>
      <c r="C522"/>
      <c r="D522"/>
      <c r="E522"/>
      <c r="F522"/>
      <c r="G522"/>
      <c r="H522"/>
      <c r="I522"/>
      <c r="J522"/>
      <c r="K522"/>
      <c r="L522"/>
      <c r="M522"/>
      <c r="N522"/>
      <c r="O522"/>
      <c r="P522"/>
      <c r="Q522"/>
      <c r="R522"/>
      <c r="S522"/>
      <c r="T522"/>
      <c r="U522"/>
      <c r="V522"/>
      <c r="W522"/>
      <c r="X522"/>
      <c r="Y522"/>
      <c r="Z522"/>
      <c r="AA522"/>
      <c r="AB522"/>
      <c r="AC522"/>
      <c r="AD522"/>
    </row>
    <row r="523" spans="1:30" s="45" customFormat="1" x14ac:dyDescent="0.2">
      <c r="A523"/>
      <c r="B523"/>
      <c r="C523"/>
      <c r="D523"/>
      <c r="E523"/>
      <c r="F523"/>
      <c r="G523"/>
      <c r="H523"/>
      <c r="I523"/>
      <c r="J523"/>
      <c r="K523"/>
      <c r="L523"/>
      <c r="M523"/>
      <c r="N523"/>
      <c r="O523"/>
      <c r="P523"/>
      <c r="Q523"/>
      <c r="R523"/>
      <c r="S523"/>
      <c r="T523"/>
      <c r="U523"/>
      <c r="V523"/>
      <c r="W523"/>
      <c r="X523"/>
      <c r="Y523"/>
      <c r="Z523"/>
      <c r="AA523"/>
      <c r="AB523"/>
      <c r="AC523"/>
      <c r="AD523"/>
    </row>
    <row r="524" spans="1:30" s="45" customFormat="1" x14ac:dyDescent="0.2">
      <c r="A524"/>
      <c r="B524"/>
      <c r="C524"/>
      <c r="D524"/>
      <c r="E524"/>
      <c r="F524"/>
      <c r="G524"/>
      <c r="H524"/>
      <c r="I524"/>
      <c r="J524"/>
      <c r="K524"/>
      <c r="L524"/>
      <c r="M524"/>
      <c r="N524"/>
      <c r="O524"/>
      <c r="P524"/>
      <c r="Q524"/>
      <c r="R524"/>
      <c r="S524"/>
      <c r="T524"/>
      <c r="U524"/>
      <c r="V524"/>
      <c r="W524"/>
      <c r="X524"/>
      <c r="Y524"/>
      <c r="Z524"/>
      <c r="AA524"/>
      <c r="AB524"/>
      <c r="AC524"/>
      <c r="AD524"/>
    </row>
    <row r="525" spans="1:30" s="45" customFormat="1" x14ac:dyDescent="0.2">
      <c r="A525"/>
      <c r="B525"/>
      <c r="C525"/>
      <c r="D525"/>
      <c r="E525"/>
      <c r="F525"/>
      <c r="G525"/>
      <c r="H525"/>
      <c r="I525"/>
      <c r="J525"/>
      <c r="K525"/>
      <c r="L525"/>
      <c r="M525"/>
      <c r="N525"/>
      <c r="O525"/>
      <c r="P525"/>
      <c r="Q525"/>
      <c r="R525"/>
      <c r="S525"/>
      <c r="T525"/>
      <c r="U525"/>
      <c r="V525"/>
      <c r="W525"/>
      <c r="X525"/>
      <c r="Y525"/>
      <c r="Z525"/>
      <c r="AA525"/>
      <c r="AB525"/>
      <c r="AC525"/>
      <c r="AD525"/>
    </row>
    <row r="526" spans="1:30" s="45" customFormat="1" x14ac:dyDescent="0.2">
      <c r="A526"/>
      <c r="B526"/>
      <c r="C526"/>
      <c r="D526"/>
      <c r="E526"/>
      <c r="F526"/>
      <c r="G526"/>
      <c r="H526"/>
      <c r="I526"/>
      <c r="J526"/>
      <c r="K526"/>
      <c r="L526"/>
      <c r="M526"/>
      <c r="N526"/>
      <c r="O526"/>
      <c r="P526"/>
      <c r="Q526"/>
      <c r="R526"/>
      <c r="S526"/>
      <c r="T526"/>
      <c r="U526"/>
      <c r="V526"/>
      <c r="W526"/>
      <c r="X526"/>
      <c r="Y526"/>
      <c r="Z526"/>
      <c r="AA526"/>
      <c r="AB526"/>
      <c r="AC526"/>
      <c r="AD526"/>
    </row>
    <row r="527" spans="1:30" s="45" customFormat="1" x14ac:dyDescent="0.2">
      <c r="A527"/>
      <c r="B527"/>
      <c r="C527"/>
      <c r="D527"/>
      <c r="E527"/>
      <c r="F527"/>
      <c r="G527"/>
      <c r="H527"/>
      <c r="I527"/>
      <c r="J527"/>
      <c r="K527"/>
      <c r="L527"/>
      <c r="M527"/>
      <c r="N527"/>
      <c r="O527"/>
      <c r="P527"/>
      <c r="Q527"/>
      <c r="R527"/>
      <c r="S527"/>
      <c r="T527"/>
      <c r="U527"/>
      <c r="V527"/>
      <c r="W527"/>
      <c r="X527"/>
      <c r="Y527"/>
      <c r="Z527"/>
      <c r="AA527"/>
      <c r="AB527"/>
      <c r="AC527"/>
      <c r="AD527"/>
    </row>
    <row r="528" spans="1:30" s="45" customFormat="1" x14ac:dyDescent="0.2">
      <c r="A528"/>
      <c r="B528"/>
      <c r="C528"/>
      <c r="D528"/>
      <c r="E528"/>
      <c r="F528"/>
      <c r="G528"/>
      <c r="H528"/>
      <c r="I528"/>
      <c r="J528"/>
      <c r="K528"/>
      <c r="L528"/>
      <c r="M528"/>
      <c r="N528"/>
      <c r="O528"/>
      <c r="P528"/>
      <c r="Q528"/>
      <c r="R528"/>
      <c r="S528"/>
      <c r="T528"/>
      <c r="U528"/>
      <c r="V528"/>
      <c r="W528"/>
      <c r="X528"/>
      <c r="Y528"/>
      <c r="Z528"/>
      <c r="AA528"/>
      <c r="AB528"/>
      <c r="AC528"/>
      <c r="AD528"/>
    </row>
    <row r="529" spans="1:30" s="45" customFormat="1" x14ac:dyDescent="0.2">
      <c r="A529"/>
      <c r="B529"/>
      <c r="C529"/>
      <c r="D529"/>
      <c r="E529"/>
      <c r="F529"/>
      <c r="G529"/>
      <c r="H529"/>
      <c r="I529"/>
      <c r="J529"/>
      <c r="K529"/>
      <c r="L529"/>
      <c r="M529"/>
      <c r="N529"/>
      <c r="O529"/>
      <c r="P529"/>
      <c r="Q529"/>
      <c r="R529"/>
      <c r="S529"/>
      <c r="T529"/>
      <c r="U529"/>
      <c r="V529"/>
      <c r="W529"/>
      <c r="X529"/>
      <c r="Y529"/>
      <c r="Z529"/>
      <c r="AA529"/>
      <c r="AB529"/>
      <c r="AC529"/>
      <c r="AD529"/>
    </row>
    <row r="530" spans="1:30" s="45" customFormat="1" x14ac:dyDescent="0.2">
      <c r="A530"/>
      <c r="B530"/>
      <c r="C530"/>
      <c r="D530"/>
      <c r="E530"/>
      <c r="F530"/>
      <c r="G530"/>
      <c r="H530"/>
      <c r="I530"/>
      <c r="J530"/>
      <c r="K530"/>
      <c r="L530"/>
      <c r="M530"/>
      <c r="N530"/>
      <c r="O530"/>
      <c r="P530"/>
      <c r="Q530"/>
      <c r="R530"/>
      <c r="S530"/>
      <c r="T530"/>
      <c r="U530"/>
      <c r="V530"/>
      <c r="W530"/>
      <c r="X530"/>
      <c r="Y530"/>
      <c r="Z530"/>
      <c r="AA530"/>
      <c r="AB530"/>
      <c r="AC530"/>
      <c r="AD530"/>
    </row>
    <row r="531" spans="1:30" s="45" customFormat="1" x14ac:dyDescent="0.2">
      <c r="A531"/>
      <c r="B531"/>
      <c r="C531"/>
      <c r="D531"/>
      <c r="E531"/>
      <c r="F531"/>
      <c r="G531"/>
      <c r="H531"/>
      <c r="I531"/>
      <c r="J531"/>
      <c r="K531"/>
      <c r="L531"/>
      <c r="M531"/>
      <c r="N531"/>
      <c r="O531"/>
      <c r="P531"/>
      <c r="Q531"/>
      <c r="R531"/>
      <c r="S531"/>
      <c r="T531"/>
      <c r="U531"/>
      <c r="V531"/>
      <c r="W531"/>
      <c r="X531"/>
      <c r="Y531"/>
      <c r="Z531"/>
      <c r="AA531"/>
      <c r="AB531"/>
      <c r="AC531"/>
      <c r="AD531"/>
    </row>
    <row r="532" spans="1:30" s="45" customFormat="1" x14ac:dyDescent="0.2">
      <c r="A532"/>
      <c r="B532"/>
      <c r="C532"/>
      <c r="D532"/>
      <c r="E532"/>
      <c r="F532"/>
      <c r="G532"/>
      <c r="H532"/>
      <c r="I532"/>
      <c r="J532"/>
      <c r="K532"/>
      <c r="L532"/>
      <c r="M532"/>
      <c r="N532"/>
      <c r="O532"/>
      <c r="P532"/>
      <c r="Q532"/>
      <c r="R532"/>
      <c r="S532"/>
      <c r="T532"/>
      <c r="U532"/>
      <c r="V532"/>
      <c r="W532"/>
      <c r="X532"/>
      <c r="Y532"/>
      <c r="Z532"/>
      <c r="AA532"/>
      <c r="AB532"/>
      <c r="AC532"/>
      <c r="AD532"/>
    </row>
    <row r="533" spans="1:30" s="45" customFormat="1" x14ac:dyDescent="0.2">
      <c r="A533"/>
      <c r="B533"/>
      <c r="C533"/>
      <c r="D533"/>
      <c r="E533"/>
      <c r="F533"/>
      <c r="G533"/>
      <c r="H533"/>
      <c r="I533"/>
      <c r="J533"/>
      <c r="K533"/>
      <c r="L533"/>
      <c r="M533"/>
      <c r="N533"/>
      <c r="O533"/>
      <c r="P533"/>
      <c r="Q533"/>
      <c r="R533"/>
      <c r="S533"/>
      <c r="T533"/>
      <c r="U533"/>
      <c r="V533"/>
      <c r="W533"/>
      <c r="X533"/>
      <c r="Y533"/>
      <c r="Z533"/>
      <c r="AA533"/>
      <c r="AB533"/>
      <c r="AC533"/>
      <c r="AD533"/>
    </row>
    <row r="534" spans="1:30" s="45" customFormat="1" x14ac:dyDescent="0.2">
      <c r="A534"/>
      <c r="B534"/>
      <c r="C534"/>
      <c r="D534"/>
      <c r="E534"/>
      <c r="F534"/>
      <c r="G534"/>
      <c r="H534"/>
      <c r="I534"/>
      <c r="J534"/>
      <c r="K534"/>
      <c r="L534"/>
      <c r="M534"/>
      <c r="N534"/>
      <c r="O534"/>
      <c r="P534"/>
      <c r="Q534"/>
      <c r="R534"/>
      <c r="S534"/>
      <c r="T534"/>
      <c r="U534"/>
      <c r="V534"/>
      <c r="W534"/>
      <c r="X534"/>
      <c r="Y534"/>
      <c r="Z534"/>
      <c r="AA534"/>
      <c r="AB534"/>
      <c r="AC534"/>
      <c r="AD534"/>
    </row>
    <row r="535" spans="1:30" s="45" customFormat="1" x14ac:dyDescent="0.2">
      <c r="A535"/>
      <c r="B535"/>
      <c r="C535"/>
      <c r="D535"/>
      <c r="E535"/>
      <c r="F535"/>
      <c r="G535"/>
      <c r="H535"/>
      <c r="I535"/>
      <c r="J535"/>
      <c r="K535"/>
      <c r="L535"/>
      <c r="M535"/>
      <c r="N535"/>
      <c r="O535"/>
      <c r="P535"/>
      <c r="Q535"/>
      <c r="R535"/>
      <c r="S535"/>
      <c r="T535"/>
      <c r="U535"/>
      <c r="V535"/>
      <c r="W535"/>
      <c r="X535"/>
      <c r="Y535"/>
      <c r="Z535"/>
      <c r="AA535"/>
      <c r="AB535"/>
      <c r="AC535"/>
      <c r="AD535"/>
    </row>
    <row r="536" spans="1:30" s="45" customFormat="1" x14ac:dyDescent="0.2">
      <c r="A536"/>
      <c r="B536"/>
      <c r="C536"/>
      <c r="D536"/>
      <c r="E536"/>
      <c r="F536"/>
      <c r="G536"/>
      <c r="H536"/>
      <c r="I536"/>
      <c r="J536"/>
      <c r="K536"/>
      <c r="L536"/>
      <c r="M536"/>
      <c r="N536"/>
      <c r="O536"/>
      <c r="P536"/>
      <c r="Q536"/>
      <c r="R536"/>
      <c r="S536"/>
      <c r="T536"/>
      <c r="U536"/>
      <c r="V536"/>
      <c r="W536"/>
      <c r="X536"/>
      <c r="Y536"/>
      <c r="Z536"/>
      <c r="AA536"/>
      <c r="AB536"/>
      <c r="AC536"/>
      <c r="AD536"/>
    </row>
    <row r="537" spans="1:30" s="45" customFormat="1" x14ac:dyDescent="0.2">
      <c r="A537"/>
      <c r="B537"/>
      <c r="C537"/>
      <c r="D537"/>
      <c r="E537"/>
      <c r="F537"/>
      <c r="G537"/>
      <c r="H537"/>
      <c r="I537"/>
      <c r="J537"/>
      <c r="K537"/>
      <c r="L537"/>
      <c r="M537"/>
      <c r="N537"/>
      <c r="O537"/>
      <c r="P537"/>
      <c r="Q537"/>
      <c r="R537"/>
      <c r="S537"/>
      <c r="T537"/>
      <c r="U537"/>
      <c r="V537"/>
      <c r="W537"/>
      <c r="X537"/>
      <c r="Y537"/>
      <c r="Z537"/>
      <c r="AA537"/>
      <c r="AB537"/>
      <c r="AC537"/>
      <c r="AD537"/>
    </row>
    <row r="538" spans="1:30" s="45" customFormat="1" x14ac:dyDescent="0.2">
      <c r="A538"/>
      <c r="B538"/>
      <c r="C538"/>
      <c r="D538"/>
      <c r="E538"/>
      <c r="F538"/>
      <c r="G538"/>
      <c r="H538"/>
      <c r="I538"/>
      <c r="J538"/>
      <c r="K538"/>
      <c r="L538"/>
      <c r="M538"/>
      <c r="N538"/>
      <c r="O538"/>
      <c r="P538"/>
      <c r="Q538"/>
      <c r="R538"/>
      <c r="S538"/>
      <c r="T538"/>
      <c r="U538"/>
      <c r="V538"/>
      <c r="W538"/>
      <c r="X538"/>
      <c r="Y538"/>
      <c r="Z538"/>
      <c r="AA538"/>
      <c r="AB538"/>
      <c r="AC538"/>
      <c r="AD538"/>
    </row>
    <row r="539" spans="1:30" s="45" customFormat="1" x14ac:dyDescent="0.2">
      <c r="A539"/>
      <c r="B539"/>
      <c r="C539"/>
      <c r="D539"/>
      <c r="E539"/>
      <c r="F539"/>
      <c r="G539"/>
      <c r="H539"/>
      <c r="I539"/>
      <c r="J539"/>
      <c r="K539"/>
      <c r="L539"/>
      <c r="M539"/>
      <c r="N539"/>
      <c r="O539"/>
      <c r="P539"/>
      <c r="Q539"/>
      <c r="R539"/>
      <c r="S539"/>
      <c r="T539"/>
      <c r="U539"/>
      <c r="V539"/>
      <c r="W539"/>
      <c r="X539"/>
      <c r="Y539"/>
      <c r="Z539"/>
      <c r="AA539"/>
      <c r="AB539"/>
      <c r="AC539"/>
      <c r="AD539"/>
    </row>
    <row r="540" spans="1:30" s="45" customFormat="1" x14ac:dyDescent="0.2">
      <c r="A540"/>
      <c r="B540"/>
      <c r="C540"/>
      <c r="D540"/>
      <c r="E540"/>
      <c r="F540"/>
      <c r="G540"/>
      <c r="H540"/>
      <c r="I540"/>
      <c r="J540"/>
      <c r="K540"/>
      <c r="L540"/>
      <c r="M540"/>
      <c r="N540"/>
      <c r="O540"/>
      <c r="P540"/>
      <c r="Q540"/>
      <c r="R540"/>
      <c r="S540"/>
      <c r="T540"/>
      <c r="U540"/>
      <c r="V540"/>
      <c r="W540"/>
      <c r="X540"/>
      <c r="Y540"/>
      <c r="Z540"/>
      <c r="AA540"/>
      <c r="AB540"/>
      <c r="AC540"/>
      <c r="AD540"/>
    </row>
    <row r="541" spans="1:30" s="45" customFormat="1" x14ac:dyDescent="0.2">
      <c r="A541"/>
      <c r="B541"/>
      <c r="C541"/>
      <c r="D541"/>
      <c r="E541"/>
      <c r="F541"/>
      <c r="G541"/>
      <c r="H541"/>
      <c r="I541"/>
      <c r="J541"/>
      <c r="K541"/>
      <c r="L541"/>
      <c r="M541"/>
      <c r="N541"/>
      <c r="O541"/>
      <c r="P541"/>
      <c r="Q541"/>
      <c r="R541"/>
      <c r="S541"/>
      <c r="T541"/>
      <c r="U541"/>
      <c r="V541"/>
      <c r="W541"/>
      <c r="X541"/>
      <c r="Y541"/>
      <c r="Z541"/>
      <c r="AA541"/>
      <c r="AB541"/>
      <c r="AC541"/>
      <c r="AD541"/>
    </row>
    <row r="542" spans="1:30" s="45" customFormat="1" x14ac:dyDescent="0.2">
      <c r="A542"/>
      <c r="B542"/>
      <c r="C542"/>
      <c r="D542"/>
      <c r="E542"/>
      <c r="F542"/>
      <c r="G542"/>
      <c r="H542"/>
      <c r="I542"/>
      <c r="J542"/>
      <c r="K542"/>
      <c r="L542"/>
      <c r="M542"/>
      <c r="N542"/>
      <c r="O542"/>
      <c r="P542"/>
      <c r="Q542"/>
      <c r="R542"/>
      <c r="S542"/>
      <c r="T542"/>
      <c r="U542"/>
      <c r="V542"/>
      <c r="W542"/>
      <c r="X542"/>
      <c r="Y542"/>
      <c r="Z542"/>
      <c r="AA542"/>
      <c r="AB542"/>
      <c r="AC542"/>
      <c r="AD542"/>
    </row>
    <row r="543" spans="1:30" s="45" customFormat="1" x14ac:dyDescent="0.2">
      <c r="A543"/>
      <c r="B543"/>
      <c r="C543"/>
      <c r="D543"/>
      <c r="E543"/>
      <c r="F543"/>
      <c r="G543"/>
      <c r="H543"/>
      <c r="I543"/>
      <c r="J543"/>
      <c r="K543"/>
      <c r="L543"/>
      <c r="M543"/>
      <c r="N543"/>
      <c r="O543"/>
      <c r="P543"/>
      <c r="Q543"/>
      <c r="R543"/>
      <c r="S543"/>
      <c r="T543"/>
      <c r="U543"/>
      <c r="V543"/>
      <c r="W543"/>
      <c r="X543"/>
      <c r="Y543"/>
      <c r="Z543"/>
      <c r="AA543"/>
      <c r="AB543"/>
      <c r="AC543"/>
      <c r="AD543"/>
    </row>
    <row r="544" spans="1:30" s="45" customFormat="1" x14ac:dyDescent="0.2">
      <c r="A544"/>
      <c r="B544"/>
      <c r="C544"/>
      <c r="D544"/>
      <c r="E544"/>
      <c r="F544"/>
      <c r="G544"/>
      <c r="H544"/>
      <c r="I544"/>
      <c r="J544"/>
      <c r="K544"/>
      <c r="L544"/>
      <c r="M544"/>
      <c r="N544"/>
      <c r="O544"/>
      <c r="P544"/>
      <c r="Q544"/>
      <c r="R544"/>
      <c r="S544"/>
      <c r="T544"/>
      <c r="U544"/>
      <c r="V544"/>
      <c r="W544"/>
      <c r="X544"/>
      <c r="Y544"/>
      <c r="Z544"/>
      <c r="AA544"/>
      <c r="AB544"/>
      <c r="AC544"/>
      <c r="AD544"/>
    </row>
    <row r="545" spans="1:30" s="45" customFormat="1" x14ac:dyDescent="0.2">
      <c r="A545"/>
      <c r="B545"/>
      <c r="C545"/>
      <c r="D545"/>
      <c r="E545"/>
      <c r="F545"/>
      <c r="G545"/>
      <c r="H545"/>
      <c r="I545"/>
      <c r="J545"/>
      <c r="K545"/>
      <c r="L545"/>
      <c r="M545"/>
      <c r="N545"/>
      <c r="O545"/>
      <c r="P545"/>
      <c r="Q545"/>
      <c r="R545"/>
      <c r="S545"/>
      <c r="T545"/>
      <c r="U545"/>
      <c r="V545"/>
      <c r="W545"/>
      <c r="X545"/>
      <c r="Y545"/>
      <c r="Z545"/>
      <c r="AA545"/>
      <c r="AB545"/>
      <c r="AC545"/>
      <c r="AD545"/>
    </row>
    <row r="546" spans="1:30" s="45" customFormat="1" x14ac:dyDescent="0.2">
      <c r="A546"/>
      <c r="B546"/>
      <c r="C546"/>
      <c r="D546"/>
      <c r="E546"/>
      <c r="F546"/>
      <c r="G546"/>
      <c r="H546"/>
      <c r="I546"/>
      <c r="J546"/>
      <c r="K546"/>
      <c r="L546"/>
      <c r="M546"/>
      <c r="N546"/>
      <c r="O546"/>
      <c r="P546"/>
      <c r="Q546"/>
      <c r="R546"/>
      <c r="S546"/>
      <c r="T546"/>
      <c r="U546"/>
      <c r="V546"/>
      <c r="W546"/>
      <c r="X546"/>
      <c r="Y546"/>
      <c r="Z546"/>
      <c r="AA546"/>
      <c r="AB546"/>
      <c r="AC546"/>
      <c r="AD546"/>
    </row>
    <row r="547" spans="1:30" s="45" customFormat="1" x14ac:dyDescent="0.2">
      <c r="A547"/>
      <c r="B547"/>
      <c r="C547"/>
      <c r="D547"/>
      <c r="E547"/>
      <c r="F547"/>
      <c r="G547"/>
      <c r="H547"/>
      <c r="I547"/>
      <c r="J547"/>
      <c r="K547"/>
      <c r="L547"/>
      <c r="M547"/>
      <c r="N547"/>
      <c r="O547"/>
      <c r="P547"/>
      <c r="Q547"/>
      <c r="R547"/>
      <c r="S547"/>
      <c r="T547"/>
      <c r="U547"/>
      <c r="V547"/>
      <c r="W547"/>
      <c r="X547"/>
      <c r="Y547"/>
      <c r="Z547"/>
      <c r="AA547"/>
      <c r="AB547"/>
      <c r="AC547"/>
      <c r="AD547"/>
    </row>
    <row r="548" spans="1:30" s="45" customFormat="1" x14ac:dyDescent="0.2">
      <c r="A548"/>
      <c r="B548"/>
      <c r="C548"/>
      <c r="D548"/>
      <c r="E548"/>
      <c r="F548"/>
      <c r="G548"/>
      <c r="H548"/>
      <c r="I548"/>
      <c r="J548"/>
      <c r="K548"/>
      <c r="L548"/>
      <c r="M548"/>
      <c r="N548"/>
      <c r="O548"/>
      <c r="P548"/>
      <c r="Q548"/>
      <c r="R548"/>
      <c r="S548"/>
      <c r="T548"/>
      <c r="U548"/>
      <c r="V548"/>
      <c r="W548"/>
      <c r="X548"/>
      <c r="Y548"/>
      <c r="Z548"/>
      <c r="AA548"/>
      <c r="AB548"/>
      <c r="AC548"/>
      <c r="AD548"/>
    </row>
    <row r="549" spans="1:30" s="45" customFormat="1" x14ac:dyDescent="0.2">
      <c r="A549"/>
      <c r="B549"/>
      <c r="C549"/>
      <c r="D549"/>
      <c r="E549"/>
      <c r="F549"/>
      <c r="G549"/>
      <c r="H549"/>
      <c r="I549"/>
      <c r="J549"/>
      <c r="K549"/>
      <c r="L549"/>
      <c r="M549"/>
      <c r="N549"/>
      <c r="O549"/>
      <c r="P549"/>
      <c r="Q549"/>
      <c r="R549"/>
      <c r="S549"/>
      <c r="T549"/>
      <c r="U549"/>
      <c r="V549"/>
      <c r="W549"/>
      <c r="X549"/>
      <c r="Y549"/>
      <c r="Z549"/>
      <c r="AA549"/>
      <c r="AB549"/>
      <c r="AC549"/>
      <c r="AD549"/>
    </row>
    <row r="550" spans="1:30" s="45" customFormat="1" x14ac:dyDescent="0.2">
      <c r="A550"/>
      <c r="B550"/>
      <c r="C550"/>
      <c r="D550"/>
      <c r="E550"/>
      <c r="F550"/>
      <c r="G550"/>
      <c r="H550"/>
      <c r="I550"/>
      <c r="J550"/>
      <c r="K550"/>
      <c r="L550"/>
      <c r="M550"/>
      <c r="N550"/>
      <c r="O550"/>
      <c r="P550"/>
      <c r="Q550"/>
      <c r="R550"/>
      <c r="S550"/>
      <c r="T550"/>
      <c r="U550"/>
      <c r="V550"/>
      <c r="W550"/>
      <c r="X550"/>
      <c r="Y550"/>
      <c r="Z550"/>
      <c r="AA550"/>
      <c r="AB550"/>
      <c r="AC550"/>
      <c r="AD550"/>
    </row>
    <row r="551" spans="1:30" s="45" customFormat="1" x14ac:dyDescent="0.2">
      <c r="A551"/>
      <c r="B551"/>
      <c r="C551"/>
      <c r="D551"/>
      <c r="E551"/>
      <c r="F551"/>
      <c r="G551"/>
      <c r="H551"/>
      <c r="I551"/>
      <c r="J551"/>
      <c r="K551"/>
      <c r="L551"/>
      <c r="M551"/>
      <c r="N551"/>
      <c r="O551"/>
      <c r="P551"/>
      <c r="Q551"/>
      <c r="R551"/>
      <c r="S551"/>
      <c r="T551"/>
      <c r="U551"/>
      <c r="V551"/>
      <c r="W551"/>
      <c r="X551"/>
      <c r="Y551"/>
      <c r="Z551"/>
      <c r="AA551"/>
      <c r="AB551"/>
      <c r="AC551"/>
      <c r="AD551"/>
    </row>
    <row r="552" spans="1:30" s="45" customFormat="1" x14ac:dyDescent="0.2">
      <c r="A552"/>
      <c r="B552"/>
      <c r="C552"/>
      <c r="D552"/>
      <c r="E552"/>
      <c r="F552"/>
      <c r="G552"/>
      <c r="H552"/>
      <c r="I552"/>
      <c r="J552"/>
      <c r="K552"/>
      <c r="L552"/>
      <c r="M552"/>
      <c r="N552"/>
      <c r="O552"/>
      <c r="P552"/>
      <c r="Q552"/>
      <c r="R552"/>
      <c r="S552"/>
      <c r="T552"/>
      <c r="U552"/>
      <c r="V552"/>
      <c r="W552"/>
      <c r="X552"/>
      <c r="Y552"/>
      <c r="Z552"/>
      <c r="AA552"/>
      <c r="AB552"/>
      <c r="AC552"/>
      <c r="AD552"/>
    </row>
    <row r="553" spans="1:30" s="45" customFormat="1" x14ac:dyDescent="0.2">
      <c r="A553"/>
      <c r="B553"/>
      <c r="C553"/>
      <c r="D553"/>
      <c r="E553"/>
      <c r="F553"/>
      <c r="G553"/>
      <c r="H553"/>
      <c r="I553"/>
      <c r="J553"/>
      <c r="K553"/>
      <c r="L553"/>
      <c r="M553"/>
      <c r="N553"/>
      <c r="O553"/>
      <c r="P553"/>
      <c r="Q553"/>
      <c r="R553"/>
      <c r="S553"/>
      <c r="T553"/>
      <c r="U553"/>
      <c r="V553"/>
      <c r="W553"/>
      <c r="X553"/>
      <c r="Y553"/>
      <c r="Z553"/>
      <c r="AA553"/>
      <c r="AB553"/>
      <c r="AC553"/>
      <c r="AD553"/>
    </row>
    <row r="554" spans="1:30" s="45" customFormat="1" x14ac:dyDescent="0.2">
      <c r="A554"/>
      <c r="B554"/>
      <c r="C554"/>
      <c r="D554"/>
      <c r="E554"/>
      <c r="F554"/>
      <c r="G554"/>
      <c r="H554"/>
      <c r="I554"/>
      <c r="J554"/>
      <c r="K554"/>
      <c r="L554"/>
      <c r="M554"/>
      <c r="N554"/>
      <c r="O554"/>
      <c r="P554"/>
      <c r="Q554"/>
      <c r="R554"/>
      <c r="S554"/>
      <c r="T554"/>
      <c r="U554"/>
      <c r="V554"/>
      <c r="W554"/>
      <c r="X554"/>
      <c r="Y554"/>
      <c r="Z554"/>
      <c r="AA554"/>
      <c r="AB554"/>
      <c r="AC554"/>
      <c r="AD554"/>
    </row>
    <row r="555" spans="1:30" s="45" customFormat="1" x14ac:dyDescent="0.2">
      <c r="A555"/>
      <c r="B555"/>
      <c r="C555"/>
      <c r="D555"/>
      <c r="E555"/>
      <c r="F555"/>
      <c r="G555"/>
      <c r="H555"/>
      <c r="I555"/>
      <c r="J555"/>
      <c r="K555"/>
      <c r="L555"/>
      <c r="M555"/>
      <c r="N555"/>
      <c r="O555"/>
      <c r="P555"/>
      <c r="Q555"/>
      <c r="R555"/>
      <c r="S555"/>
      <c r="T555"/>
      <c r="U555"/>
      <c r="V555"/>
      <c r="W555"/>
      <c r="X555"/>
      <c r="Y555"/>
      <c r="Z555"/>
      <c r="AA555"/>
      <c r="AB555"/>
      <c r="AC555"/>
      <c r="AD555"/>
    </row>
    <row r="556" spans="1:30" s="45" customFormat="1" x14ac:dyDescent="0.2">
      <c r="A556"/>
      <c r="B556"/>
      <c r="C556"/>
      <c r="D556"/>
      <c r="E556"/>
      <c r="F556"/>
      <c r="G556"/>
      <c r="H556"/>
      <c r="I556"/>
      <c r="J556"/>
      <c r="K556"/>
      <c r="L556"/>
      <c r="M556"/>
      <c r="N556"/>
      <c r="O556"/>
      <c r="P556"/>
      <c r="Q556"/>
      <c r="R556"/>
      <c r="S556"/>
      <c r="T556"/>
      <c r="U556"/>
      <c r="V556"/>
      <c r="W556"/>
      <c r="X556"/>
      <c r="Y556"/>
      <c r="Z556"/>
      <c r="AA556"/>
      <c r="AB556"/>
      <c r="AC556"/>
      <c r="AD556"/>
    </row>
    <row r="557" spans="1:30" s="45" customFormat="1" x14ac:dyDescent="0.2">
      <c r="A557"/>
      <c r="B557"/>
      <c r="C557"/>
      <c r="D557"/>
      <c r="E557"/>
      <c r="F557"/>
      <c r="G557"/>
      <c r="H557"/>
      <c r="I557"/>
      <c r="J557"/>
      <c r="K557"/>
      <c r="L557"/>
      <c r="M557"/>
      <c r="N557"/>
      <c r="O557"/>
      <c r="P557"/>
      <c r="Q557"/>
      <c r="R557"/>
      <c r="S557"/>
      <c r="T557"/>
      <c r="U557"/>
      <c r="V557"/>
      <c r="W557"/>
      <c r="X557"/>
      <c r="Y557"/>
      <c r="Z557"/>
      <c r="AA557"/>
      <c r="AB557"/>
      <c r="AC557"/>
      <c r="AD557"/>
    </row>
    <row r="558" spans="1:30" s="45" customFormat="1" x14ac:dyDescent="0.2">
      <c r="A558"/>
      <c r="B558"/>
      <c r="C558"/>
      <c r="D558"/>
      <c r="E558"/>
      <c r="F558"/>
      <c r="G558"/>
      <c r="H558"/>
      <c r="I558"/>
      <c r="J558"/>
      <c r="K558"/>
      <c r="L558"/>
      <c r="M558"/>
      <c r="N558"/>
      <c r="O558"/>
      <c r="P558"/>
      <c r="Q558"/>
      <c r="R558"/>
      <c r="S558"/>
      <c r="T558"/>
      <c r="U558"/>
      <c r="V558"/>
      <c r="W558"/>
      <c r="X558"/>
      <c r="Y558"/>
      <c r="Z558"/>
      <c r="AA558"/>
      <c r="AB558"/>
      <c r="AC558"/>
      <c r="AD558"/>
    </row>
    <row r="559" spans="1:30" s="45" customFormat="1" x14ac:dyDescent="0.2">
      <c r="A559"/>
      <c r="B559"/>
      <c r="C559"/>
      <c r="D559"/>
      <c r="E559"/>
      <c r="F559"/>
      <c r="G559"/>
      <c r="H559"/>
      <c r="I559"/>
      <c r="J559"/>
      <c r="K559"/>
      <c r="L559"/>
      <c r="M559"/>
      <c r="N559"/>
      <c r="O559"/>
      <c r="P559"/>
      <c r="Q559"/>
      <c r="R559"/>
      <c r="S559"/>
      <c r="T559"/>
      <c r="U559"/>
      <c r="V559"/>
      <c r="W559"/>
      <c r="X559"/>
      <c r="Y559"/>
      <c r="Z559"/>
      <c r="AA559"/>
      <c r="AB559"/>
      <c r="AC559"/>
      <c r="AD559"/>
    </row>
    <row r="560" spans="1:30" s="45" customFormat="1" x14ac:dyDescent="0.2">
      <c r="A560"/>
      <c r="B560"/>
      <c r="C560"/>
      <c r="D560"/>
      <c r="E560"/>
      <c r="F560"/>
      <c r="G560"/>
      <c r="H560"/>
      <c r="I560"/>
      <c r="J560"/>
      <c r="K560"/>
      <c r="L560"/>
      <c r="M560"/>
      <c r="N560"/>
      <c r="O560"/>
      <c r="P560"/>
      <c r="Q560"/>
      <c r="R560"/>
      <c r="S560"/>
      <c r="T560"/>
      <c r="U560"/>
      <c r="V560"/>
      <c r="W560"/>
      <c r="X560"/>
      <c r="Y560"/>
      <c r="Z560"/>
      <c r="AA560"/>
      <c r="AB560"/>
      <c r="AC560"/>
      <c r="AD560"/>
    </row>
    <row r="561" spans="1:30" s="45" customFormat="1" x14ac:dyDescent="0.2">
      <c r="A561"/>
      <c r="B561"/>
      <c r="C561"/>
      <c r="D561"/>
      <c r="E561"/>
      <c r="F561"/>
      <c r="G561"/>
      <c r="H561"/>
      <c r="I561"/>
      <c r="J561"/>
      <c r="K561"/>
      <c r="L561"/>
      <c r="M561"/>
      <c r="N561"/>
      <c r="O561"/>
      <c r="P561"/>
      <c r="Q561"/>
      <c r="R561"/>
      <c r="S561"/>
      <c r="T561"/>
      <c r="U561"/>
      <c r="V561"/>
      <c r="W561"/>
      <c r="X561"/>
      <c r="Y561"/>
      <c r="Z561"/>
      <c r="AA561"/>
      <c r="AB561"/>
      <c r="AC561"/>
      <c r="AD561"/>
    </row>
    <row r="562" spans="1:30" s="45" customFormat="1" x14ac:dyDescent="0.2">
      <c r="A562"/>
      <c r="B562"/>
      <c r="C562"/>
      <c r="D562"/>
      <c r="E562"/>
      <c r="F562"/>
      <c r="G562"/>
      <c r="H562"/>
      <c r="I562"/>
      <c r="J562"/>
      <c r="K562"/>
      <c r="L562"/>
      <c r="M562"/>
      <c r="N562"/>
      <c r="O562"/>
      <c r="P562"/>
      <c r="Q562"/>
      <c r="R562"/>
      <c r="S562"/>
      <c r="T562"/>
      <c r="U562"/>
      <c r="V562"/>
      <c r="W562"/>
      <c r="X562"/>
      <c r="Y562"/>
      <c r="Z562"/>
      <c r="AA562"/>
      <c r="AB562"/>
      <c r="AC562"/>
      <c r="AD562"/>
    </row>
    <row r="563" spans="1:30" s="45" customFormat="1" x14ac:dyDescent="0.2">
      <c r="A563"/>
      <c r="B563"/>
      <c r="C563"/>
      <c r="D563"/>
      <c r="E563"/>
      <c r="F563"/>
      <c r="G563"/>
      <c r="H563"/>
      <c r="I563"/>
      <c r="J563"/>
      <c r="K563"/>
      <c r="L563"/>
      <c r="M563"/>
      <c r="N563"/>
      <c r="O563"/>
      <c r="P563"/>
      <c r="Q563"/>
      <c r="R563"/>
      <c r="S563"/>
      <c r="T563"/>
      <c r="U563"/>
      <c r="V563"/>
      <c r="W563"/>
      <c r="X563"/>
      <c r="Y563"/>
      <c r="Z563"/>
      <c r="AA563"/>
      <c r="AB563"/>
      <c r="AC563"/>
      <c r="AD563"/>
    </row>
    <row r="564" spans="1:30" s="45" customFormat="1" x14ac:dyDescent="0.2">
      <c r="A564"/>
      <c r="B564"/>
      <c r="C564"/>
      <c r="D564"/>
      <c r="E564"/>
      <c r="F564"/>
      <c r="G564"/>
      <c r="H564"/>
      <c r="I564"/>
      <c r="J564"/>
      <c r="K564"/>
      <c r="L564"/>
      <c r="M564"/>
      <c r="N564"/>
      <c r="O564"/>
      <c r="P564"/>
      <c r="Q564"/>
      <c r="R564"/>
      <c r="S564"/>
      <c r="T564"/>
      <c r="U564"/>
      <c r="V564"/>
      <c r="W564"/>
      <c r="X564"/>
      <c r="Y564"/>
      <c r="Z564"/>
      <c r="AA564"/>
      <c r="AB564"/>
      <c r="AC564"/>
      <c r="AD564"/>
    </row>
    <row r="565" spans="1:30" s="45" customFormat="1" x14ac:dyDescent="0.2">
      <c r="A565"/>
      <c r="B565"/>
      <c r="C565"/>
      <c r="D565"/>
      <c r="E565"/>
      <c r="F565"/>
      <c r="G565"/>
      <c r="H565"/>
      <c r="I565"/>
      <c r="J565"/>
      <c r="K565"/>
      <c r="L565"/>
      <c r="M565"/>
      <c r="N565"/>
      <c r="O565"/>
      <c r="P565"/>
      <c r="Q565"/>
      <c r="R565"/>
      <c r="S565"/>
      <c r="T565"/>
      <c r="U565"/>
      <c r="V565"/>
      <c r="W565"/>
      <c r="X565"/>
      <c r="Y565"/>
      <c r="Z565"/>
      <c r="AA565"/>
      <c r="AB565"/>
      <c r="AC565"/>
      <c r="AD565"/>
    </row>
    <row r="566" spans="1:30" s="45" customFormat="1" x14ac:dyDescent="0.2">
      <c r="A566"/>
      <c r="B566"/>
      <c r="C566"/>
      <c r="D566"/>
      <c r="E566"/>
      <c r="F566"/>
      <c r="G566"/>
      <c r="H566"/>
      <c r="I566"/>
      <c r="J566"/>
      <c r="K566"/>
      <c r="L566"/>
      <c r="M566"/>
      <c r="N566"/>
      <c r="O566"/>
      <c r="P566"/>
      <c r="Q566"/>
      <c r="R566"/>
      <c r="S566"/>
      <c r="T566"/>
      <c r="U566"/>
      <c r="V566"/>
      <c r="W566"/>
      <c r="X566"/>
      <c r="Y566"/>
      <c r="Z566"/>
      <c r="AA566"/>
      <c r="AB566"/>
      <c r="AC566"/>
      <c r="AD566"/>
    </row>
    <row r="567" spans="1:30" s="45" customFormat="1" x14ac:dyDescent="0.2">
      <c r="A567"/>
      <c r="B567"/>
      <c r="C567"/>
      <c r="D567"/>
      <c r="E567"/>
      <c r="F567"/>
      <c r="G567"/>
      <c r="H567"/>
      <c r="I567"/>
      <c r="J567"/>
      <c r="K567"/>
      <c r="L567"/>
      <c r="M567"/>
      <c r="N567"/>
      <c r="O567"/>
      <c r="P567"/>
      <c r="Q567"/>
      <c r="R567"/>
      <c r="S567"/>
      <c r="T567"/>
      <c r="U567"/>
      <c r="V567"/>
      <c r="W567"/>
      <c r="X567"/>
      <c r="Y567"/>
      <c r="Z567"/>
      <c r="AA567"/>
      <c r="AB567"/>
      <c r="AC567"/>
      <c r="AD567"/>
    </row>
    <row r="568" spans="1:30" s="45" customFormat="1" x14ac:dyDescent="0.2">
      <c r="A568"/>
      <c r="B568"/>
      <c r="C568"/>
      <c r="D568"/>
      <c r="E568"/>
      <c r="F568"/>
      <c r="G568"/>
      <c r="H568"/>
      <c r="I568"/>
      <c r="J568"/>
      <c r="K568"/>
      <c r="L568"/>
      <c r="M568"/>
      <c r="N568"/>
      <c r="O568"/>
      <c r="P568"/>
      <c r="Q568"/>
      <c r="R568"/>
      <c r="S568"/>
      <c r="T568"/>
      <c r="U568"/>
      <c r="V568"/>
      <c r="W568"/>
      <c r="X568"/>
      <c r="Y568"/>
      <c r="Z568"/>
      <c r="AA568"/>
      <c r="AB568"/>
      <c r="AC568"/>
      <c r="AD568"/>
    </row>
    <row r="569" spans="1:30" s="45" customFormat="1" x14ac:dyDescent="0.2">
      <c r="A569"/>
      <c r="B569"/>
      <c r="C569"/>
      <c r="D569"/>
      <c r="E569"/>
      <c r="F569"/>
      <c r="G569"/>
      <c r="H569"/>
      <c r="I569"/>
      <c r="J569"/>
      <c r="K569"/>
      <c r="L569"/>
      <c r="M569"/>
      <c r="N569"/>
      <c r="O569"/>
      <c r="P569"/>
      <c r="Q569"/>
      <c r="R569"/>
      <c r="S569"/>
      <c r="T569"/>
      <c r="U569"/>
      <c r="V569"/>
      <c r="W569"/>
      <c r="X569"/>
      <c r="Y569"/>
      <c r="Z569"/>
      <c r="AA569"/>
      <c r="AB569"/>
      <c r="AC569"/>
      <c r="AD569"/>
    </row>
    <row r="570" spans="1:30" s="45" customFormat="1" x14ac:dyDescent="0.2">
      <c r="A570"/>
      <c r="B570"/>
      <c r="C570"/>
      <c r="D570"/>
      <c r="E570"/>
      <c r="F570"/>
      <c r="G570"/>
      <c r="H570"/>
      <c r="I570"/>
      <c r="J570"/>
      <c r="K570"/>
      <c r="L570"/>
      <c r="M570"/>
      <c r="N570"/>
      <c r="O570"/>
      <c r="P570"/>
      <c r="Q570"/>
      <c r="R570"/>
      <c r="S570"/>
      <c r="T570"/>
      <c r="U570"/>
      <c r="V570"/>
      <c r="W570"/>
      <c r="X570"/>
      <c r="Y570"/>
      <c r="Z570"/>
      <c r="AA570"/>
      <c r="AB570"/>
      <c r="AC570"/>
      <c r="AD570"/>
    </row>
    <row r="571" spans="1:30" s="45" customFormat="1" x14ac:dyDescent="0.2">
      <c r="A571"/>
      <c r="B571"/>
      <c r="C571"/>
      <c r="D571"/>
      <c r="E571"/>
      <c r="F571"/>
      <c r="G571"/>
      <c r="H571"/>
      <c r="I571"/>
      <c r="J571"/>
      <c r="K571"/>
      <c r="L571"/>
      <c r="M571"/>
      <c r="N571"/>
      <c r="O571"/>
      <c r="P571"/>
      <c r="Q571"/>
      <c r="R571"/>
      <c r="S571"/>
      <c r="T571"/>
      <c r="U571"/>
      <c r="V571"/>
      <c r="W571"/>
      <c r="X571"/>
      <c r="Y571"/>
      <c r="Z571"/>
      <c r="AA571"/>
      <c r="AB571"/>
      <c r="AC571"/>
      <c r="AD571"/>
    </row>
    <row r="572" spans="1:30" s="45" customFormat="1" x14ac:dyDescent="0.2">
      <c r="A572"/>
      <c r="B572"/>
      <c r="C572"/>
      <c r="D572"/>
      <c r="E572"/>
      <c r="F572"/>
      <c r="G572"/>
      <c r="H572"/>
      <c r="I572"/>
      <c r="J572"/>
      <c r="K572"/>
      <c r="L572"/>
      <c r="M572"/>
      <c r="N572"/>
      <c r="O572"/>
      <c r="P572"/>
      <c r="Q572"/>
      <c r="R572"/>
      <c r="S572"/>
      <c r="T572"/>
      <c r="U572"/>
      <c r="V572"/>
      <c r="W572"/>
      <c r="X572"/>
      <c r="Y572"/>
      <c r="Z572"/>
      <c r="AA572"/>
      <c r="AB572"/>
      <c r="AC572"/>
      <c r="AD572"/>
    </row>
    <row r="573" spans="1:30" s="45" customFormat="1" x14ac:dyDescent="0.2">
      <c r="A573"/>
      <c r="B573"/>
      <c r="C573"/>
      <c r="D573"/>
      <c r="E573"/>
      <c r="F573"/>
      <c r="G573"/>
      <c r="H573"/>
      <c r="I573"/>
      <c r="J573"/>
      <c r="K573"/>
      <c r="L573"/>
      <c r="M573"/>
      <c r="N573"/>
      <c r="O573"/>
      <c r="P573"/>
      <c r="Q573"/>
      <c r="R573"/>
      <c r="S573"/>
      <c r="T573"/>
      <c r="U573"/>
      <c r="V573"/>
      <c r="W573"/>
      <c r="X573"/>
      <c r="Y573"/>
      <c r="Z573"/>
      <c r="AA573"/>
      <c r="AB573"/>
      <c r="AC573"/>
      <c r="AD573"/>
    </row>
    <row r="574" spans="1:30" s="45" customFormat="1" x14ac:dyDescent="0.2">
      <c r="A574"/>
      <c r="B574"/>
      <c r="C574"/>
      <c r="D574"/>
      <c r="E574"/>
      <c r="F574"/>
      <c r="G574"/>
      <c r="H574"/>
      <c r="I574"/>
      <c r="J574"/>
      <c r="K574"/>
      <c r="L574"/>
      <c r="M574"/>
      <c r="N574"/>
      <c r="O574"/>
      <c r="P574"/>
      <c r="Q574"/>
      <c r="R574"/>
      <c r="S574"/>
      <c r="T574"/>
      <c r="U574"/>
      <c r="V574"/>
      <c r="W574"/>
      <c r="X574"/>
      <c r="Y574"/>
      <c r="Z574"/>
      <c r="AA574"/>
      <c r="AB574"/>
      <c r="AC574"/>
      <c r="AD574"/>
    </row>
    <row r="575" spans="1:30" s="45" customFormat="1" x14ac:dyDescent="0.2">
      <c r="A575"/>
      <c r="B575"/>
      <c r="C575"/>
      <c r="D575"/>
      <c r="E575"/>
      <c r="F575"/>
      <c r="G575"/>
      <c r="H575"/>
      <c r="I575"/>
      <c r="J575"/>
      <c r="K575"/>
      <c r="L575"/>
      <c r="M575"/>
      <c r="N575"/>
      <c r="O575"/>
      <c r="P575"/>
      <c r="Q575"/>
      <c r="R575"/>
      <c r="S575"/>
      <c r="T575"/>
      <c r="U575"/>
      <c r="V575"/>
      <c r="W575"/>
      <c r="X575"/>
      <c r="Y575"/>
      <c r="Z575"/>
      <c r="AA575"/>
      <c r="AB575"/>
      <c r="AC575"/>
      <c r="AD575"/>
    </row>
    <row r="576" spans="1:30" s="45" customFormat="1" x14ac:dyDescent="0.2">
      <c r="A576"/>
      <c r="B576"/>
      <c r="C576"/>
      <c r="D576"/>
      <c r="E576"/>
      <c r="F576"/>
      <c r="G576"/>
      <c r="H576"/>
      <c r="I576"/>
      <c r="J576"/>
      <c r="K576"/>
      <c r="L576"/>
      <c r="M576"/>
      <c r="N576"/>
      <c r="O576"/>
      <c r="P576"/>
      <c r="Q576"/>
      <c r="R576"/>
      <c r="S576"/>
      <c r="T576"/>
      <c r="U576"/>
      <c r="V576"/>
      <c r="W576"/>
      <c r="X576"/>
      <c r="Y576"/>
      <c r="Z576"/>
      <c r="AA576"/>
      <c r="AB576"/>
      <c r="AC576"/>
      <c r="AD576"/>
    </row>
    <row r="577" spans="1:30" s="45" customFormat="1" x14ac:dyDescent="0.2">
      <c r="A577"/>
      <c r="B577"/>
      <c r="C577"/>
      <c r="D577"/>
      <c r="E577"/>
      <c r="F577"/>
      <c r="G577"/>
      <c r="H577"/>
      <c r="I577"/>
      <c r="J577"/>
      <c r="K577"/>
      <c r="L577"/>
      <c r="M577"/>
      <c r="N577"/>
      <c r="O577"/>
      <c r="P577"/>
      <c r="Q577"/>
      <c r="R577"/>
      <c r="S577"/>
      <c r="T577"/>
      <c r="U577"/>
      <c r="V577"/>
      <c r="W577"/>
      <c r="X577"/>
      <c r="Y577"/>
      <c r="Z577"/>
      <c r="AA577"/>
      <c r="AB577"/>
      <c r="AC577"/>
      <c r="AD577"/>
    </row>
    <row r="578" spans="1:30" s="45" customFormat="1" x14ac:dyDescent="0.2">
      <c r="A578"/>
      <c r="B578"/>
      <c r="C578"/>
      <c r="D578"/>
      <c r="E578"/>
      <c r="F578"/>
      <c r="G578"/>
      <c r="H578"/>
      <c r="I578"/>
      <c r="J578"/>
      <c r="K578"/>
      <c r="L578"/>
      <c r="M578"/>
      <c r="N578"/>
      <c r="O578"/>
      <c r="P578"/>
      <c r="Q578"/>
      <c r="R578"/>
      <c r="S578"/>
      <c r="T578"/>
      <c r="U578"/>
      <c r="V578"/>
      <c r="W578"/>
      <c r="X578"/>
      <c r="Y578"/>
      <c r="Z578"/>
      <c r="AA578"/>
      <c r="AB578"/>
      <c r="AC578"/>
      <c r="AD578"/>
    </row>
    <row r="579" spans="1:30" s="45" customFormat="1" x14ac:dyDescent="0.2">
      <c r="A579"/>
      <c r="B579"/>
      <c r="C579"/>
      <c r="D579"/>
      <c r="E579"/>
      <c r="F579"/>
      <c r="G579"/>
      <c r="H579"/>
      <c r="I579"/>
      <c r="J579"/>
      <c r="K579"/>
      <c r="L579"/>
      <c r="M579"/>
      <c r="N579"/>
      <c r="O579"/>
      <c r="P579"/>
      <c r="Q579"/>
      <c r="R579"/>
      <c r="S579"/>
      <c r="T579"/>
      <c r="U579"/>
      <c r="V579"/>
      <c r="W579"/>
      <c r="X579"/>
      <c r="Y579"/>
      <c r="Z579"/>
      <c r="AA579"/>
      <c r="AB579"/>
      <c r="AC579"/>
      <c r="AD579"/>
    </row>
    <row r="580" spans="1:30" s="45" customFormat="1" x14ac:dyDescent="0.2">
      <c r="A580"/>
      <c r="B580"/>
      <c r="C580"/>
      <c r="D580"/>
      <c r="E580"/>
      <c r="F580"/>
      <c r="G580"/>
      <c r="H580"/>
      <c r="I580"/>
      <c r="J580"/>
      <c r="K580"/>
      <c r="L580"/>
      <c r="M580"/>
      <c r="N580"/>
      <c r="O580"/>
      <c r="P580"/>
      <c r="Q580"/>
      <c r="R580"/>
      <c r="S580"/>
      <c r="T580"/>
      <c r="U580"/>
      <c r="V580"/>
      <c r="W580"/>
      <c r="X580"/>
      <c r="Y580"/>
      <c r="Z580"/>
      <c r="AA580"/>
      <c r="AB580"/>
      <c r="AC580"/>
      <c r="AD580"/>
    </row>
    <row r="581" spans="1:30" s="45" customFormat="1" x14ac:dyDescent="0.2">
      <c r="A581"/>
      <c r="B581"/>
      <c r="C581"/>
      <c r="D581"/>
      <c r="E581"/>
      <c r="F581"/>
      <c r="G581"/>
      <c r="H581"/>
      <c r="I581"/>
      <c r="J581"/>
      <c r="K581"/>
      <c r="L581"/>
      <c r="M581"/>
      <c r="N581"/>
      <c r="O581"/>
      <c r="P581"/>
      <c r="Q581"/>
      <c r="R581"/>
      <c r="S581"/>
      <c r="T581"/>
      <c r="U581"/>
      <c r="V581"/>
      <c r="W581"/>
      <c r="X581"/>
      <c r="Y581"/>
      <c r="Z581"/>
      <c r="AA581"/>
      <c r="AB581"/>
      <c r="AC581"/>
      <c r="AD581"/>
    </row>
    <row r="582" spans="1:30" s="45" customFormat="1" x14ac:dyDescent="0.2">
      <c r="A582"/>
      <c r="B582"/>
      <c r="C582"/>
      <c r="D582"/>
      <c r="E582"/>
      <c r="F582"/>
      <c r="G582"/>
      <c r="H582"/>
      <c r="I582"/>
      <c r="J582"/>
      <c r="K582"/>
      <c r="L582"/>
      <c r="M582"/>
      <c r="N582"/>
      <c r="O582"/>
      <c r="P582"/>
      <c r="Q582"/>
      <c r="R582"/>
      <c r="S582"/>
      <c r="T582"/>
      <c r="U582"/>
      <c r="V582"/>
      <c r="W582"/>
      <c r="X582"/>
      <c r="Y582"/>
      <c r="Z582"/>
      <c r="AA582"/>
      <c r="AB582"/>
      <c r="AC582"/>
      <c r="AD582"/>
    </row>
    <row r="583" spans="1:30" s="45" customFormat="1" x14ac:dyDescent="0.2">
      <c r="A583"/>
      <c r="B583"/>
      <c r="C583"/>
      <c r="D583"/>
      <c r="E583"/>
      <c r="F583"/>
      <c r="G583"/>
      <c r="H583"/>
      <c r="I583"/>
      <c r="J583"/>
      <c r="K583"/>
      <c r="L583"/>
      <c r="M583"/>
      <c r="N583"/>
      <c r="O583"/>
      <c r="P583"/>
      <c r="Q583"/>
      <c r="R583"/>
      <c r="S583"/>
      <c r="T583"/>
      <c r="U583"/>
      <c r="V583"/>
      <c r="W583"/>
      <c r="X583"/>
      <c r="Y583"/>
      <c r="Z583"/>
      <c r="AA583"/>
      <c r="AB583"/>
      <c r="AC583"/>
      <c r="AD583"/>
    </row>
    <row r="584" spans="1:30" s="45" customFormat="1" x14ac:dyDescent="0.2">
      <c r="A584"/>
      <c r="B584"/>
      <c r="C584"/>
      <c r="D584"/>
      <c r="E584"/>
      <c r="F584"/>
      <c r="G584"/>
      <c r="H584"/>
      <c r="I584"/>
      <c r="J584"/>
      <c r="K584"/>
      <c r="L584"/>
      <c r="M584"/>
      <c r="N584"/>
      <c r="O584"/>
      <c r="P584"/>
      <c r="Q584"/>
      <c r="R584"/>
      <c r="S584"/>
      <c r="T584"/>
      <c r="U584"/>
      <c r="V584"/>
      <c r="W584"/>
      <c r="X584"/>
      <c r="Y584"/>
      <c r="Z584"/>
      <c r="AA584"/>
      <c r="AB584"/>
      <c r="AC584"/>
      <c r="AD584"/>
    </row>
    <row r="585" spans="1:30" s="45" customFormat="1" x14ac:dyDescent="0.2">
      <c r="A585"/>
      <c r="B585"/>
      <c r="C585"/>
      <c r="D585"/>
      <c r="E585"/>
      <c r="F585"/>
      <c r="G585"/>
      <c r="H585"/>
      <c r="I585"/>
      <c r="J585"/>
      <c r="K585"/>
      <c r="L585"/>
      <c r="M585"/>
      <c r="N585"/>
      <c r="O585"/>
      <c r="P585"/>
      <c r="Q585"/>
      <c r="R585"/>
      <c r="S585"/>
      <c r="T585"/>
      <c r="U585"/>
      <c r="V585"/>
      <c r="W585"/>
      <c r="X585"/>
      <c r="Y585"/>
      <c r="Z585"/>
      <c r="AA585"/>
      <c r="AB585"/>
      <c r="AC585"/>
      <c r="AD585"/>
    </row>
    <row r="586" spans="1:30" s="45" customFormat="1" x14ac:dyDescent="0.2">
      <c r="A586"/>
      <c r="B586"/>
      <c r="C586"/>
      <c r="D586"/>
      <c r="E586"/>
      <c r="F586"/>
      <c r="G586"/>
      <c r="H586"/>
      <c r="I586"/>
      <c r="J586"/>
      <c r="K586"/>
      <c r="L586"/>
      <c r="M586"/>
      <c r="N586"/>
      <c r="O586"/>
      <c r="P586"/>
      <c r="Q586"/>
      <c r="R586"/>
      <c r="S586"/>
      <c r="T586"/>
      <c r="U586"/>
      <c r="V586"/>
      <c r="W586"/>
      <c r="X586"/>
      <c r="Y586"/>
      <c r="Z586"/>
      <c r="AA586"/>
      <c r="AB586"/>
      <c r="AC586"/>
      <c r="AD586"/>
    </row>
    <row r="587" spans="1:30" s="45" customFormat="1" x14ac:dyDescent="0.2">
      <c r="A587"/>
      <c r="B587"/>
      <c r="C587"/>
      <c r="D587"/>
      <c r="E587"/>
      <c r="F587"/>
      <c r="G587"/>
      <c r="H587"/>
      <c r="I587"/>
      <c r="J587"/>
      <c r="K587"/>
      <c r="L587"/>
      <c r="M587"/>
      <c r="N587"/>
      <c r="O587"/>
      <c r="P587"/>
      <c r="Q587"/>
      <c r="R587"/>
      <c r="S587"/>
      <c r="T587"/>
      <c r="U587"/>
      <c r="V587"/>
      <c r="W587"/>
      <c r="X587"/>
      <c r="Y587"/>
      <c r="Z587"/>
      <c r="AA587"/>
      <c r="AB587"/>
      <c r="AC587"/>
      <c r="AD587"/>
    </row>
    <row r="588" spans="1:30" s="45" customFormat="1" x14ac:dyDescent="0.2">
      <c r="A588"/>
      <c r="B588"/>
      <c r="C588"/>
      <c r="D588"/>
      <c r="E588"/>
      <c r="F588"/>
      <c r="G588"/>
      <c r="H588"/>
      <c r="I588"/>
      <c r="J588"/>
      <c r="K588"/>
      <c r="L588"/>
      <c r="M588"/>
      <c r="N588"/>
      <c r="O588"/>
      <c r="P588"/>
      <c r="Q588"/>
      <c r="R588"/>
      <c r="S588"/>
      <c r="T588"/>
      <c r="U588"/>
      <c r="V588"/>
      <c r="W588"/>
      <c r="X588"/>
      <c r="Y588"/>
      <c r="Z588"/>
      <c r="AA588"/>
      <c r="AB588"/>
      <c r="AC588"/>
      <c r="AD588"/>
    </row>
    <row r="589" spans="1:30" s="45" customFormat="1" x14ac:dyDescent="0.2">
      <c r="A589"/>
      <c r="B589"/>
      <c r="C589"/>
      <c r="D589"/>
      <c r="E589"/>
      <c r="F589"/>
      <c r="G589"/>
      <c r="H589"/>
      <c r="I589"/>
      <c r="J589"/>
      <c r="K589"/>
      <c r="L589"/>
      <c r="M589"/>
      <c r="N589"/>
      <c r="O589"/>
      <c r="P589"/>
      <c r="Q589"/>
      <c r="R589"/>
      <c r="S589"/>
      <c r="T589"/>
      <c r="U589"/>
      <c r="V589"/>
      <c r="W589"/>
      <c r="X589"/>
      <c r="Y589"/>
      <c r="Z589"/>
      <c r="AA589"/>
      <c r="AB589"/>
      <c r="AC589"/>
      <c r="AD589"/>
    </row>
    <row r="590" spans="1:30" s="45" customFormat="1" x14ac:dyDescent="0.2">
      <c r="A590"/>
      <c r="B590"/>
      <c r="C590"/>
      <c r="D590"/>
      <c r="E590"/>
      <c r="F590"/>
      <c r="G590"/>
      <c r="H590"/>
      <c r="I590"/>
      <c r="J590"/>
      <c r="K590"/>
      <c r="L590"/>
      <c r="M590"/>
      <c r="N590"/>
      <c r="O590"/>
      <c r="P590"/>
      <c r="Q590"/>
      <c r="R590"/>
      <c r="S590"/>
      <c r="T590"/>
      <c r="U590"/>
      <c r="V590"/>
      <c r="W590"/>
      <c r="X590"/>
      <c r="Y590"/>
      <c r="Z590"/>
      <c r="AA590"/>
      <c r="AB590"/>
      <c r="AC590"/>
      <c r="AD590"/>
    </row>
    <row r="591" spans="1:30" s="45" customFormat="1" x14ac:dyDescent="0.2">
      <c r="A591"/>
      <c r="B591"/>
      <c r="C591"/>
      <c r="D591"/>
      <c r="E591"/>
      <c r="F591"/>
      <c r="G591"/>
      <c r="H591"/>
      <c r="I591"/>
      <c r="J591"/>
      <c r="K591"/>
      <c r="L591"/>
      <c r="M591"/>
      <c r="N591"/>
      <c r="O591"/>
      <c r="P591"/>
      <c r="Q591"/>
      <c r="R591"/>
      <c r="S591"/>
      <c r="T591"/>
      <c r="U591"/>
      <c r="V591"/>
      <c r="W591"/>
      <c r="X591"/>
      <c r="Y591"/>
      <c r="Z591"/>
      <c r="AA591"/>
      <c r="AB591"/>
      <c r="AC591"/>
      <c r="AD591"/>
    </row>
    <row r="592" spans="1:30" s="45" customFormat="1" x14ac:dyDescent="0.2">
      <c r="A592"/>
      <c r="B592"/>
      <c r="C592"/>
      <c r="D592"/>
      <c r="E592"/>
      <c r="F592"/>
      <c r="G592"/>
      <c r="H592"/>
      <c r="I592"/>
      <c r="J592"/>
      <c r="K592"/>
      <c r="L592"/>
      <c r="M592"/>
      <c r="N592"/>
      <c r="O592"/>
      <c r="P592"/>
      <c r="Q592"/>
      <c r="R592"/>
      <c r="S592"/>
      <c r="T592"/>
      <c r="U592"/>
      <c r="V592"/>
      <c r="W592"/>
      <c r="X592"/>
      <c r="Y592"/>
      <c r="Z592"/>
      <c r="AA592"/>
      <c r="AB592"/>
      <c r="AC592"/>
      <c r="AD592"/>
    </row>
    <row r="593" spans="1:30" s="45" customFormat="1" x14ac:dyDescent="0.2">
      <c r="A593"/>
      <c r="B593"/>
      <c r="C593"/>
      <c r="D593"/>
      <c r="E593"/>
      <c r="F593"/>
      <c r="G593"/>
      <c r="H593"/>
      <c r="I593"/>
      <c r="J593"/>
      <c r="K593"/>
      <c r="L593"/>
      <c r="M593"/>
      <c r="N593"/>
      <c r="O593"/>
      <c r="P593"/>
      <c r="Q593"/>
      <c r="R593"/>
      <c r="S593"/>
      <c r="T593"/>
      <c r="U593"/>
      <c r="V593"/>
      <c r="W593"/>
      <c r="X593"/>
      <c r="Y593"/>
      <c r="Z593"/>
      <c r="AA593"/>
      <c r="AB593"/>
      <c r="AC593"/>
      <c r="AD593"/>
    </row>
    <row r="594" spans="1:30" s="45" customFormat="1" x14ac:dyDescent="0.2">
      <c r="A594"/>
      <c r="B594"/>
      <c r="C594"/>
      <c r="D594"/>
      <c r="E594"/>
      <c r="F594"/>
      <c r="G594"/>
      <c r="H594"/>
      <c r="I594"/>
      <c r="J594"/>
      <c r="K594"/>
      <c r="L594"/>
      <c r="M594"/>
      <c r="N594"/>
      <c r="O594"/>
      <c r="P594"/>
      <c r="Q594"/>
      <c r="R594"/>
      <c r="S594"/>
      <c r="T594"/>
      <c r="U594"/>
      <c r="V594"/>
      <c r="W594"/>
      <c r="X594"/>
      <c r="Y594"/>
      <c r="Z594"/>
      <c r="AA594"/>
      <c r="AB594"/>
      <c r="AC594"/>
      <c r="AD594"/>
    </row>
    <row r="595" spans="1:30" s="45" customFormat="1" x14ac:dyDescent="0.2">
      <c r="A595"/>
      <c r="B595"/>
      <c r="C595"/>
      <c r="D595"/>
      <c r="E595"/>
      <c r="F595"/>
      <c r="G595"/>
      <c r="H595"/>
      <c r="I595"/>
      <c r="J595"/>
      <c r="K595"/>
      <c r="L595"/>
      <c r="M595"/>
      <c r="N595"/>
      <c r="O595"/>
      <c r="P595"/>
      <c r="Q595"/>
      <c r="R595"/>
      <c r="S595"/>
      <c r="T595"/>
      <c r="U595"/>
      <c r="V595"/>
      <c r="W595"/>
      <c r="X595"/>
      <c r="Y595"/>
      <c r="Z595"/>
      <c r="AA595"/>
      <c r="AB595"/>
      <c r="AC595"/>
      <c r="AD595"/>
    </row>
    <row r="596" spans="1:30" s="45" customFormat="1" x14ac:dyDescent="0.2">
      <c r="A596"/>
      <c r="B596"/>
      <c r="C596"/>
      <c r="D596"/>
      <c r="E596"/>
      <c r="F596"/>
      <c r="G596"/>
      <c r="H596"/>
      <c r="I596"/>
      <c r="J596"/>
      <c r="K596"/>
      <c r="L596"/>
      <c r="M596"/>
      <c r="N596"/>
      <c r="O596"/>
      <c r="P596"/>
      <c r="Q596"/>
      <c r="R596"/>
      <c r="S596"/>
      <c r="T596"/>
      <c r="U596"/>
      <c r="V596"/>
      <c r="W596"/>
      <c r="X596"/>
      <c r="Y596"/>
      <c r="Z596"/>
      <c r="AA596"/>
      <c r="AB596"/>
      <c r="AC596"/>
      <c r="AD596"/>
    </row>
    <row r="597" spans="1:30" s="45" customFormat="1" x14ac:dyDescent="0.2">
      <c r="A597"/>
      <c r="B597"/>
      <c r="C597"/>
      <c r="D597"/>
      <c r="E597"/>
      <c r="F597"/>
      <c r="G597"/>
      <c r="H597"/>
      <c r="I597"/>
      <c r="J597"/>
      <c r="K597"/>
      <c r="L597"/>
      <c r="M597"/>
      <c r="N597"/>
      <c r="O597"/>
      <c r="P597"/>
      <c r="Q597"/>
      <c r="R597"/>
      <c r="S597"/>
      <c r="T597"/>
      <c r="U597"/>
      <c r="V597"/>
      <c r="W597"/>
      <c r="X597"/>
      <c r="Y597"/>
      <c r="Z597"/>
      <c r="AA597"/>
      <c r="AB597"/>
      <c r="AC597"/>
      <c r="AD597"/>
    </row>
    <row r="598" spans="1:30" s="45" customFormat="1" x14ac:dyDescent="0.2">
      <c r="A598"/>
      <c r="B598"/>
      <c r="C598"/>
      <c r="D598"/>
      <c r="E598"/>
      <c r="F598"/>
      <c r="G598"/>
      <c r="H598"/>
      <c r="I598"/>
      <c r="J598"/>
      <c r="K598"/>
      <c r="L598"/>
      <c r="M598"/>
      <c r="N598"/>
      <c r="O598"/>
      <c r="P598"/>
      <c r="Q598"/>
      <c r="R598"/>
      <c r="S598"/>
      <c r="T598"/>
      <c r="U598"/>
      <c r="V598"/>
      <c r="W598"/>
      <c r="X598"/>
      <c r="Y598"/>
      <c r="Z598"/>
      <c r="AA598"/>
      <c r="AB598"/>
      <c r="AC598"/>
      <c r="AD598"/>
    </row>
    <row r="599" spans="1:30" s="45" customFormat="1" x14ac:dyDescent="0.2">
      <c r="A599"/>
      <c r="B599"/>
      <c r="C599"/>
      <c r="D599"/>
      <c r="E599"/>
      <c r="F599"/>
      <c r="G599"/>
      <c r="H599"/>
      <c r="I599"/>
      <c r="J599"/>
      <c r="K599"/>
      <c r="L599"/>
      <c r="M599"/>
      <c r="N599"/>
      <c r="O599"/>
      <c r="P599"/>
      <c r="Q599"/>
      <c r="R599"/>
      <c r="S599"/>
      <c r="T599"/>
      <c r="U599"/>
      <c r="V599"/>
      <c r="W599"/>
      <c r="X599"/>
      <c r="Y599"/>
      <c r="Z599"/>
      <c r="AA599"/>
      <c r="AB599"/>
      <c r="AC599"/>
      <c r="AD599"/>
    </row>
    <row r="600" spans="1:30" s="45" customFormat="1" x14ac:dyDescent="0.2">
      <c r="A600"/>
      <c r="B600"/>
      <c r="C600"/>
      <c r="D600"/>
      <c r="E600"/>
      <c r="F600"/>
      <c r="G600"/>
      <c r="H600"/>
      <c r="I600"/>
      <c r="J600"/>
      <c r="K600"/>
      <c r="L600"/>
      <c r="M600"/>
      <c r="N600"/>
      <c r="O600"/>
      <c r="P600"/>
      <c r="Q600"/>
      <c r="R600"/>
      <c r="S600"/>
      <c r="T600"/>
      <c r="U600"/>
      <c r="V600"/>
      <c r="W600"/>
      <c r="X600"/>
      <c r="Y600"/>
      <c r="Z600"/>
      <c r="AA600"/>
      <c r="AB600"/>
      <c r="AC600"/>
      <c r="AD600"/>
    </row>
    <row r="601" spans="1:30" s="45" customFormat="1" x14ac:dyDescent="0.2">
      <c r="A601"/>
      <c r="B601"/>
      <c r="C601"/>
      <c r="D601"/>
      <c r="E601"/>
      <c r="F601"/>
      <c r="G601"/>
      <c r="H601"/>
      <c r="I601"/>
      <c r="J601"/>
      <c r="K601"/>
      <c r="L601"/>
      <c r="M601"/>
      <c r="N601"/>
      <c r="O601"/>
      <c r="P601"/>
      <c r="Q601"/>
      <c r="R601"/>
      <c r="S601"/>
      <c r="T601"/>
      <c r="U601"/>
      <c r="V601"/>
      <c r="W601"/>
      <c r="X601"/>
      <c r="Y601"/>
      <c r="Z601"/>
      <c r="AA601"/>
      <c r="AB601"/>
      <c r="AC601"/>
      <c r="AD601"/>
    </row>
    <row r="602" spans="1:30" s="45" customFormat="1" x14ac:dyDescent="0.2">
      <c r="A602"/>
      <c r="B602"/>
      <c r="C602"/>
      <c r="D602"/>
      <c r="E602"/>
      <c r="F602"/>
      <c r="G602"/>
      <c r="H602"/>
      <c r="I602"/>
      <c r="J602"/>
      <c r="K602"/>
      <c r="L602"/>
      <c r="M602"/>
      <c r="N602"/>
      <c r="O602"/>
      <c r="P602"/>
      <c r="Q602"/>
      <c r="R602"/>
      <c r="S602"/>
      <c r="T602"/>
      <c r="U602"/>
      <c r="V602"/>
      <c r="W602"/>
      <c r="X602"/>
      <c r="Y602"/>
      <c r="Z602"/>
      <c r="AA602"/>
      <c r="AB602"/>
      <c r="AC602"/>
      <c r="AD602"/>
    </row>
    <row r="603" spans="1:30" x14ac:dyDescent="0.2">
      <c r="A603"/>
      <c r="B603"/>
      <c r="C603"/>
    </row>
  </sheetData>
  <sheetProtection algorithmName="SHA-512" hashValue="VsrKlRWsTd+XAegR1IlquwznKg6F5If3v+tunE2er5FVIC6mVCVTWzIGxurt9zm3wx2mR8adxJlIosC8mq8Gqw==" saltValue="CSzYHjjM7MfX/oHgNyfd6A==" spinCount="100000" sheet="1" scenarios="1"/>
  <mergeCells count="6">
    <mergeCell ref="R2:S2"/>
    <mergeCell ref="D2:E2"/>
    <mergeCell ref="G2:H2"/>
    <mergeCell ref="I2:J2"/>
    <mergeCell ref="M2:N2"/>
    <mergeCell ref="P2:Q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F12"/>
  <sheetViews>
    <sheetView workbookViewId="0">
      <selection activeCell="P1" sqref="P1"/>
    </sheetView>
  </sheetViews>
  <sheetFormatPr defaultRowHeight="12.75" x14ac:dyDescent="0.2"/>
  <cols>
    <col min="1" max="1" width="17" customWidth="1"/>
    <col min="2" max="2" width="19.7109375" customWidth="1"/>
    <col min="3" max="3" width="18.85546875" customWidth="1"/>
  </cols>
  <sheetData>
    <row r="1" spans="1:6" ht="21" x14ac:dyDescent="0.35">
      <c r="A1" s="31" t="s">
        <v>105</v>
      </c>
    </row>
    <row r="2" spans="1:6" ht="15.75" x14ac:dyDescent="0.25">
      <c r="A2" t="s">
        <v>128</v>
      </c>
      <c r="B2" s="80" t="s">
        <v>28</v>
      </c>
      <c r="C2" s="80" t="s">
        <v>109</v>
      </c>
      <c r="D2" s="79"/>
      <c r="E2" s="79" t="s">
        <v>29</v>
      </c>
      <c r="F2" t="s">
        <v>180</v>
      </c>
    </row>
    <row r="3" spans="1:6" x14ac:dyDescent="0.2">
      <c r="A3" s="39" t="s">
        <v>132</v>
      </c>
      <c r="B3" s="13">
        <v>656</v>
      </c>
      <c r="C3" s="13">
        <v>1</v>
      </c>
      <c r="D3" s="13"/>
      <c r="E3" s="13">
        <f>B3+C3</f>
        <v>657</v>
      </c>
      <c r="F3" t="s">
        <v>181</v>
      </c>
    </row>
    <row r="4" spans="1:6" x14ac:dyDescent="0.2">
      <c r="A4" s="39" t="s">
        <v>133</v>
      </c>
      <c r="B4" s="13">
        <v>725</v>
      </c>
      <c r="C4" s="13">
        <v>11485</v>
      </c>
      <c r="D4" s="13"/>
      <c r="E4" s="13">
        <f>B4+C4</f>
        <v>12210</v>
      </c>
      <c r="F4" t="s">
        <v>182</v>
      </c>
    </row>
    <row r="5" spans="1:6" x14ac:dyDescent="0.2">
      <c r="A5" s="39" t="s">
        <v>134</v>
      </c>
      <c r="B5" s="13">
        <v>4019</v>
      </c>
      <c r="C5" s="13">
        <v>39082</v>
      </c>
      <c r="D5" s="13"/>
      <c r="E5" s="13">
        <f>B5+C5</f>
        <v>43101</v>
      </c>
      <c r="F5" t="s">
        <v>232</v>
      </c>
    </row>
    <row r="7" spans="1:6" ht="15.75" x14ac:dyDescent="0.25">
      <c r="A7" s="79" t="s">
        <v>65</v>
      </c>
    </row>
    <row r="8" spans="1:6" x14ac:dyDescent="0.2">
      <c r="A8" s="39" t="s">
        <v>132</v>
      </c>
      <c r="B8" s="13">
        <v>656</v>
      </c>
      <c r="C8" s="13">
        <v>1</v>
      </c>
    </row>
    <row r="9" spans="1:6" x14ac:dyDescent="0.2">
      <c r="A9" s="39" t="s">
        <v>133</v>
      </c>
      <c r="B9" s="13">
        <v>725</v>
      </c>
      <c r="C9" s="13">
        <v>11500</v>
      </c>
    </row>
    <row r="10" spans="1:6" x14ac:dyDescent="0.2">
      <c r="A10" s="39" t="s">
        <v>134</v>
      </c>
      <c r="B10" s="13">
        <v>4000</v>
      </c>
      <c r="C10" s="13">
        <v>39000</v>
      </c>
    </row>
    <row r="12" spans="1:6" ht="21" x14ac:dyDescent="0.35">
      <c r="F12" s="31"/>
    </row>
  </sheetData>
  <sheetProtection algorithmName="SHA-512" hashValue="ZPXNUG7NR6YLS8X5pFGCHObdX7WP/AWlMiVeD4AxQOhlshldpVZMrkocsOhsAOwzkyhqPUcc+/E31Td98w5vZw==" saltValue="UGqSk34f1g0PXT1ZzlSdMQ==" spinCount="100000" sheet="1" scenarios="1"/>
  <pageMargins left="0.7" right="0.7" top="0.75" bottom="0.75" header="0.3" footer="0.3"/>
  <pageSetup scale="71" orientation="landscape" r:id="rId1"/>
  <headerFooter>
    <oddFooter>&amp;L&amp;Z&amp;F &amp;R&amp;D &amp;T</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sheetPr>
  <dimension ref="A1:W126"/>
  <sheetViews>
    <sheetView workbookViewId="0">
      <selection activeCell="J57" sqref="J57"/>
    </sheetView>
  </sheetViews>
  <sheetFormatPr defaultRowHeight="12.75" x14ac:dyDescent="0.2"/>
  <cols>
    <col min="2" max="2" width="14.5703125" customWidth="1"/>
    <col min="3" max="3" width="13.140625" customWidth="1"/>
    <col min="4" max="4" width="12" customWidth="1"/>
    <col min="5" max="5" width="13.28515625" customWidth="1"/>
    <col min="6" max="6" width="14.28515625" customWidth="1"/>
    <col min="7" max="7" width="16" customWidth="1"/>
    <col min="8" max="8" width="13.28515625" customWidth="1"/>
    <col min="9" max="10" width="15" customWidth="1"/>
    <col min="11" max="11" width="13.7109375" customWidth="1"/>
    <col min="12" max="13" width="11.42578125" customWidth="1"/>
    <col min="14" max="15" width="14.7109375" customWidth="1"/>
    <col min="16" max="16" width="13.42578125" customWidth="1"/>
    <col min="17" max="17" width="11.140625" customWidth="1"/>
    <col min="18" max="18" width="12.140625" customWidth="1"/>
    <col min="19" max="20" width="9.140625" style="45"/>
    <col min="21" max="21" width="11.28515625" style="45" customWidth="1"/>
    <col min="22" max="22" width="10" customWidth="1"/>
  </cols>
  <sheetData>
    <row r="1" spans="1:21" ht="25.5" customHeight="1" x14ac:dyDescent="0.25">
      <c r="A1" s="79" t="s">
        <v>259</v>
      </c>
      <c r="K1" s="79" t="s">
        <v>258</v>
      </c>
    </row>
    <row r="2" spans="1:21" ht="21" x14ac:dyDescent="0.35">
      <c r="A2" s="543" t="s">
        <v>238</v>
      </c>
      <c r="I2" s="530"/>
      <c r="J2" s="530"/>
      <c r="Q2" s="45"/>
      <c r="U2"/>
    </row>
    <row r="3" spans="1:21" ht="21" customHeight="1" x14ac:dyDescent="0.3">
      <c r="A3" s="94"/>
      <c r="C3" s="648" t="s">
        <v>236</v>
      </c>
      <c r="D3" s="648"/>
      <c r="E3" s="648"/>
      <c r="F3" s="648"/>
      <c r="G3" s="648"/>
      <c r="H3" s="648"/>
      <c r="I3" s="648"/>
      <c r="J3" s="577"/>
      <c r="N3" s="649" t="s">
        <v>248</v>
      </c>
      <c r="O3" s="649"/>
      <c r="Q3" s="45"/>
      <c r="U3"/>
    </row>
    <row r="4" spans="1:21" ht="105.75" customHeight="1" x14ac:dyDescent="0.2">
      <c r="B4" s="554" t="s">
        <v>72</v>
      </c>
      <c r="C4" s="555" t="s">
        <v>237</v>
      </c>
      <c r="D4" s="555" t="s">
        <v>239</v>
      </c>
      <c r="E4" s="556" t="s">
        <v>240</v>
      </c>
      <c r="F4" s="555" t="s">
        <v>242</v>
      </c>
      <c r="G4" s="556" t="s">
        <v>243</v>
      </c>
      <c r="H4" s="556" t="s">
        <v>244</v>
      </c>
      <c r="I4" s="555" t="s">
        <v>245</v>
      </c>
      <c r="J4" s="531" t="s">
        <v>256</v>
      </c>
      <c r="K4" s="531" t="s">
        <v>255</v>
      </c>
      <c r="M4" s="89" t="s">
        <v>72</v>
      </c>
      <c r="N4" s="547" t="s">
        <v>254</v>
      </c>
      <c r="O4" s="532" t="s">
        <v>260</v>
      </c>
      <c r="S4"/>
      <c r="T4"/>
      <c r="U4"/>
    </row>
    <row r="5" spans="1:21" x14ac:dyDescent="0.2">
      <c r="B5" s="551" t="s">
        <v>0</v>
      </c>
      <c r="C5" s="560">
        <v>33000</v>
      </c>
      <c r="D5" s="561">
        <v>91900</v>
      </c>
      <c r="E5" s="553">
        <v>2400</v>
      </c>
      <c r="F5" s="552">
        <f>D5-E5</f>
        <v>89500</v>
      </c>
      <c r="G5" s="553">
        <f t="shared" ref="G5:G28" si="0">((0.23*C5)+(0.77*E5))</f>
        <v>9438</v>
      </c>
      <c r="H5" s="553">
        <f>G5-E5</f>
        <v>7038</v>
      </c>
      <c r="I5" s="552">
        <f t="shared" ref="I5:I28" si="1">F5-H5</f>
        <v>82462</v>
      </c>
      <c r="J5" s="575">
        <f>H5/E5</f>
        <v>2.9325000000000001</v>
      </c>
      <c r="K5" s="576">
        <f>I5/G5</f>
        <v>8.7372324645051922</v>
      </c>
      <c r="M5" s="551" t="s">
        <v>0</v>
      </c>
      <c r="N5" s="313">
        <v>945000</v>
      </c>
      <c r="O5" s="534">
        <f>N5-F5</f>
        <v>855500</v>
      </c>
      <c r="S5" s="536"/>
      <c r="T5"/>
      <c r="U5"/>
    </row>
    <row r="6" spans="1:21" x14ac:dyDescent="0.2">
      <c r="B6" s="533" t="s">
        <v>1</v>
      </c>
      <c r="C6" s="562">
        <v>0.62</v>
      </c>
      <c r="D6" s="563">
        <v>2.5</v>
      </c>
      <c r="E6" s="545">
        <v>0.40000000000000008</v>
      </c>
      <c r="F6" s="571">
        <f>D6-E6</f>
        <v>2.1</v>
      </c>
      <c r="G6" s="570">
        <f t="shared" si="0"/>
        <v>0.45060000000000006</v>
      </c>
      <c r="H6" s="545">
        <f>G6-E6</f>
        <v>5.0599999999999978E-2</v>
      </c>
      <c r="I6" s="571">
        <f t="shared" si="1"/>
        <v>2.0494000000000003</v>
      </c>
      <c r="J6" s="575">
        <f t="shared" ref="J6:J28" si="2">H6/E6</f>
        <v>0.12649999999999992</v>
      </c>
      <c r="K6" s="576">
        <f t="shared" ref="K6:K28" si="3">I6/G6</f>
        <v>4.5481580115401687</v>
      </c>
      <c r="M6" s="533" t="s">
        <v>1</v>
      </c>
      <c r="N6" s="313">
        <v>321</v>
      </c>
      <c r="O6" s="534">
        <f t="shared" ref="O6:O28" si="4">N6-F6</f>
        <v>318.89999999999998</v>
      </c>
      <c r="S6" s="536"/>
      <c r="T6"/>
      <c r="U6"/>
    </row>
    <row r="7" spans="1:21" x14ac:dyDescent="0.2">
      <c r="A7" s="45"/>
      <c r="B7" s="533" t="s">
        <v>2</v>
      </c>
      <c r="C7" s="569">
        <v>44</v>
      </c>
      <c r="D7" s="563">
        <v>2.5</v>
      </c>
      <c r="E7" s="534">
        <v>7.9000000000000001E-2</v>
      </c>
      <c r="F7" s="535">
        <f>D7-E7</f>
        <v>2.4209999999999998</v>
      </c>
      <c r="G7" s="534">
        <f t="shared" si="0"/>
        <v>10.18083</v>
      </c>
      <c r="H7" s="534">
        <f>G7-E7</f>
        <v>10.10183</v>
      </c>
      <c r="I7" s="535">
        <f t="shared" si="1"/>
        <v>-7.6808300000000003</v>
      </c>
      <c r="J7" s="575">
        <f t="shared" si="2"/>
        <v>127.87126582278481</v>
      </c>
      <c r="K7" s="576">
        <f t="shared" si="3"/>
        <v>-0.75444045328327847</v>
      </c>
      <c r="M7" s="533" t="s">
        <v>2</v>
      </c>
      <c r="N7" s="313">
        <v>8230</v>
      </c>
      <c r="O7" s="534">
        <f t="shared" si="4"/>
        <v>8227.5789999999997</v>
      </c>
      <c r="S7" s="536"/>
      <c r="T7"/>
      <c r="U7"/>
    </row>
    <row r="8" spans="1:21" x14ac:dyDescent="0.2">
      <c r="B8" s="546" t="s">
        <v>3</v>
      </c>
      <c r="C8" s="562">
        <v>8.6</v>
      </c>
      <c r="D8" s="563">
        <v>25</v>
      </c>
      <c r="E8" s="534">
        <v>21</v>
      </c>
      <c r="F8" s="572">
        <v>0</v>
      </c>
      <c r="G8" s="570">
        <f t="shared" si="0"/>
        <v>18.148000000000003</v>
      </c>
      <c r="H8" s="570">
        <v>0</v>
      </c>
      <c r="I8" s="571">
        <f t="shared" si="1"/>
        <v>0</v>
      </c>
      <c r="J8" s="575">
        <f t="shared" si="2"/>
        <v>0</v>
      </c>
      <c r="K8" s="576">
        <f t="shared" si="3"/>
        <v>0</v>
      </c>
      <c r="M8" s="546" t="s">
        <v>3</v>
      </c>
      <c r="N8" s="313">
        <v>9730</v>
      </c>
      <c r="O8" s="534">
        <f t="shared" si="4"/>
        <v>9730</v>
      </c>
      <c r="S8" s="536"/>
      <c r="T8"/>
      <c r="U8"/>
    </row>
    <row r="9" spans="1:21" x14ac:dyDescent="0.2">
      <c r="B9" s="546" t="s">
        <v>4</v>
      </c>
      <c r="C9" s="562">
        <v>11</v>
      </c>
      <c r="D9" s="563">
        <v>34.799999999999997</v>
      </c>
      <c r="E9" s="534">
        <v>1.6666666666666667</v>
      </c>
      <c r="F9" s="535">
        <f t="shared" ref="F9:F24" si="5">D9-E9</f>
        <v>33.133333333333333</v>
      </c>
      <c r="G9" s="534">
        <f t="shared" si="0"/>
        <v>3.8133333333333335</v>
      </c>
      <c r="H9" s="534">
        <f t="shared" ref="H9:H15" si="6">G9-E9</f>
        <v>2.1466666666666665</v>
      </c>
      <c r="I9" s="535">
        <f t="shared" si="1"/>
        <v>30.986666666666665</v>
      </c>
      <c r="J9" s="575">
        <f t="shared" si="2"/>
        <v>1.2879999999999998</v>
      </c>
      <c r="K9" s="576">
        <f t="shared" si="3"/>
        <v>8.1258741258741249</v>
      </c>
      <c r="M9" s="546" t="s">
        <v>4</v>
      </c>
      <c r="N9" s="313">
        <v>135</v>
      </c>
      <c r="O9" s="534">
        <f t="shared" si="4"/>
        <v>101.86666666666667</v>
      </c>
      <c r="S9" s="536"/>
      <c r="T9"/>
      <c r="U9"/>
    </row>
    <row r="10" spans="1:21" x14ac:dyDescent="0.2">
      <c r="B10" s="546" t="s">
        <v>5</v>
      </c>
      <c r="C10" s="562">
        <v>85</v>
      </c>
      <c r="D10" s="563">
        <v>98.3</v>
      </c>
      <c r="E10" s="534">
        <v>18</v>
      </c>
      <c r="F10" s="535">
        <f t="shared" si="5"/>
        <v>80.3</v>
      </c>
      <c r="G10" s="534">
        <f t="shared" si="0"/>
        <v>33.409999999999997</v>
      </c>
      <c r="H10" s="534">
        <f t="shared" si="6"/>
        <v>15.409999999999997</v>
      </c>
      <c r="I10" s="535">
        <f t="shared" si="1"/>
        <v>64.89</v>
      </c>
      <c r="J10" s="575">
        <f t="shared" si="2"/>
        <v>0.85611111111111093</v>
      </c>
      <c r="K10" s="576">
        <f t="shared" si="3"/>
        <v>1.9422328644118529</v>
      </c>
      <c r="M10" s="546" t="s">
        <v>5</v>
      </c>
      <c r="N10" s="313">
        <v>165</v>
      </c>
      <c r="O10" s="534">
        <f t="shared" si="4"/>
        <v>84.7</v>
      </c>
      <c r="S10" s="536"/>
      <c r="T10"/>
      <c r="U10"/>
    </row>
    <row r="11" spans="1:21" x14ac:dyDescent="0.2">
      <c r="B11" s="546" t="s">
        <v>6</v>
      </c>
      <c r="C11" s="558">
        <v>380000</v>
      </c>
      <c r="D11" s="559">
        <v>461000</v>
      </c>
      <c r="E11" s="534">
        <v>149000</v>
      </c>
      <c r="F11" s="535">
        <f t="shared" si="5"/>
        <v>312000</v>
      </c>
      <c r="G11" s="534">
        <f t="shared" si="0"/>
        <v>202130</v>
      </c>
      <c r="H11" s="534">
        <f t="shared" si="6"/>
        <v>53130</v>
      </c>
      <c r="I11" s="535">
        <f t="shared" si="1"/>
        <v>258870</v>
      </c>
      <c r="J11" s="575">
        <f t="shared" si="2"/>
        <v>0.35657718120805371</v>
      </c>
      <c r="K11" s="576">
        <f t="shared" si="3"/>
        <v>1.2807104338791866</v>
      </c>
      <c r="M11" s="546" t="s">
        <v>6</v>
      </c>
      <c r="N11" s="313">
        <v>461000</v>
      </c>
      <c r="O11" s="534">
        <f t="shared" si="4"/>
        <v>149000</v>
      </c>
      <c r="S11" s="536"/>
      <c r="T11"/>
      <c r="U11"/>
    </row>
    <row r="12" spans="1:21" x14ac:dyDescent="0.2">
      <c r="B12" s="546" t="s">
        <v>7</v>
      </c>
      <c r="C12" s="562">
        <v>3</v>
      </c>
      <c r="D12" s="563">
        <v>5</v>
      </c>
      <c r="E12" s="534">
        <v>5</v>
      </c>
      <c r="F12" s="535">
        <f t="shared" si="5"/>
        <v>0</v>
      </c>
      <c r="G12" s="534">
        <f t="shared" si="0"/>
        <v>4.54</v>
      </c>
      <c r="H12" s="534">
        <f t="shared" si="6"/>
        <v>-0.45999999999999996</v>
      </c>
      <c r="I12" s="535">
        <f t="shared" si="1"/>
        <v>0.45999999999999996</v>
      </c>
      <c r="J12" s="575">
        <f t="shared" si="2"/>
        <v>-9.1999999999999998E-2</v>
      </c>
      <c r="K12" s="576">
        <f t="shared" si="3"/>
        <v>0.1013215859030837</v>
      </c>
      <c r="M12" s="546" t="s">
        <v>7</v>
      </c>
      <c r="N12" s="313">
        <v>706</v>
      </c>
      <c r="O12" s="534">
        <f t="shared" si="4"/>
        <v>706</v>
      </c>
      <c r="S12" s="536"/>
      <c r="T12"/>
      <c r="U12"/>
    </row>
    <row r="13" spans="1:21" x14ac:dyDescent="0.2">
      <c r="B13" s="546" t="s">
        <v>8</v>
      </c>
      <c r="C13" s="562">
        <v>110</v>
      </c>
      <c r="D13" s="563">
        <v>204</v>
      </c>
      <c r="E13" s="534">
        <v>28</v>
      </c>
      <c r="F13" s="535">
        <f t="shared" si="5"/>
        <v>176</v>
      </c>
      <c r="G13" s="534">
        <f t="shared" si="0"/>
        <v>46.86</v>
      </c>
      <c r="H13" s="534">
        <f t="shared" si="6"/>
        <v>18.86</v>
      </c>
      <c r="I13" s="535">
        <f t="shared" si="1"/>
        <v>157.13999999999999</v>
      </c>
      <c r="J13" s="575">
        <f t="shared" si="2"/>
        <v>0.6735714285714286</v>
      </c>
      <c r="K13" s="576">
        <f t="shared" si="3"/>
        <v>3.3533930857874519</v>
      </c>
      <c r="M13" s="533" t="s">
        <v>8</v>
      </c>
      <c r="N13" s="313">
        <v>384</v>
      </c>
      <c r="O13" s="534">
        <f t="shared" si="4"/>
        <v>208</v>
      </c>
      <c r="S13" s="536"/>
      <c r="T13"/>
      <c r="U13"/>
    </row>
    <row r="14" spans="1:21" x14ac:dyDescent="0.2">
      <c r="B14" s="533" t="s">
        <v>9</v>
      </c>
      <c r="C14" s="558">
        <v>6900</v>
      </c>
      <c r="D14" s="559">
        <v>10400</v>
      </c>
      <c r="E14" s="534">
        <v>88</v>
      </c>
      <c r="F14" s="535">
        <f t="shared" si="5"/>
        <v>10312</v>
      </c>
      <c r="G14" s="534">
        <f t="shared" si="0"/>
        <v>1654.76</v>
      </c>
      <c r="H14" s="534">
        <f t="shared" si="6"/>
        <v>1566.76</v>
      </c>
      <c r="I14" s="535">
        <f t="shared" si="1"/>
        <v>8745.24</v>
      </c>
      <c r="J14" s="575">
        <f t="shared" si="2"/>
        <v>17.80409090909091</v>
      </c>
      <c r="K14" s="576">
        <f t="shared" si="3"/>
        <v>5.2848993207474191</v>
      </c>
      <c r="M14" s="533" t="s">
        <v>9</v>
      </c>
      <c r="N14" s="313">
        <v>36700</v>
      </c>
      <c r="O14" s="534">
        <f t="shared" si="4"/>
        <v>26388</v>
      </c>
      <c r="S14" s="536"/>
      <c r="T14"/>
      <c r="U14"/>
    </row>
    <row r="15" spans="1:21" x14ac:dyDescent="0.2">
      <c r="B15" s="533" t="s">
        <v>10</v>
      </c>
      <c r="C15" s="558">
        <v>120000</v>
      </c>
      <c r="D15" s="559">
        <v>49500</v>
      </c>
      <c r="E15" s="534">
        <v>14700</v>
      </c>
      <c r="F15" s="535">
        <f t="shared" si="5"/>
        <v>34800</v>
      </c>
      <c r="G15" s="534">
        <f t="shared" si="0"/>
        <v>38919</v>
      </c>
      <c r="H15" s="534">
        <f t="shared" si="6"/>
        <v>24219</v>
      </c>
      <c r="I15" s="535">
        <f t="shared" si="1"/>
        <v>10581</v>
      </c>
      <c r="J15" s="575">
        <f t="shared" si="2"/>
        <v>1.6475510204081634</v>
      </c>
      <c r="K15" s="576">
        <f t="shared" si="3"/>
        <v>0.27187235026593692</v>
      </c>
      <c r="M15" s="533" t="s">
        <v>10</v>
      </c>
      <c r="N15" s="313">
        <v>9930000</v>
      </c>
      <c r="O15" s="534">
        <f t="shared" si="4"/>
        <v>9895200</v>
      </c>
      <c r="S15" s="536"/>
      <c r="T15"/>
      <c r="U15"/>
    </row>
    <row r="16" spans="1:21" ht="12" customHeight="1" x14ac:dyDescent="0.2">
      <c r="B16" s="533" t="s">
        <v>11</v>
      </c>
      <c r="C16" s="558">
        <v>29</v>
      </c>
      <c r="D16" s="563">
        <v>150</v>
      </c>
      <c r="E16" s="534">
        <v>24</v>
      </c>
      <c r="F16" s="535">
        <f t="shared" si="5"/>
        <v>126</v>
      </c>
      <c r="G16" s="534">
        <f t="shared" si="0"/>
        <v>25.15</v>
      </c>
      <c r="H16" s="545">
        <v>0</v>
      </c>
      <c r="I16" s="535">
        <f t="shared" si="1"/>
        <v>126</v>
      </c>
      <c r="J16" s="575">
        <f t="shared" si="2"/>
        <v>0</v>
      </c>
      <c r="K16" s="576">
        <f t="shared" si="3"/>
        <v>5.0099403578528827</v>
      </c>
      <c r="M16" s="533" t="s">
        <v>11</v>
      </c>
      <c r="N16" s="313">
        <v>179000</v>
      </c>
      <c r="O16" s="534">
        <f t="shared" si="4"/>
        <v>178874</v>
      </c>
      <c r="S16" s="536"/>
      <c r="T16"/>
      <c r="U16"/>
    </row>
    <row r="17" spans="2:21" x14ac:dyDescent="0.2">
      <c r="B17" s="533" t="s">
        <v>12</v>
      </c>
      <c r="C17" s="558">
        <v>27000</v>
      </c>
      <c r="D17" s="559">
        <v>36500</v>
      </c>
      <c r="E17" s="534">
        <v>11000</v>
      </c>
      <c r="F17" s="535">
        <f t="shared" si="5"/>
        <v>25500</v>
      </c>
      <c r="G17" s="534">
        <f t="shared" si="0"/>
        <v>14680</v>
      </c>
      <c r="H17" s="534">
        <f t="shared" ref="H17:H24" si="7">G17-E17</f>
        <v>3680</v>
      </c>
      <c r="I17" s="535">
        <f t="shared" si="1"/>
        <v>21820</v>
      </c>
      <c r="J17" s="575">
        <f t="shared" si="2"/>
        <v>0.33454545454545453</v>
      </c>
      <c r="K17" s="576">
        <f t="shared" si="3"/>
        <v>1.486376021798365</v>
      </c>
      <c r="M17" s="533" t="s">
        <v>12</v>
      </c>
      <c r="N17" s="313">
        <v>279000</v>
      </c>
      <c r="O17" s="534">
        <f t="shared" si="4"/>
        <v>253500</v>
      </c>
      <c r="S17" s="536"/>
      <c r="T17"/>
      <c r="U17"/>
    </row>
    <row r="18" spans="2:21" x14ac:dyDescent="0.2">
      <c r="B18" s="533" t="s">
        <v>13</v>
      </c>
      <c r="C18" s="558">
        <v>36000</v>
      </c>
      <c r="D18" s="559">
        <v>37100</v>
      </c>
      <c r="E18" s="534">
        <v>10000</v>
      </c>
      <c r="F18" s="535">
        <f t="shared" si="5"/>
        <v>27100</v>
      </c>
      <c r="G18" s="534">
        <f t="shared" si="0"/>
        <v>15980</v>
      </c>
      <c r="H18" s="534">
        <f t="shared" si="7"/>
        <v>5980</v>
      </c>
      <c r="I18" s="535">
        <f t="shared" si="1"/>
        <v>21120</v>
      </c>
      <c r="J18" s="575">
        <f t="shared" si="2"/>
        <v>0.59799999999999998</v>
      </c>
      <c r="K18" s="576">
        <f t="shared" si="3"/>
        <v>1.3216520650813517</v>
      </c>
      <c r="M18" s="533" t="s">
        <v>13</v>
      </c>
      <c r="N18" s="313">
        <v>78000</v>
      </c>
      <c r="O18" s="534">
        <f t="shared" si="4"/>
        <v>50900</v>
      </c>
      <c r="S18" s="536"/>
      <c r="T18"/>
      <c r="U18"/>
    </row>
    <row r="19" spans="2:21" x14ac:dyDescent="0.2">
      <c r="B19" s="533" t="s">
        <v>14</v>
      </c>
      <c r="C19" s="564">
        <v>0</v>
      </c>
      <c r="D19" s="565">
        <v>0</v>
      </c>
      <c r="E19" s="534">
        <v>0.08</v>
      </c>
      <c r="F19" s="535">
        <f t="shared" si="5"/>
        <v>-0.08</v>
      </c>
      <c r="G19" s="534">
        <f t="shared" si="0"/>
        <v>6.1600000000000002E-2</v>
      </c>
      <c r="H19" s="534">
        <f t="shared" si="7"/>
        <v>-1.84E-2</v>
      </c>
      <c r="I19" s="535">
        <f t="shared" si="1"/>
        <v>-6.1600000000000002E-2</v>
      </c>
      <c r="J19" s="575">
        <f t="shared" si="2"/>
        <v>-0.22999999999999998</v>
      </c>
      <c r="K19" s="576">
        <f t="shared" si="3"/>
        <v>-1</v>
      </c>
      <c r="M19" s="533" t="s">
        <v>14</v>
      </c>
      <c r="N19" s="313">
        <v>19.2</v>
      </c>
      <c r="O19" s="534">
        <f t="shared" si="4"/>
        <v>19.279999999999998</v>
      </c>
      <c r="S19" s="536"/>
      <c r="T19"/>
      <c r="U19"/>
    </row>
    <row r="20" spans="2:21" x14ac:dyDescent="0.2">
      <c r="B20" s="533" t="s">
        <v>39</v>
      </c>
      <c r="C20" s="562">
        <v>0.77</v>
      </c>
      <c r="D20" s="563">
        <v>5</v>
      </c>
      <c r="E20" s="534">
        <v>2</v>
      </c>
      <c r="F20" s="535">
        <f t="shared" si="5"/>
        <v>3</v>
      </c>
      <c r="G20" s="534">
        <f t="shared" si="0"/>
        <v>1.7171000000000001</v>
      </c>
      <c r="H20" s="534">
        <f t="shared" si="7"/>
        <v>-0.28289999999999993</v>
      </c>
      <c r="I20" s="535">
        <f t="shared" si="1"/>
        <v>3.2828999999999997</v>
      </c>
      <c r="J20" s="575">
        <f t="shared" si="2"/>
        <v>-0.14144999999999996</v>
      </c>
      <c r="K20" s="576">
        <f t="shared" si="3"/>
        <v>1.9118863199580687</v>
      </c>
      <c r="M20" s="533" t="s">
        <v>39</v>
      </c>
      <c r="N20" s="313">
        <v>2010</v>
      </c>
      <c r="O20" s="534">
        <f t="shared" si="4"/>
        <v>2007</v>
      </c>
      <c r="S20" s="536"/>
      <c r="T20"/>
      <c r="U20"/>
    </row>
    <row r="21" spans="2:21" x14ac:dyDescent="0.2">
      <c r="B21" s="533" t="s">
        <v>16</v>
      </c>
      <c r="C21" s="562">
        <v>72</v>
      </c>
      <c r="D21" s="563">
        <v>91.5</v>
      </c>
      <c r="E21" s="534">
        <v>17</v>
      </c>
      <c r="F21" s="535">
        <f t="shared" si="5"/>
        <v>74.5</v>
      </c>
      <c r="G21" s="534">
        <f t="shared" si="0"/>
        <v>29.650000000000002</v>
      </c>
      <c r="H21" s="534">
        <f t="shared" si="7"/>
        <v>12.650000000000002</v>
      </c>
      <c r="I21" s="535">
        <f t="shared" si="1"/>
        <v>61.849999999999994</v>
      </c>
      <c r="J21" s="575">
        <f t="shared" si="2"/>
        <v>0.74411764705882366</v>
      </c>
      <c r="K21" s="576">
        <f t="shared" si="3"/>
        <v>2.0860033726812812</v>
      </c>
      <c r="M21" s="533" t="s">
        <v>16</v>
      </c>
      <c r="N21" s="313">
        <v>276</v>
      </c>
      <c r="O21" s="534">
        <f t="shared" si="4"/>
        <v>201.5</v>
      </c>
      <c r="S21" s="536"/>
      <c r="T21"/>
      <c r="U21"/>
    </row>
    <row r="22" spans="2:21" x14ac:dyDescent="0.2">
      <c r="B22" s="533" t="s">
        <v>17</v>
      </c>
      <c r="C22" s="558">
        <v>2500</v>
      </c>
      <c r="D22" s="559">
        <v>6630</v>
      </c>
      <c r="E22" s="534">
        <v>1000</v>
      </c>
      <c r="F22" s="535">
        <f t="shared" si="5"/>
        <v>5630</v>
      </c>
      <c r="G22" s="534">
        <f t="shared" si="0"/>
        <v>1345</v>
      </c>
      <c r="H22" s="534">
        <f t="shared" si="7"/>
        <v>345</v>
      </c>
      <c r="I22" s="535">
        <f t="shared" si="1"/>
        <v>5285</v>
      </c>
      <c r="J22" s="575">
        <f t="shared" si="2"/>
        <v>0.34499999999999997</v>
      </c>
      <c r="K22" s="576">
        <f t="shared" si="3"/>
        <v>3.9293680297397771</v>
      </c>
      <c r="M22" s="533" t="s">
        <v>17</v>
      </c>
      <c r="N22" s="313">
        <v>212000</v>
      </c>
      <c r="O22" s="534">
        <f t="shared" si="4"/>
        <v>206370</v>
      </c>
      <c r="S22" s="536"/>
      <c r="T22"/>
      <c r="U22"/>
    </row>
    <row r="23" spans="2:21" x14ac:dyDescent="0.2">
      <c r="B23" s="533" t="s">
        <v>18</v>
      </c>
      <c r="C23" s="562">
        <v>3.8</v>
      </c>
      <c r="D23" s="563">
        <v>5</v>
      </c>
      <c r="E23" s="534">
        <v>6.3E-2</v>
      </c>
      <c r="F23" s="535">
        <f t="shared" si="5"/>
        <v>4.9370000000000003</v>
      </c>
      <c r="G23" s="534">
        <f t="shared" si="0"/>
        <v>0.92251000000000005</v>
      </c>
      <c r="H23" s="534">
        <f t="shared" si="7"/>
        <v>0.85951</v>
      </c>
      <c r="I23" s="535">
        <f t="shared" si="1"/>
        <v>4.0774900000000001</v>
      </c>
      <c r="J23" s="575">
        <f t="shared" si="2"/>
        <v>13.643015873015873</v>
      </c>
      <c r="K23" s="576">
        <f t="shared" si="3"/>
        <v>4.4199954472038243</v>
      </c>
      <c r="M23" s="533" t="s">
        <v>18</v>
      </c>
      <c r="N23" s="313"/>
      <c r="O23" s="534">
        <f t="shared" si="4"/>
        <v>-4.9370000000000003</v>
      </c>
      <c r="S23" s="536"/>
      <c r="T23"/>
      <c r="U23"/>
    </row>
    <row r="24" spans="2:21" x14ac:dyDescent="0.2">
      <c r="B24" s="533" t="s">
        <v>19</v>
      </c>
      <c r="C24" s="562">
        <v>0.1</v>
      </c>
      <c r="D24" s="563">
        <v>2.5</v>
      </c>
      <c r="E24" s="534">
        <v>0.12000000000000001</v>
      </c>
      <c r="F24" s="537">
        <f t="shared" si="5"/>
        <v>2.38</v>
      </c>
      <c r="G24" s="534">
        <f t="shared" si="0"/>
        <v>0.11540000000000002</v>
      </c>
      <c r="H24" s="534">
        <f t="shared" si="7"/>
        <v>-4.599999999999993E-3</v>
      </c>
      <c r="I24" s="535">
        <f t="shared" si="1"/>
        <v>2.3845999999999998</v>
      </c>
      <c r="J24" s="575">
        <f t="shared" si="2"/>
        <v>-3.8333333333333275E-2</v>
      </c>
      <c r="K24" s="576">
        <f t="shared" si="3"/>
        <v>20.663778162911608</v>
      </c>
      <c r="M24" s="533" t="s">
        <v>19</v>
      </c>
      <c r="N24" s="313">
        <v>1110</v>
      </c>
      <c r="O24" s="534">
        <f t="shared" si="4"/>
        <v>1107.6199999999999</v>
      </c>
      <c r="S24" s="536"/>
      <c r="T24"/>
      <c r="U24"/>
    </row>
    <row r="25" spans="2:21" x14ac:dyDescent="0.2">
      <c r="B25" s="533" t="s">
        <v>20</v>
      </c>
      <c r="C25" s="558">
        <v>5200</v>
      </c>
      <c r="D25" s="559">
        <v>4960</v>
      </c>
      <c r="E25" s="534">
        <v>3300</v>
      </c>
      <c r="F25" s="548">
        <v>0</v>
      </c>
      <c r="G25" s="534">
        <f t="shared" si="0"/>
        <v>3737</v>
      </c>
      <c r="H25" s="534">
        <v>0</v>
      </c>
      <c r="I25" s="535">
        <f t="shared" si="1"/>
        <v>0</v>
      </c>
      <c r="J25" s="575">
        <f t="shared" si="2"/>
        <v>0</v>
      </c>
      <c r="K25" s="576">
        <f t="shared" si="3"/>
        <v>0</v>
      </c>
      <c r="M25" s="533" t="s">
        <v>20</v>
      </c>
      <c r="N25" s="313">
        <v>23400</v>
      </c>
      <c r="O25" s="534">
        <f t="shared" si="4"/>
        <v>23400</v>
      </c>
      <c r="S25" s="536"/>
      <c r="T25"/>
      <c r="U25"/>
    </row>
    <row r="26" spans="2:21" x14ac:dyDescent="0.2">
      <c r="B26" s="533" t="s">
        <v>21</v>
      </c>
      <c r="C26" s="562">
        <v>0.28999999999999998</v>
      </c>
      <c r="D26" s="563">
        <v>2.5</v>
      </c>
      <c r="E26" s="534">
        <v>0.18333333333333335</v>
      </c>
      <c r="F26" s="537">
        <f>D26-E26</f>
        <v>2.3166666666666664</v>
      </c>
      <c r="G26" s="534">
        <f t="shared" si="0"/>
        <v>0.2078666666666667</v>
      </c>
      <c r="H26" s="534">
        <f>G26-E26</f>
        <v>2.4533333333333351E-2</v>
      </c>
      <c r="I26" s="535">
        <f t="shared" si="1"/>
        <v>2.2921333333333331</v>
      </c>
      <c r="J26" s="575">
        <f t="shared" si="2"/>
        <v>0.13381818181818192</v>
      </c>
      <c r="K26" s="576">
        <f t="shared" si="3"/>
        <v>11.026940346375879</v>
      </c>
      <c r="M26" s="533" t="s">
        <v>21</v>
      </c>
      <c r="N26" s="313"/>
      <c r="O26" s="534">
        <f t="shared" si="4"/>
        <v>-2.3166666666666664</v>
      </c>
      <c r="S26" s="536"/>
      <c r="T26"/>
      <c r="U26"/>
    </row>
    <row r="27" spans="2:21" x14ac:dyDescent="0.2">
      <c r="B27" s="533" t="s">
        <v>22</v>
      </c>
      <c r="C27" s="562">
        <v>2.5</v>
      </c>
      <c r="D27" s="563">
        <v>10</v>
      </c>
      <c r="E27" s="534">
        <v>1</v>
      </c>
      <c r="F27" s="535">
        <f>D27-E27</f>
        <v>9</v>
      </c>
      <c r="G27" s="534">
        <f t="shared" si="0"/>
        <v>1.3450000000000002</v>
      </c>
      <c r="H27" s="534">
        <f>G27-E27</f>
        <v>0.3450000000000002</v>
      </c>
      <c r="I27" s="535">
        <f t="shared" si="1"/>
        <v>8.6549999999999994</v>
      </c>
      <c r="J27" s="575">
        <f t="shared" si="2"/>
        <v>0.3450000000000002</v>
      </c>
      <c r="K27" s="576">
        <f t="shared" si="3"/>
        <v>6.4349442379182138</v>
      </c>
      <c r="M27" s="533" t="s">
        <v>22</v>
      </c>
      <c r="N27" s="313">
        <v>5470</v>
      </c>
      <c r="O27" s="534">
        <f t="shared" si="4"/>
        <v>5461</v>
      </c>
      <c r="S27" s="536"/>
      <c r="T27"/>
      <c r="U27"/>
    </row>
    <row r="28" spans="2:21" x14ac:dyDescent="0.2">
      <c r="B28" s="533" t="s">
        <v>23</v>
      </c>
      <c r="C28" s="558">
        <v>27000</v>
      </c>
      <c r="D28" s="559">
        <v>26800</v>
      </c>
      <c r="E28" s="534">
        <v>5500</v>
      </c>
      <c r="F28" s="535">
        <f>D28-E28</f>
        <v>21300</v>
      </c>
      <c r="G28" s="534">
        <f t="shared" si="0"/>
        <v>10445</v>
      </c>
      <c r="H28" s="534">
        <f>G28-E28</f>
        <v>4945</v>
      </c>
      <c r="I28" s="535">
        <f t="shared" si="1"/>
        <v>16355</v>
      </c>
      <c r="J28" s="575">
        <f t="shared" si="2"/>
        <v>0.89909090909090905</v>
      </c>
      <c r="K28" s="576">
        <f t="shared" si="3"/>
        <v>1.565820966969842</v>
      </c>
      <c r="M28" s="533" t="s">
        <v>23</v>
      </c>
      <c r="N28" s="313">
        <v>44000</v>
      </c>
      <c r="O28" s="534">
        <f t="shared" si="4"/>
        <v>22700</v>
      </c>
      <c r="S28" s="536"/>
      <c r="T28"/>
      <c r="U28"/>
    </row>
    <row r="29" spans="2:21" x14ac:dyDescent="0.2">
      <c r="C29" s="45"/>
      <c r="D29" s="45"/>
      <c r="E29" s="190"/>
      <c r="F29" s="45"/>
      <c r="G29" s="190"/>
      <c r="H29" s="190"/>
      <c r="K29" s="45"/>
      <c r="L29" s="45"/>
      <c r="M29" s="45"/>
      <c r="N29" s="45"/>
      <c r="O29" s="45"/>
      <c r="S29"/>
      <c r="T29"/>
      <c r="U29"/>
    </row>
    <row r="30" spans="2:21" x14ac:dyDescent="0.2">
      <c r="B30" s="567" t="s">
        <v>246</v>
      </c>
      <c r="C30" s="568">
        <f>SUM(C5:C28)</f>
        <v>637970.68000000005</v>
      </c>
      <c r="D30" s="568">
        <f t="shared" ref="D30:I30" si="8">SUM(D5:D28)</f>
        <v>725428.6</v>
      </c>
      <c r="E30" s="568">
        <f t="shared" si="8"/>
        <v>197106.59199999998</v>
      </c>
      <c r="F30" s="568">
        <f t="shared" si="8"/>
        <v>526658.00799999991</v>
      </c>
      <c r="G30" s="568">
        <f t="shared" si="8"/>
        <v>298505.33224000002</v>
      </c>
      <c r="H30" s="568">
        <f t="shared" si="8"/>
        <v>100963.44223999997</v>
      </c>
      <c r="I30" s="568">
        <f t="shared" si="8"/>
        <v>425694.56575999997</v>
      </c>
      <c r="J30" s="538"/>
      <c r="K30" s="538"/>
      <c r="L30" s="538"/>
      <c r="M30" s="567" t="s">
        <v>246</v>
      </c>
      <c r="N30" s="568">
        <f>SUM(O5:O28)</f>
        <v>11689998.191999998</v>
      </c>
      <c r="O30" s="568">
        <f>SUM(N5:N28)</f>
        <v>12216656.199999999</v>
      </c>
      <c r="S30"/>
      <c r="T30"/>
      <c r="U30"/>
    </row>
    <row r="31" spans="2:21" x14ac:dyDescent="0.2">
      <c r="B31" s="578" t="s">
        <v>247</v>
      </c>
      <c r="C31" s="566">
        <f>C5+C9+C10+C11+C13+C14+C16+C17+C18+C21+C22+C25+C28</f>
        <v>517907</v>
      </c>
      <c r="D31" s="566">
        <f t="shared" ref="D31:I31" si="9">D5+D9+D10+D11+D13+D14+D16+D17+D18+D21+D22+D25+D28</f>
        <v>675868.6</v>
      </c>
      <c r="E31" s="566">
        <f t="shared" si="9"/>
        <v>182376.66666666666</v>
      </c>
      <c r="F31" s="566">
        <f t="shared" si="9"/>
        <v>491831.93333333335</v>
      </c>
      <c r="G31" s="566">
        <f t="shared" si="9"/>
        <v>259548.64333333331</v>
      </c>
      <c r="H31" s="566">
        <f t="shared" si="9"/>
        <v>76733.82666666666</v>
      </c>
      <c r="I31" s="568">
        <f t="shared" si="9"/>
        <v>415098.10666666663</v>
      </c>
      <c r="J31" s="538"/>
      <c r="K31" s="538"/>
      <c r="L31" s="538"/>
      <c r="M31" s="578" t="s">
        <v>247</v>
      </c>
      <c r="N31" s="414">
        <f>O5+O9+O10+O11+O13+O14+O16+O17+O18+O21+O22+O25+O28</f>
        <v>1767228.0666666667</v>
      </c>
      <c r="O31" s="414">
        <f>N5+N9+N10+N11+N13+N14+N16+N17+N18+N21+N22+N25+N28</f>
        <v>2259060</v>
      </c>
      <c r="S31"/>
      <c r="T31"/>
      <c r="U31"/>
    </row>
    <row r="32" spans="2:21" x14ac:dyDescent="0.2">
      <c r="B32" s="557"/>
      <c r="F32" s="538"/>
      <c r="G32" s="13"/>
      <c r="H32" s="13"/>
      <c r="K32" s="538"/>
      <c r="L32" s="538"/>
      <c r="M32" s="538"/>
      <c r="N32" s="538"/>
      <c r="O32" s="538"/>
      <c r="S32"/>
      <c r="T32"/>
      <c r="U32"/>
    </row>
    <row r="33" spans="2:22" x14ac:dyDescent="0.2">
      <c r="S33"/>
      <c r="T33"/>
      <c r="U33"/>
    </row>
    <row r="34" spans="2:22" x14ac:dyDescent="0.2">
      <c r="S34"/>
      <c r="T34"/>
      <c r="U34"/>
    </row>
    <row r="35" spans="2:22" x14ac:dyDescent="0.2">
      <c r="S35"/>
      <c r="T35"/>
      <c r="U35"/>
    </row>
    <row r="36" spans="2:22" ht="21.75" customHeight="1" x14ac:dyDescent="0.2">
      <c r="S36"/>
      <c r="T36"/>
      <c r="U36"/>
    </row>
    <row r="37" spans="2:22" ht="21" customHeight="1" x14ac:dyDescent="0.35">
      <c r="B37" s="579" t="s">
        <v>191</v>
      </c>
      <c r="C37" s="580" t="s">
        <v>69</v>
      </c>
      <c r="D37" s="383" t="s">
        <v>257</v>
      </c>
      <c r="E37" s="383"/>
      <c r="K37" s="529"/>
      <c r="L37" s="529"/>
      <c r="M37" s="529"/>
      <c r="S37"/>
    </row>
    <row r="38" spans="2:22" ht="17.25" customHeight="1" x14ac:dyDescent="0.35">
      <c r="B38" s="539"/>
      <c r="C38" s="647" t="s">
        <v>233</v>
      </c>
      <c r="D38" s="647"/>
      <c r="E38" s="647"/>
      <c r="K38" s="529"/>
      <c r="L38" s="529"/>
      <c r="M38" s="529"/>
      <c r="S38"/>
    </row>
    <row r="39" spans="2:22" ht="29.25" customHeight="1" x14ac:dyDescent="0.2">
      <c r="B39" s="45" t="s">
        <v>72</v>
      </c>
      <c r="C39" s="37" t="s">
        <v>241</v>
      </c>
      <c r="D39" s="37" t="s">
        <v>234</v>
      </c>
      <c r="E39" s="37" t="s">
        <v>235</v>
      </c>
      <c r="F39" s="37" t="s">
        <v>136</v>
      </c>
      <c r="S39"/>
      <c r="T39"/>
      <c r="V39" s="45"/>
    </row>
    <row r="40" spans="2:22" x14ac:dyDescent="0.2">
      <c r="B40" s="214" t="s">
        <v>21</v>
      </c>
      <c r="C40" s="544">
        <f>E27</f>
        <v>1</v>
      </c>
      <c r="D40" s="540">
        <f>H26/1000</f>
        <v>2.4533333333333351E-5</v>
      </c>
      <c r="E40" s="541">
        <f>I26/1000</f>
        <v>2.2921333333333332E-3</v>
      </c>
      <c r="F40" s="541">
        <v>0</v>
      </c>
      <c r="S40"/>
      <c r="T40"/>
      <c r="V40" s="45"/>
    </row>
    <row r="41" spans="2:22" x14ac:dyDescent="0.2">
      <c r="B41" s="214" t="s">
        <v>18</v>
      </c>
      <c r="C41" s="544">
        <f>E23</f>
        <v>6.3E-2</v>
      </c>
      <c r="D41" s="541">
        <f>H23/1000</f>
        <v>8.5950999999999996E-4</v>
      </c>
      <c r="E41" s="541">
        <f>I23/1000</f>
        <v>4.0774900000000005E-3</v>
      </c>
      <c r="F41" s="541">
        <f>O23/1000</f>
        <v>-4.9370000000000004E-3</v>
      </c>
      <c r="P41" s="45"/>
      <c r="Q41" s="37"/>
      <c r="S41"/>
      <c r="T41"/>
      <c r="V41" s="45"/>
    </row>
    <row r="42" spans="2:22" x14ac:dyDescent="0.2">
      <c r="B42" s="214" t="s">
        <v>4</v>
      </c>
      <c r="C42" s="544">
        <f>E9</f>
        <v>1.6666666666666667</v>
      </c>
      <c r="D42" s="541">
        <f>H9/1000</f>
        <v>2.1466666666666665E-3</v>
      </c>
      <c r="E42" s="541">
        <f>I9/1000</f>
        <v>3.0986666666666666E-2</v>
      </c>
      <c r="F42" s="541">
        <f>O9/1000</f>
        <v>0.10186666666666667</v>
      </c>
      <c r="P42" s="45"/>
      <c r="Q42" s="45"/>
      <c r="S42"/>
      <c r="T42"/>
      <c r="V42" s="45"/>
    </row>
    <row r="43" spans="2:22" x14ac:dyDescent="0.2">
      <c r="B43" s="214" t="s">
        <v>8</v>
      </c>
      <c r="C43" s="544">
        <f>E13</f>
        <v>28</v>
      </c>
      <c r="D43" s="541">
        <f>H13/1000</f>
        <v>1.8859999999999998E-2</v>
      </c>
      <c r="E43" s="541">
        <f>I13/1000</f>
        <v>0.15713999999999997</v>
      </c>
      <c r="F43" s="541">
        <f>O13/1000</f>
        <v>0.20799999999999999</v>
      </c>
      <c r="P43" s="45"/>
      <c r="Q43" s="45"/>
      <c r="S43"/>
      <c r="T43"/>
      <c r="V43" s="45"/>
    </row>
    <row r="44" spans="2:22" x14ac:dyDescent="0.2">
      <c r="B44" s="214" t="s">
        <v>1</v>
      </c>
      <c r="C44" s="544">
        <f>E6</f>
        <v>0.40000000000000008</v>
      </c>
      <c r="D44" s="541">
        <f>H6/1000</f>
        <v>5.0599999999999976E-5</v>
      </c>
      <c r="E44" s="541">
        <f>I6/1000</f>
        <v>2.0494000000000003E-3</v>
      </c>
      <c r="F44" s="541">
        <f>O6/1000</f>
        <v>0.31889999999999996</v>
      </c>
      <c r="P44" s="45"/>
      <c r="Q44" s="45"/>
      <c r="S44"/>
      <c r="T44"/>
      <c r="V44" s="45"/>
    </row>
    <row r="45" spans="2:22" x14ac:dyDescent="0.2">
      <c r="B45" s="214" t="s">
        <v>7</v>
      </c>
      <c r="C45" s="544">
        <f>E12</f>
        <v>5</v>
      </c>
      <c r="D45" s="541">
        <f>H12/1000</f>
        <v>-4.5999999999999996E-4</v>
      </c>
      <c r="E45" s="541">
        <f>I12/1000</f>
        <v>4.5999999999999996E-4</v>
      </c>
      <c r="F45" s="541">
        <f>O12/1000</f>
        <v>0.70599999999999996</v>
      </c>
      <c r="P45" s="45"/>
      <c r="Q45" s="45"/>
      <c r="S45"/>
      <c r="T45"/>
      <c r="V45" s="45"/>
    </row>
    <row r="46" spans="2:22" x14ac:dyDescent="0.2">
      <c r="B46" s="214" t="s">
        <v>19</v>
      </c>
      <c r="C46" s="544">
        <f>E24</f>
        <v>0.12000000000000001</v>
      </c>
      <c r="D46" s="549">
        <v>1E-4</v>
      </c>
      <c r="E46" s="549">
        <v>1E-3</v>
      </c>
      <c r="F46" s="541">
        <f>O24/1000</f>
        <v>1.1076199999999998</v>
      </c>
      <c r="P46" s="45"/>
      <c r="Q46" s="45"/>
      <c r="S46"/>
      <c r="T46"/>
      <c r="V46" s="45"/>
    </row>
    <row r="47" spans="2:22" x14ac:dyDescent="0.2">
      <c r="B47" s="214" t="s">
        <v>39</v>
      </c>
      <c r="C47" s="544">
        <f>E20</f>
        <v>2</v>
      </c>
      <c r="D47" s="541">
        <f>H20/1000</f>
        <v>-2.8289999999999994E-4</v>
      </c>
      <c r="E47" s="541">
        <f>I20/1000</f>
        <v>3.2828999999999996E-3</v>
      </c>
      <c r="F47" s="541">
        <f>O20/1000</f>
        <v>2.0070000000000001</v>
      </c>
      <c r="P47" s="45"/>
      <c r="Q47" s="45"/>
      <c r="S47"/>
      <c r="T47"/>
      <c r="V47" s="45"/>
    </row>
    <row r="48" spans="2:22" x14ac:dyDescent="0.2">
      <c r="B48" s="214" t="s">
        <v>22</v>
      </c>
      <c r="C48" s="544">
        <f>E27</f>
        <v>1</v>
      </c>
      <c r="D48" s="541">
        <f>H27/1000</f>
        <v>3.450000000000002E-4</v>
      </c>
      <c r="E48" s="541">
        <f>I27/1000</f>
        <v>8.6549999999999995E-3</v>
      </c>
      <c r="F48" s="541">
        <f>O27/1000</f>
        <v>5.4610000000000003</v>
      </c>
      <c r="S48"/>
      <c r="T48"/>
      <c r="V48" s="45"/>
    </row>
    <row r="49" spans="2:22" x14ac:dyDescent="0.2">
      <c r="B49" s="214" t="s">
        <v>3</v>
      </c>
      <c r="C49" s="544">
        <f>E8</f>
        <v>21</v>
      </c>
      <c r="D49" s="550">
        <v>1E-4</v>
      </c>
      <c r="E49" s="550">
        <v>1E-4</v>
      </c>
      <c r="F49" s="541">
        <f>O8/1000</f>
        <v>9.73</v>
      </c>
      <c r="S49"/>
      <c r="T49"/>
      <c r="V49" s="45"/>
    </row>
    <row r="50" spans="2:22" x14ac:dyDescent="0.2">
      <c r="B50" s="214" t="s">
        <v>14</v>
      </c>
      <c r="C50" s="231"/>
      <c r="D50" s="550">
        <v>9.9999999999999995E-7</v>
      </c>
      <c r="E50" s="550">
        <v>1.0000000000000001E-5</v>
      </c>
      <c r="F50" s="541">
        <f>O19/1000</f>
        <v>1.9279999999999999E-2</v>
      </c>
      <c r="S50"/>
      <c r="T50"/>
      <c r="V50" s="45"/>
    </row>
    <row r="51" spans="2:22" x14ac:dyDescent="0.2">
      <c r="B51" s="214" t="s">
        <v>2</v>
      </c>
      <c r="C51" s="544">
        <f>E7</f>
        <v>7.9000000000000001E-2</v>
      </c>
      <c r="D51" s="541">
        <f>H7/1000</f>
        <v>1.0101829999999999E-2</v>
      </c>
      <c r="E51" s="541">
        <f>I7/1000</f>
        <v>-7.6808300000000005E-3</v>
      </c>
      <c r="F51" s="541">
        <f>O7/1000</f>
        <v>8.2275790000000004</v>
      </c>
      <c r="S51"/>
      <c r="T51"/>
      <c r="V51" s="45"/>
    </row>
    <row r="52" spans="2:22" x14ac:dyDescent="0.2">
      <c r="B52" s="214" t="s">
        <v>11</v>
      </c>
      <c r="C52" s="544">
        <f>E16</f>
        <v>24</v>
      </c>
      <c r="D52" s="541">
        <f>H16/1000</f>
        <v>0</v>
      </c>
      <c r="E52" s="541">
        <f>I16/1000</f>
        <v>0.126</v>
      </c>
      <c r="F52" s="549">
        <f>O16/1000</f>
        <v>178.874</v>
      </c>
      <c r="S52"/>
      <c r="T52"/>
      <c r="V52" s="45"/>
    </row>
    <row r="53" spans="2:22" x14ac:dyDescent="0.2">
      <c r="B53" s="214" t="s">
        <v>9</v>
      </c>
      <c r="C53" s="544">
        <f>E14</f>
        <v>88</v>
      </c>
      <c r="D53" s="541">
        <f>H14/1000</f>
        <v>1.5667599999999999</v>
      </c>
      <c r="E53" s="541">
        <f>I14/1000</f>
        <v>8.745239999999999</v>
      </c>
      <c r="F53" s="549">
        <f>O14/1000</f>
        <v>26.388000000000002</v>
      </c>
      <c r="S53"/>
      <c r="T53"/>
      <c r="V53" s="45"/>
    </row>
    <row r="54" spans="2:22" x14ac:dyDescent="0.2">
      <c r="B54" s="214" t="s">
        <v>23</v>
      </c>
      <c r="C54" s="243">
        <f>E28</f>
        <v>5500</v>
      </c>
      <c r="D54" s="541">
        <f>H28/1000</f>
        <v>4.9450000000000003</v>
      </c>
      <c r="E54" s="541">
        <f>I28/1000</f>
        <v>16.355</v>
      </c>
      <c r="F54" s="549">
        <f>O28/1000</f>
        <v>22.7</v>
      </c>
      <c r="S54"/>
      <c r="T54"/>
      <c r="V54" s="45"/>
    </row>
    <row r="55" spans="2:22" x14ac:dyDescent="0.2">
      <c r="B55" s="214" t="s">
        <v>16</v>
      </c>
      <c r="C55" s="243">
        <f>E21</f>
        <v>17</v>
      </c>
      <c r="D55" s="541">
        <f>H21/1000</f>
        <v>1.2650000000000002E-2</v>
      </c>
      <c r="E55" s="541">
        <f>I21/1000</f>
        <v>6.1849999999999995E-2</v>
      </c>
      <c r="F55" s="549">
        <f>O21/1000</f>
        <v>0.20150000000000001</v>
      </c>
      <c r="S55"/>
      <c r="T55"/>
      <c r="V55" s="45"/>
    </row>
    <row r="56" spans="2:22" x14ac:dyDescent="0.2">
      <c r="B56" s="214" t="s">
        <v>5</v>
      </c>
      <c r="C56" s="243">
        <f>E10</f>
        <v>18</v>
      </c>
      <c r="D56" s="541">
        <f>H10/1000</f>
        <v>1.5409999999999997E-2</v>
      </c>
      <c r="E56" s="541">
        <f>I10/1000</f>
        <v>6.4890000000000003E-2</v>
      </c>
      <c r="F56" s="549">
        <f>O10/1000</f>
        <v>8.4699999999999998E-2</v>
      </c>
      <c r="S56"/>
      <c r="T56"/>
      <c r="V56" s="45"/>
    </row>
    <row r="57" spans="2:22" x14ac:dyDescent="0.2">
      <c r="B57" s="218" t="s">
        <v>10</v>
      </c>
      <c r="C57" s="248">
        <f>E15</f>
        <v>14700</v>
      </c>
      <c r="D57" s="541">
        <f>H15/1000</f>
        <v>24.219000000000001</v>
      </c>
      <c r="E57" s="541">
        <f>I15/1000</f>
        <v>10.581</v>
      </c>
      <c r="F57" s="549">
        <f>O15/1000</f>
        <v>9895.2000000000007</v>
      </c>
      <c r="S57"/>
      <c r="T57"/>
      <c r="V57" s="45"/>
    </row>
    <row r="58" spans="2:22" x14ac:dyDescent="0.2">
      <c r="B58" s="218" t="s">
        <v>0</v>
      </c>
      <c r="C58" s="248">
        <f>E5</f>
        <v>2400</v>
      </c>
      <c r="D58" s="541">
        <f>H5/1000</f>
        <v>7.0380000000000003</v>
      </c>
      <c r="E58" s="541">
        <f>I5/1000</f>
        <v>82.462000000000003</v>
      </c>
      <c r="F58" s="549">
        <f>O5/1000</f>
        <v>855.5</v>
      </c>
      <c r="S58"/>
      <c r="T58"/>
      <c r="V58" s="45"/>
    </row>
    <row r="59" spans="2:22" x14ac:dyDescent="0.2">
      <c r="B59" s="214" t="s">
        <v>13</v>
      </c>
      <c r="C59" s="243">
        <f>E18</f>
        <v>10000</v>
      </c>
      <c r="D59" s="541">
        <f>H18/1000</f>
        <v>5.98</v>
      </c>
      <c r="E59" s="541">
        <f>I18/1000</f>
        <v>21.12</v>
      </c>
      <c r="F59" s="549">
        <f>O18/1000</f>
        <v>50.9</v>
      </c>
      <c r="S59"/>
      <c r="T59"/>
      <c r="V59" s="45"/>
    </row>
    <row r="60" spans="2:22" x14ac:dyDescent="0.2">
      <c r="B60" s="214" t="s">
        <v>6</v>
      </c>
      <c r="C60" s="243">
        <f>E11</f>
        <v>149000</v>
      </c>
      <c r="D60" s="542">
        <f>H11/1000</f>
        <v>53.13</v>
      </c>
      <c r="E60" s="13">
        <f>I11/1000</f>
        <v>258.87</v>
      </c>
      <c r="F60" s="45">
        <f>O11/1000</f>
        <v>149</v>
      </c>
      <c r="S60"/>
      <c r="T60"/>
      <c r="V60" s="45"/>
    </row>
    <row r="61" spans="2:22" x14ac:dyDescent="0.2">
      <c r="B61" s="239" t="s">
        <v>17</v>
      </c>
      <c r="C61" s="252">
        <f>E22</f>
        <v>1000</v>
      </c>
      <c r="D61" s="542">
        <f>H22/1000</f>
        <v>0.34499999999999997</v>
      </c>
      <c r="E61" s="13">
        <f>I22/1000</f>
        <v>5.2850000000000001</v>
      </c>
      <c r="F61" s="45">
        <f>O22/1000</f>
        <v>206.37</v>
      </c>
      <c r="S61"/>
      <c r="T61"/>
      <c r="V61" s="45"/>
    </row>
    <row r="62" spans="2:22" x14ac:dyDescent="0.2">
      <c r="B62" s="239" t="s">
        <v>20</v>
      </c>
      <c r="C62" s="252">
        <f>E25</f>
        <v>3300</v>
      </c>
      <c r="D62" s="542">
        <f>H25/1000</f>
        <v>0</v>
      </c>
      <c r="E62" s="13">
        <f>I25/1000</f>
        <v>0</v>
      </c>
      <c r="F62" s="45">
        <f>O25/1000</f>
        <v>23.4</v>
      </c>
      <c r="S62"/>
      <c r="T62"/>
      <c r="V62" s="45"/>
    </row>
    <row r="63" spans="2:22" x14ac:dyDescent="0.2">
      <c r="B63" s="239" t="s">
        <v>12</v>
      </c>
      <c r="C63" s="252">
        <f>E17</f>
        <v>11000</v>
      </c>
      <c r="D63" s="542">
        <f>H17/1000</f>
        <v>3.68</v>
      </c>
      <c r="E63" s="13">
        <f>I17/1000</f>
        <v>21.82</v>
      </c>
      <c r="F63" s="45">
        <f>O17/1000</f>
        <v>253.5</v>
      </c>
      <c r="S63"/>
      <c r="T63"/>
      <c r="V63" s="45"/>
    </row>
    <row r="64" spans="2:22" x14ac:dyDescent="0.2">
      <c r="B64" s="218"/>
      <c r="C64" s="248"/>
      <c r="D64" s="581"/>
      <c r="E64" s="581"/>
      <c r="F64" s="549"/>
      <c r="T64"/>
      <c r="V64" s="45"/>
    </row>
    <row r="65" spans="6:23" x14ac:dyDescent="0.2">
      <c r="F65" s="153"/>
      <c r="U65"/>
      <c r="V65" s="45"/>
      <c r="W65" s="45"/>
    </row>
    <row r="66" spans="6:23" x14ac:dyDescent="0.2">
      <c r="F66" s="153"/>
      <c r="T66"/>
      <c r="U66"/>
      <c r="V66" s="45"/>
      <c r="W66" s="45"/>
    </row>
    <row r="67" spans="6:23" x14ac:dyDescent="0.2">
      <c r="G67" s="153"/>
      <c r="S67"/>
      <c r="T67"/>
      <c r="V67" s="45"/>
    </row>
    <row r="68" spans="6:23" x14ac:dyDescent="0.2">
      <c r="S68"/>
      <c r="T68"/>
      <c r="V68" s="45"/>
    </row>
    <row r="69" spans="6:23" x14ac:dyDescent="0.2">
      <c r="S69"/>
      <c r="T69"/>
      <c r="V69" s="45"/>
    </row>
    <row r="70" spans="6:23" x14ac:dyDescent="0.2">
      <c r="S70"/>
      <c r="T70"/>
      <c r="V70" s="45"/>
    </row>
    <row r="71" spans="6:23" x14ac:dyDescent="0.2">
      <c r="S71"/>
    </row>
    <row r="72" spans="6:23" x14ac:dyDescent="0.2">
      <c r="S72"/>
    </row>
    <row r="73" spans="6:23" x14ac:dyDescent="0.2">
      <c r="S73"/>
    </row>
    <row r="74" spans="6:23" x14ac:dyDescent="0.2">
      <c r="S74"/>
    </row>
    <row r="75" spans="6:23" x14ac:dyDescent="0.2">
      <c r="S75"/>
    </row>
    <row r="76" spans="6:23" x14ac:dyDescent="0.2">
      <c r="S76"/>
    </row>
    <row r="77" spans="6:23" x14ac:dyDescent="0.2">
      <c r="S77"/>
    </row>
    <row r="81" spans="19:21" x14ac:dyDescent="0.2">
      <c r="S81"/>
      <c r="T81"/>
      <c r="U81"/>
    </row>
    <row r="82" spans="19:21" x14ac:dyDescent="0.2">
      <c r="S82"/>
      <c r="T82"/>
      <c r="U82"/>
    </row>
    <row r="83" spans="19:21" x14ac:dyDescent="0.2">
      <c r="S83"/>
      <c r="T83"/>
      <c r="U83"/>
    </row>
    <row r="84" spans="19:21" x14ac:dyDescent="0.2">
      <c r="S84"/>
      <c r="T84"/>
      <c r="U84"/>
    </row>
    <row r="85" spans="19:21" x14ac:dyDescent="0.2">
      <c r="S85"/>
      <c r="T85"/>
      <c r="U85"/>
    </row>
    <row r="86" spans="19:21" x14ac:dyDescent="0.2">
      <c r="S86"/>
      <c r="T86"/>
      <c r="U86"/>
    </row>
    <row r="87" spans="19:21" x14ac:dyDescent="0.2">
      <c r="S87"/>
      <c r="T87"/>
      <c r="U87"/>
    </row>
    <row r="88" spans="19:21" x14ac:dyDescent="0.2">
      <c r="S88"/>
      <c r="T88"/>
      <c r="U88"/>
    </row>
    <row r="89" spans="19:21" x14ac:dyDescent="0.2">
      <c r="S89"/>
      <c r="T89"/>
      <c r="U89"/>
    </row>
    <row r="90" spans="19:21" x14ac:dyDescent="0.2">
      <c r="S90"/>
      <c r="T90"/>
      <c r="U90"/>
    </row>
    <row r="91" spans="19:21" x14ac:dyDescent="0.2">
      <c r="S91"/>
      <c r="T91"/>
      <c r="U91"/>
    </row>
    <row r="92" spans="19:21" x14ac:dyDescent="0.2">
      <c r="S92"/>
      <c r="T92"/>
      <c r="U92"/>
    </row>
    <row r="93" spans="19:21" x14ac:dyDescent="0.2">
      <c r="S93"/>
      <c r="T93"/>
      <c r="U93"/>
    </row>
    <row r="94" spans="19:21" x14ac:dyDescent="0.2">
      <c r="S94"/>
      <c r="T94"/>
      <c r="U94"/>
    </row>
    <row r="95" spans="19:21" x14ac:dyDescent="0.2">
      <c r="S95"/>
      <c r="T95"/>
      <c r="U95"/>
    </row>
    <row r="96" spans="19:21" x14ac:dyDescent="0.2">
      <c r="S96"/>
      <c r="T96"/>
      <c r="U96"/>
    </row>
    <row r="97" spans="19:21" x14ac:dyDescent="0.2">
      <c r="S97"/>
      <c r="T97"/>
      <c r="U97"/>
    </row>
    <row r="98" spans="19:21" x14ac:dyDescent="0.2">
      <c r="S98"/>
      <c r="T98"/>
      <c r="U98"/>
    </row>
    <row r="99" spans="19:21" x14ac:dyDescent="0.2">
      <c r="S99"/>
      <c r="T99"/>
      <c r="U99"/>
    </row>
    <row r="100" spans="19:21" x14ac:dyDescent="0.2">
      <c r="S100"/>
      <c r="T100"/>
      <c r="U100"/>
    </row>
    <row r="101" spans="19:21" x14ac:dyDescent="0.2">
      <c r="S101"/>
      <c r="T101"/>
      <c r="U101"/>
    </row>
    <row r="102" spans="19:21" x14ac:dyDescent="0.2">
      <c r="S102"/>
      <c r="T102"/>
      <c r="U102"/>
    </row>
    <row r="103" spans="19:21" x14ac:dyDescent="0.2">
      <c r="S103"/>
      <c r="T103"/>
      <c r="U103"/>
    </row>
    <row r="104" spans="19:21" x14ac:dyDescent="0.2">
      <c r="S104"/>
      <c r="T104"/>
      <c r="U104"/>
    </row>
    <row r="105" spans="19:21" x14ac:dyDescent="0.2">
      <c r="S105"/>
      <c r="T105"/>
      <c r="U105"/>
    </row>
    <row r="106" spans="19:21" x14ac:dyDescent="0.2">
      <c r="S106"/>
      <c r="T106"/>
      <c r="U106"/>
    </row>
    <row r="107" spans="19:21" x14ac:dyDescent="0.2">
      <c r="S107"/>
      <c r="T107"/>
      <c r="U107"/>
    </row>
    <row r="108" spans="19:21" x14ac:dyDescent="0.2">
      <c r="S108"/>
      <c r="T108"/>
      <c r="U108"/>
    </row>
    <row r="109" spans="19:21" x14ac:dyDescent="0.2">
      <c r="S109"/>
      <c r="T109"/>
      <c r="U109"/>
    </row>
    <row r="110" spans="19:21" x14ac:dyDescent="0.2">
      <c r="S110"/>
      <c r="T110"/>
      <c r="U110"/>
    </row>
    <row r="126" spans="20:21" x14ac:dyDescent="0.2">
      <c r="T126"/>
      <c r="U126"/>
    </row>
  </sheetData>
  <sheetProtection algorithmName="SHA-512" hashValue="zIp/1WC1g+sWd7rBIKkDSS6krFfVZhl9UFJ2gnyaew5N8MuPaQUXTKtqjpn9cKCfJz+GDa2My/nXZWPiMxu8Sw==" saltValue="Qy8meUeGpZyAcfMkUywPRw==" spinCount="100000" sheet="1" scenarios="1"/>
  <mergeCells count="3">
    <mergeCell ref="C38:E38"/>
    <mergeCell ref="C3:I3"/>
    <mergeCell ref="N3:O3"/>
  </mergeCells>
  <pageMargins left="0.7" right="0.7" top="0.75" bottom="0.75" header="0.3" footer="0.3"/>
  <pageSetup orientation="portrait"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N69"/>
  <sheetViews>
    <sheetView topLeftCell="I1" zoomScale="82" zoomScaleNormal="82" workbookViewId="0">
      <selection activeCell="O21" sqref="O21"/>
    </sheetView>
  </sheetViews>
  <sheetFormatPr defaultRowHeight="12.75" x14ac:dyDescent="0.2"/>
  <cols>
    <col min="1" max="1" width="20.42578125" customWidth="1"/>
    <col min="2" max="3" width="16.28515625" customWidth="1"/>
    <col min="4" max="4" width="18.42578125" customWidth="1"/>
    <col min="5" max="5" width="11.42578125" customWidth="1"/>
    <col min="6" max="6" width="14.85546875" customWidth="1"/>
    <col min="8" max="10" width="13.5703125" customWidth="1"/>
    <col min="11" max="11" width="19.140625" customWidth="1"/>
    <col min="12" max="12" width="20" customWidth="1"/>
    <col min="13" max="13" width="13.28515625" customWidth="1"/>
    <col min="14" max="14" width="15.42578125" customWidth="1"/>
    <col min="15" max="15" width="11.5703125" customWidth="1"/>
    <col min="16" max="16" width="10" bestFit="1" customWidth="1"/>
    <col min="33" max="33" width="17.5703125" customWidth="1"/>
    <col min="34" max="34" width="14.42578125" customWidth="1"/>
    <col min="35" max="35" width="11.140625" customWidth="1"/>
    <col min="36" max="36" width="9.85546875" customWidth="1"/>
    <col min="41" max="41" width="19.28515625" customWidth="1"/>
    <col min="42" max="42" width="11.42578125" customWidth="1"/>
    <col min="43" max="44" width="9.42578125" bestFit="1" customWidth="1"/>
    <col min="47" max="47" width="13.5703125" customWidth="1"/>
  </cols>
  <sheetData>
    <row r="1" spans="1:12" ht="28.5" customHeight="1" x14ac:dyDescent="0.35">
      <c r="A1" s="19" t="s">
        <v>263</v>
      </c>
      <c r="B1" s="28"/>
      <c r="C1" s="28"/>
      <c r="E1" s="28"/>
      <c r="F1" s="96"/>
    </row>
    <row r="2" spans="1:12" ht="26.25" customHeight="1" x14ac:dyDescent="0.35">
      <c r="A2" s="589" t="s">
        <v>277</v>
      </c>
      <c r="B2" s="588"/>
      <c r="C2" s="413"/>
      <c r="D2" s="37"/>
      <c r="E2" s="37"/>
      <c r="G2" s="203"/>
      <c r="H2" s="477"/>
      <c r="I2" s="477" t="s">
        <v>268</v>
      </c>
      <c r="J2" s="477"/>
      <c r="K2" s="477"/>
      <c r="L2" s="477"/>
    </row>
    <row r="3" spans="1:12" ht="26.25" customHeight="1" x14ac:dyDescent="0.35">
      <c r="A3" s="590" t="s">
        <v>275</v>
      </c>
      <c r="B3" s="588"/>
      <c r="C3" s="413"/>
      <c r="D3" s="37"/>
      <c r="E3" s="37"/>
      <c r="G3" s="203"/>
      <c r="I3" s="650" t="s">
        <v>278</v>
      </c>
      <c r="J3" s="650"/>
      <c r="K3" s="650"/>
      <c r="L3" s="650"/>
    </row>
    <row r="4" spans="1:12" ht="32.25" customHeight="1" x14ac:dyDescent="0.2">
      <c r="A4" s="354" t="s">
        <v>72</v>
      </c>
      <c r="B4" s="355" t="s">
        <v>162</v>
      </c>
      <c r="C4" s="355" t="s">
        <v>161</v>
      </c>
      <c r="D4" s="355" t="s">
        <v>150</v>
      </c>
      <c r="G4" s="381"/>
      <c r="H4" s="583" t="s">
        <v>72</v>
      </c>
      <c r="I4" s="584" t="s">
        <v>265</v>
      </c>
      <c r="J4" s="596" t="s">
        <v>276</v>
      </c>
      <c r="K4" s="591" t="s">
        <v>28</v>
      </c>
      <c r="L4" s="585" t="s">
        <v>136</v>
      </c>
    </row>
    <row r="5" spans="1:12" ht="18" customHeight="1" x14ac:dyDescent="0.2">
      <c r="A5" s="89" t="s">
        <v>0</v>
      </c>
      <c r="B5" s="312">
        <v>41131.537270911649</v>
      </c>
      <c r="C5" s="313">
        <v>6545.3905274279105</v>
      </c>
      <c r="D5" s="313">
        <f>B5-C5</f>
        <v>34586.14674348374</v>
      </c>
      <c r="H5" s="401" t="s">
        <v>10</v>
      </c>
      <c r="I5" s="416">
        <f>B15</f>
        <v>433085.81025839195</v>
      </c>
      <c r="J5" s="593">
        <v>433000</v>
      </c>
      <c r="K5" s="416">
        <f>C15</f>
        <v>3530.8443738996325</v>
      </c>
      <c r="L5" s="582">
        <f>I5-K5</f>
        <v>429554.96588449233</v>
      </c>
    </row>
    <row r="6" spans="1:12" x14ac:dyDescent="0.2">
      <c r="A6" s="89" t="s">
        <v>1</v>
      </c>
      <c r="B6" s="314">
        <v>14.163658730447438</v>
      </c>
      <c r="C6" s="315">
        <v>0.19442030652793313</v>
      </c>
      <c r="D6" s="316">
        <f t="shared" ref="D6:D28" si="0">B6-C6</f>
        <v>13.969238423919505</v>
      </c>
      <c r="H6" s="401" t="s">
        <v>0</v>
      </c>
      <c r="I6" s="416">
        <f>B5</f>
        <v>41131.537270911649</v>
      </c>
      <c r="J6" s="593">
        <v>41000</v>
      </c>
      <c r="K6" s="416">
        <f>C5</f>
        <v>6545.3905274279105</v>
      </c>
      <c r="L6" s="582">
        <f>I6-K6</f>
        <v>34586.14674348374</v>
      </c>
    </row>
    <row r="7" spans="1:12" x14ac:dyDescent="0.2">
      <c r="A7" s="89" t="s">
        <v>2</v>
      </c>
      <c r="B7" s="314">
        <v>358.36157806353094</v>
      </c>
      <c r="C7" s="316">
        <v>2.9523447175815689</v>
      </c>
      <c r="D7" s="316">
        <f t="shared" si="0"/>
        <v>355.40923334594936</v>
      </c>
      <c r="H7" s="401" t="s">
        <v>6</v>
      </c>
      <c r="I7" s="416">
        <f>B11</f>
        <v>24705.199608063802</v>
      </c>
      <c r="J7" s="594">
        <v>24700</v>
      </c>
      <c r="K7" s="416">
        <f>C11</f>
        <v>31095.26863655827</v>
      </c>
      <c r="L7" s="582">
        <v>0</v>
      </c>
    </row>
    <row r="8" spans="1:12" x14ac:dyDescent="0.2">
      <c r="A8" s="89" t="s">
        <v>3</v>
      </c>
      <c r="B8" s="314">
        <v>417.55571877003194</v>
      </c>
      <c r="C8" s="316">
        <v>1.4659831439661308</v>
      </c>
      <c r="D8" s="316">
        <f t="shared" si="0"/>
        <v>416.08973562606582</v>
      </c>
      <c r="H8" s="401" t="s">
        <v>12</v>
      </c>
      <c r="I8" s="416">
        <f>B17</f>
        <v>12339.675040341528</v>
      </c>
      <c r="J8" s="594">
        <v>12300</v>
      </c>
      <c r="K8" s="416">
        <f>C17</f>
        <v>2463.8041140840892</v>
      </c>
      <c r="L8" s="582">
        <f t="shared" ref="L8:L28" si="1">I8-K8</f>
        <v>9875.8709262574394</v>
      </c>
    </row>
    <row r="9" spans="1:12" x14ac:dyDescent="0.2">
      <c r="A9" s="89" t="s">
        <v>4</v>
      </c>
      <c r="B9" s="314">
        <v>6.0074850040445185</v>
      </c>
      <c r="C9" s="316">
        <v>2.4240599160451719</v>
      </c>
      <c r="D9" s="316">
        <f t="shared" si="0"/>
        <v>3.5834250879993466</v>
      </c>
      <c r="H9" s="401" t="s">
        <v>17</v>
      </c>
      <c r="I9" s="416">
        <f>B22</f>
        <v>9155.3321070263137</v>
      </c>
      <c r="J9" s="594">
        <v>9200</v>
      </c>
      <c r="K9" s="416">
        <f>C22</f>
        <v>462.38768603604444</v>
      </c>
      <c r="L9" s="582">
        <f t="shared" si="1"/>
        <v>8692.9444209902686</v>
      </c>
    </row>
    <row r="10" spans="1:12" x14ac:dyDescent="0.2">
      <c r="A10" s="89" t="s">
        <v>5</v>
      </c>
      <c r="B10" s="314">
        <v>7.6885632967813944</v>
      </c>
      <c r="C10" s="316">
        <v>7.2315237786816908</v>
      </c>
      <c r="D10" s="316">
        <f t="shared" si="0"/>
        <v>0.45703951809970356</v>
      </c>
      <c r="H10" s="401" t="s">
        <v>11</v>
      </c>
      <c r="I10" s="416">
        <f>B16</f>
        <v>7658.3040753774621</v>
      </c>
      <c r="J10" s="594">
        <v>7600</v>
      </c>
      <c r="K10" s="416">
        <f>C16</f>
        <v>11.766533534938388</v>
      </c>
      <c r="L10" s="582">
        <f t="shared" si="1"/>
        <v>7646.5375418425238</v>
      </c>
    </row>
    <row r="11" spans="1:12" x14ac:dyDescent="0.2">
      <c r="A11" s="89" t="s">
        <v>6</v>
      </c>
      <c r="B11" s="312">
        <v>24705.199608063802</v>
      </c>
      <c r="C11" s="313">
        <v>31095.26863655827</v>
      </c>
      <c r="D11" s="313">
        <f t="shared" si="0"/>
        <v>-6390.0690284944685</v>
      </c>
      <c r="H11" s="401" t="s">
        <v>13</v>
      </c>
      <c r="I11" s="416">
        <f>B18</f>
        <v>3599.4502161101645</v>
      </c>
      <c r="J11" s="594">
        <v>3600</v>
      </c>
      <c r="K11" s="416">
        <f>C18</f>
        <v>2387.0914716362568</v>
      </c>
      <c r="L11" s="582">
        <f t="shared" si="1"/>
        <v>1212.3587444739078</v>
      </c>
    </row>
    <row r="12" spans="1:12" x14ac:dyDescent="0.2">
      <c r="A12" s="89" t="s">
        <v>7</v>
      </c>
      <c r="B12" s="314">
        <v>30.591531587259261</v>
      </c>
      <c r="C12" s="317">
        <v>0.20706137198391647</v>
      </c>
      <c r="D12" s="316">
        <f t="shared" si="0"/>
        <v>30.384470215275346</v>
      </c>
      <c r="H12" s="401" t="s">
        <v>23</v>
      </c>
      <c r="I12" s="416">
        <f>B28</f>
        <v>2059.3418313169441</v>
      </c>
      <c r="J12" s="594">
        <v>2060</v>
      </c>
      <c r="K12" s="416">
        <f>C28</f>
        <v>1791.3381194567939</v>
      </c>
      <c r="L12" s="582">
        <f t="shared" si="1"/>
        <v>268.00371186015013</v>
      </c>
    </row>
    <row r="13" spans="1:12" x14ac:dyDescent="0.2">
      <c r="A13" s="89" t="s">
        <v>8</v>
      </c>
      <c r="B13" s="314">
        <v>17.683640419706315</v>
      </c>
      <c r="C13" s="313">
        <v>13.869912482795504</v>
      </c>
      <c r="D13" s="316">
        <f t="shared" si="0"/>
        <v>3.8137279369108104</v>
      </c>
      <c r="H13" s="401" t="s">
        <v>9</v>
      </c>
      <c r="I13" s="416">
        <f>B14</f>
        <v>1615.0111257998271</v>
      </c>
      <c r="J13" s="594">
        <v>1600</v>
      </c>
      <c r="K13" s="416">
        <f>C14</f>
        <v>731.71145733645881</v>
      </c>
      <c r="L13" s="582">
        <f t="shared" si="1"/>
        <v>883.29966846336833</v>
      </c>
    </row>
    <row r="14" spans="1:12" x14ac:dyDescent="0.2">
      <c r="A14" s="89" t="s">
        <v>9</v>
      </c>
      <c r="B14" s="312">
        <v>1615.0111257998271</v>
      </c>
      <c r="C14" s="313">
        <v>731.71145733645881</v>
      </c>
      <c r="D14" s="313">
        <f t="shared" si="0"/>
        <v>883.29966846336833</v>
      </c>
      <c r="H14" s="401" t="s">
        <v>20</v>
      </c>
      <c r="I14" s="416">
        <f>B25</f>
        <v>1129.5973599536217</v>
      </c>
      <c r="J14" s="594">
        <v>1100</v>
      </c>
      <c r="K14" s="416">
        <f>C25</f>
        <v>340.97860298194496</v>
      </c>
      <c r="L14" s="582">
        <f t="shared" si="1"/>
        <v>788.6187569716767</v>
      </c>
    </row>
    <row r="15" spans="1:12" x14ac:dyDescent="0.2">
      <c r="A15" s="89" t="s">
        <v>10</v>
      </c>
      <c r="B15" s="312">
        <v>433085.81025839195</v>
      </c>
      <c r="C15" s="313">
        <v>3530.8443738996325</v>
      </c>
      <c r="D15" s="313">
        <f t="shared" si="0"/>
        <v>429554.96588449233</v>
      </c>
      <c r="H15" s="401" t="s">
        <v>3</v>
      </c>
      <c r="I15" s="416">
        <f>B8</f>
        <v>417.55571877003194</v>
      </c>
      <c r="J15" s="594">
        <v>400</v>
      </c>
      <c r="K15" s="416">
        <f>C8</f>
        <v>1.4659831439661308</v>
      </c>
      <c r="L15" s="582">
        <f t="shared" si="1"/>
        <v>416.08973562606582</v>
      </c>
    </row>
    <row r="16" spans="1:12" x14ac:dyDescent="0.2">
      <c r="A16" s="89" t="s">
        <v>11</v>
      </c>
      <c r="B16" s="312">
        <v>7658.3040753774621</v>
      </c>
      <c r="C16" s="316">
        <v>11.766533534938388</v>
      </c>
      <c r="D16" s="313">
        <f t="shared" si="0"/>
        <v>7646.5375418425238</v>
      </c>
      <c r="H16" s="401" t="s">
        <v>2</v>
      </c>
      <c r="I16" s="416">
        <f>B7</f>
        <v>358.36157806353094</v>
      </c>
      <c r="J16" s="594">
        <v>350</v>
      </c>
      <c r="K16" s="416">
        <f>C7</f>
        <v>2.9523447175815689</v>
      </c>
      <c r="L16" s="582">
        <f t="shared" si="1"/>
        <v>355.40923334594936</v>
      </c>
    </row>
    <row r="17" spans="1:12" x14ac:dyDescent="0.2">
      <c r="A17" s="89" t="s">
        <v>12</v>
      </c>
      <c r="B17" s="312">
        <v>12339.675040341528</v>
      </c>
      <c r="C17" s="313">
        <v>2463.8041140840892</v>
      </c>
      <c r="D17" s="313">
        <f t="shared" si="0"/>
        <v>9875.8709262574394</v>
      </c>
      <c r="H17" s="401" t="s">
        <v>22</v>
      </c>
      <c r="I17" s="416">
        <f>B27</f>
        <v>237.82519776910965</v>
      </c>
      <c r="J17" s="594">
        <v>240</v>
      </c>
      <c r="K17" s="416">
        <f>C27</f>
        <v>0.8004163131523665</v>
      </c>
      <c r="L17" s="582">
        <f t="shared" si="1"/>
        <v>237.02478145595728</v>
      </c>
    </row>
    <row r="18" spans="1:12" x14ac:dyDescent="0.2">
      <c r="A18" s="89" t="s">
        <v>13</v>
      </c>
      <c r="B18" s="312">
        <v>3599.4502161101645</v>
      </c>
      <c r="C18" s="313">
        <v>2387.0914716362568</v>
      </c>
      <c r="D18" s="313">
        <f t="shared" si="0"/>
        <v>1212.3587444739078</v>
      </c>
      <c r="H18" s="401" t="s">
        <v>39</v>
      </c>
      <c r="I18" s="416">
        <f>B20</f>
        <v>86.821241775490762</v>
      </c>
      <c r="J18" s="594">
        <v>85</v>
      </c>
      <c r="K18" s="416">
        <f>C20</f>
        <v>0.34497635289459816</v>
      </c>
      <c r="L18" s="582">
        <f t="shared" si="1"/>
        <v>86.476265422596157</v>
      </c>
    </row>
    <row r="19" spans="1:12" x14ac:dyDescent="0.2">
      <c r="A19" s="89" t="s">
        <v>14</v>
      </c>
      <c r="B19" s="314">
        <v>0.81206518993845844</v>
      </c>
      <c r="C19" s="318">
        <v>6.881760000000003E-5</v>
      </c>
      <c r="D19" s="316">
        <f t="shared" si="0"/>
        <v>0.81199637233845845</v>
      </c>
      <c r="H19" s="401" t="s">
        <v>19</v>
      </c>
      <c r="I19" s="416">
        <f>B24</f>
        <v>47.447647087767329</v>
      </c>
      <c r="J19" s="594">
        <v>50</v>
      </c>
      <c r="K19" s="416">
        <f>C24</f>
        <v>0.20440855973356231</v>
      </c>
      <c r="L19" s="582">
        <f t="shared" si="1"/>
        <v>47.243238528033764</v>
      </c>
    </row>
    <row r="20" spans="1:12" x14ac:dyDescent="0.2">
      <c r="A20" s="89" t="s">
        <v>39</v>
      </c>
      <c r="B20" s="314">
        <v>86.821241775490762</v>
      </c>
      <c r="C20" s="316">
        <v>0.34497635289459816</v>
      </c>
      <c r="D20" s="316">
        <f t="shared" si="0"/>
        <v>86.476265422596157</v>
      </c>
      <c r="H20" s="401" t="s">
        <v>7</v>
      </c>
      <c r="I20" s="416">
        <f>B12</f>
        <v>30.591531587259261</v>
      </c>
      <c r="J20" s="594">
        <v>30</v>
      </c>
      <c r="K20" s="416">
        <f>C12</f>
        <v>0.20706137198391647</v>
      </c>
      <c r="L20" s="582">
        <f t="shared" si="1"/>
        <v>30.384470215275346</v>
      </c>
    </row>
    <row r="21" spans="1:12" x14ac:dyDescent="0.2">
      <c r="A21" s="89" t="s">
        <v>16</v>
      </c>
      <c r="B21" s="314">
        <v>12.466219980390697</v>
      </c>
      <c r="C21" s="313">
        <v>6.157628085869197</v>
      </c>
      <c r="D21" s="316">
        <f t="shared" si="0"/>
        <v>6.3085918945215003</v>
      </c>
      <c r="H21" s="401" t="s">
        <v>8</v>
      </c>
      <c r="I21" s="416">
        <f>B13</f>
        <v>17.683640419706315</v>
      </c>
      <c r="J21" s="594">
        <v>17</v>
      </c>
      <c r="K21" s="416">
        <f>C13</f>
        <v>13.869912482795504</v>
      </c>
      <c r="L21" s="582">
        <f t="shared" si="1"/>
        <v>3.8137279369108104</v>
      </c>
    </row>
    <row r="22" spans="1:12" x14ac:dyDescent="0.2">
      <c r="A22" s="89" t="s">
        <v>17</v>
      </c>
      <c r="B22" s="312">
        <v>9155.3321070263137</v>
      </c>
      <c r="C22" s="313">
        <v>462.38768603604444</v>
      </c>
      <c r="D22" s="313">
        <f t="shared" si="0"/>
        <v>8692.9444209902686</v>
      </c>
      <c r="H22" s="401" t="s">
        <v>1</v>
      </c>
      <c r="I22" s="416">
        <f>B6</f>
        <v>14.163658730447438</v>
      </c>
      <c r="J22" s="594">
        <v>14</v>
      </c>
      <c r="K22" s="416">
        <f>C6</f>
        <v>0.19442030652793313</v>
      </c>
      <c r="L22" s="582">
        <f t="shared" si="1"/>
        <v>13.969238423919505</v>
      </c>
    </row>
    <row r="23" spans="1:12" x14ac:dyDescent="0.2">
      <c r="A23" s="89" t="s">
        <v>18</v>
      </c>
      <c r="B23" s="314">
        <v>11.218464206675879</v>
      </c>
      <c r="C23" s="316">
        <v>0.4155086178721118</v>
      </c>
      <c r="D23" s="316">
        <f t="shared" si="0"/>
        <v>10.802955588803767</v>
      </c>
      <c r="H23" s="401" t="s">
        <v>16</v>
      </c>
      <c r="I23" s="416">
        <f>B21</f>
        <v>12.466219980390697</v>
      </c>
      <c r="J23" s="594">
        <v>13</v>
      </c>
      <c r="K23" s="416">
        <f>C21</f>
        <v>6.157628085869197</v>
      </c>
      <c r="L23" s="582">
        <f t="shared" si="1"/>
        <v>6.3085918945215003</v>
      </c>
    </row>
    <row r="24" spans="1:12" x14ac:dyDescent="0.2">
      <c r="A24" s="89" t="s">
        <v>19</v>
      </c>
      <c r="B24" s="314">
        <v>47.447647087767329</v>
      </c>
      <c r="C24" s="316">
        <v>0.20440855973356231</v>
      </c>
      <c r="D24" s="316">
        <f t="shared" si="0"/>
        <v>47.243238528033764</v>
      </c>
      <c r="H24" s="401" t="s">
        <v>18</v>
      </c>
      <c r="I24" s="416">
        <f>B23</f>
        <v>11.218464206675879</v>
      </c>
      <c r="J24" s="594">
        <v>11</v>
      </c>
      <c r="K24" s="416">
        <f>C23</f>
        <v>0.4155086178721118</v>
      </c>
      <c r="L24" s="582">
        <f t="shared" si="1"/>
        <v>10.802955588803767</v>
      </c>
    </row>
    <row r="25" spans="1:12" x14ac:dyDescent="0.2">
      <c r="A25" s="89" t="s">
        <v>20</v>
      </c>
      <c r="B25" s="314">
        <v>1129.5973599536217</v>
      </c>
      <c r="C25" s="313">
        <v>340.97860298194496</v>
      </c>
      <c r="D25" s="316">
        <f t="shared" si="0"/>
        <v>788.6187569716767</v>
      </c>
      <c r="H25" s="401" t="s">
        <v>5</v>
      </c>
      <c r="I25" s="416">
        <f>B10</f>
        <v>7.6885632967813944</v>
      </c>
      <c r="J25" s="594">
        <v>8</v>
      </c>
      <c r="K25" s="416">
        <f>C10</f>
        <v>7.2315237786816908</v>
      </c>
      <c r="L25" s="582">
        <f t="shared" si="1"/>
        <v>0.45703951809970356</v>
      </c>
    </row>
    <row r="26" spans="1:12" x14ac:dyDescent="0.2">
      <c r="A26" s="89" t="s">
        <v>21</v>
      </c>
      <c r="B26" s="314">
        <v>5.6084295924179388</v>
      </c>
      <c r="C26" s="316">
        <v>0.2021595678703843</v>
      </c>
      <c r="D26" s="316">
        <f t="shared" si="0"/>
        <v>5.4062700245475543</v>
      </c>
      <c r="H26" s="401" t="s">
        <v>4</v>
      </c>
      <c r="I26" s="416">
        <f>B9</f>
        <v>6.0074850040445185</v>
      </c>
      <c r="J26" s="594">
        <v>6</v>
      </c>
      <c r="K26" s="416">
        <f>C9</f>
        <v>2.4240599160451719</v>
      </c>
      <c r="L26" s="582">
        <f t="shared" si="1"/>
        <v>3.5834250879993466</v>
      </c>
    </row>
    <row r="27" spans="1:12" x14ac:dyDescent="0.2">
      <c r="A27" s="89" t="s">
        <v>22</v>
      </c>
      <c r="B27" s="314">
        <v>237.82519776910965</v>
      </c>
      <c r="C27" s="316">
        <v>0.8004163131523665</v>
      </c>
      <c r="D27" s="316">
        <f t="shared" si="0"/>
        <v>237.02478145595728</v>
      </c>
      <c r="H27" s="401" t="s">
        <v>21</v>
      </c>
      <c r="I27" s="416">
        <f>B26</f>
        <v>5.6084295924179388</v>
      </c>
      <c r="J27" s="594">
        <v>6</v>
      </c>
      <c r="K27" s="416">
        <f>C26</f>
        <v>0.2021595678703843</v>
      </c>
      <c r="L27" s="582">
        <f t="shared" si="1"/>
        <v>5.4062700245475543</v>
      </c>
    </row>
    <row r="28" spans="1:12" ht="17.25" customHeight="1" x14ac:dyDescent="0.2">
      <c r="A28" s="89" t="s">
        <v>23</v>
      </c>
      <c r="B28" s="312">
        <v>2059.3418313169441</v>
      </c>
      <c r="C28" s="313">
        <v>1791.3381194567939</v>
      </c>
      <c r="D28" s="313">
        <f t="shared" si="0"/>
        <v>268.00371186015013</v>
      </c>
      <c r="H28" s="401" t="s">
        <v>14</v>
      </c>
      <c r="I28" s="416">
        <v>1</v>
      </c>
      <c r="J28" s="593">
        <v>1</v>
      </c>
      <c r="K28" s="416">
        <v>1</v>
      </c>
      <c r="L28" s="582">
        <f t="shared" si="1"/>
        <v>0</v>
      </c>
    </row>
    <row r="29" spans="1:12" x14ac:dyDescent="0.2">
      <c r="A29" s="350" t="s">
        <v>266</v>
      </c>
      <c r="B29" s="351">
        <f>SUM(B5:B28)</f>
        <v>537733.51033476682</v>
      </c>
      <c r="C29" s="351">
        <f>SUM(C5:C28)</f>
        <v>49397.051994984919</v>
      </c>
      <c r="D29" s="351">
        <f>SUM(D5:D28)</f>
        <v>488336.45833978191</v>
      </c>
      <c r="E29" s="41"/>
    </row>
    <row r="30" spans="1:12" x14ac:dyDescent="0.2">
      <c r="A30" s="350" t="s">
        <v>51</v>
      </c>
      <c r="B30" s="351">
        <f>B11+B17+B22+B25</f>
        <v>47329.804115385261</v>
      </c>
      <c r="C30" s="351">
        <f>C11+C17+C22+C25</f>
        <v>34362.439039660348</v>
      </c>
      <c r="D30" s="351">
        <f>D11+D17+D22+D25</f>
        <v>12967.365075724916</v>
      </c>
      <c r="E30" s="42"/>
      <c r="F30" s="14"/>
      <c r="G30" s="35"/>
      <c r="H30" s="35"/>
      <c r="I30" s="592" t="s">
        <v>271</v>
      </c>
      <c r="J30" s="35"/>
    </row>
    <row r="31" spans="1:12" x14ac:dyDescent="0.2">
      <c r="A31" s="350" t="s">
        <v>267</v>
      </c>
      <c r="B31" s="351">
        <f>B29-B30</f>
        <v>490403.70621938154</v>
      </c>
      <c r="C31" s="351">
        <f>C29-C30</f>
        <v>15034.61295532457</v>
      </c>
      <c r="D31" s="351">
        <f>D29-D30</f>
        <v>475369.09326405701</v>
      </c>
      <c r="E31" s="41"/>
      <c r="F31" s="14"/>
      <c r="I31" s="8" t="s">
        <v>269</v>
      </c>
      <c r="J31" s="13">
        <f>J5+J6+J11</f>
        <v>477600</v>
      </c>
      <c r="K31" t="s">
        <v>34</v>
      </c>
    </row>
    <row r="32" spans="1:12" x14ac:dyDescent="0.2">
      <c r="A32" s="338" t="s">
        <v>24</v>
      </c>
      <c r="B32" s="339">
        <v>18170</v>
      </c>
      <c r="C32" s="319"/>
      <c r="D32" s="320"/>
      <c r="E32" s="43"/>
      <c r="F32" s="14"/>
      <c r="I32" s="595" t="s">
        <v>270</v>
      </c>
      <c r="J32" s="13">
        <f>J10+J12+J13+J16+J25</f>
        <v>11618</v>
      </c>
      <c r="K32" t="s">
        <v>34</v>
      </c>
    </row>
    <row r="33" spans="1:14" x14ac:dyDescent="0.2">
      <c r="A33" s="338" t="s">
        <v>25</v>
      </c>
      <c r="B33" s="340">
        <v>13.63</v>
      </c>
      <c r="C33" s="321"/>
      <c r="D33" s="309"/>
      <c r="I33" s="8" t="s">
        <v>272</v>
      </c>
      <c r="J33" s="13">
        <f>J7+J8+J9+J14</f>
        <v>47300</v>
      </c>
      <c r="K33" t="s">
        <v>34</v>
      </c>
    </row>
    <row r="34" spans="1:14" x14ac:dyDescent="0.2">
      <c r="A34" s="338" t="s">
        <v>26</v>
      </c>
      <c r="B34" s="341">
        <v>114</v>
      </c>
      <c r="C34" s="322"/>
      <c r="D34" s="310"/>
      <c r="I34" s="8" t="s">
        <v>273</v>
      </c>
      <c r="J34" s="13">
        <f>J36-J31-J32-J33</f>
        <v>873</v>
      </c>
      <c r="K34" t="s">
        <v>34</v>
      </c>
    </row>
    <row r="35" spans="1:14" x14ac:dyDescent="0.2">
      <c r="A35" s="338" t="s">
        <v>27</v>
      </c>
      <c r="B35" s="340">
        <v>0.28000000000000003</v>
      </c>
      <c r="C35" s="323"/>
      <c r="D35" s="311"/>
    </row>
    <row r="36" spans="1:14" ht="15.75" x14ac:dyDescent="0.25">
      <c r="A36" s="352" t="s">
        <v>53</v>
      </c>
      <c r="B36" s="353">
        <f>B29+B32+B33+B34+B35</f>
        <v>556031.42033476685</v>
      </c>
      <c r="C36" s="324"/>
      <c r="D36" s="324"/>
      <c r="I36" s="8" t="s">
        <v>264</v>
      </c>
      <c r="J36" s="13">
        <f>SUM(J5:J28)</f>
        <v>537391</v>
      </c>
      <c r="K36" t="s">
        <v>34</v>
      </c>
    </row>
    <row r="37" spans="1:14" x14ac:dyDescent="0.2">
      <c r="A37" s="290"/>
      <c r="B37" s="290"/>
    </row>
    <row r="41" spans="1:14" ht="18.75" x14ac:dyDescent="0.3">
      <c r="K41" s="19"/>
      <c r="L41" s="19" t="s">
        <v>274</v>
      </c>
      <c r="M41" s="39"/>
      <c r="N41" s="417" t="s">
        <v>279</v>
      </c>
    </row>
    <row r="42" spans="1:14" ht="18.75" x14ac:dyDescent="0.3">
      <c r="D42" s="79" t="s">
        <v>280</v>
      </c>
      <c r="K42" s="19"/>
      <c r="L42" s="39"/>
      <c r="M42" s="9" t="s">
        <v>34</v>
      </c>
      <c r="N42" s="9" t="s">
        <v>34</v>
      </c>
    </row>
    <row r="43" spans="1:14" x14ac:dyDescent="0.2">
      <c r="K43" s="39"/>
      <c r="L43" s="9"/>
      <c r="M43" s="586" t="s">
        <v>29</v>
      </c>
      <c r="N43" s="586" t="s">
        <v>66</v>
      </c>
    </row>
    <row r="44" spans="1:14" x14ac:dyDescent="0.2">
      <c r="K44" s="39" t="s">
        <v>137</v>
      </c>
      <c r="L44" s="39"/>
      <c r="M44" s="18">
        <f>J31</f>
        <v>477600</v>
      </c>
      <c r="N44" s="18">
        <v>477600</v>
      </c>
    </row>
    <row r="45" spans="1:14" x14ac:dyDescent="0.2">
      <c r="K45" s="39" t="s">
        <v>183</v>
      </c>
      <c r="L45" s="39"/>
      <c r="M45" s="18">
        <f>J32</f>
        <v>11618</v>
      </c>
      <c r="N45" s="18">
        <v>11600</v>
      </c>
    </row>
    <row r="46" spans="1:14" x14ac:dyDescent="0.2">
      <c r="K46" s="39" t="s">
        <v>184</v>
      </c>
      <c r="L46" s="39"/>
      <c r="M46" s="18">
        <f>J33</f>
        <v>47300</v>
      </c>
      <c r="N46" s="18">
        <v>47100</v>
      </c>
    </row>
    <row r="47" spans="1:14" x14ac:dyDescent="0.2">
      <c r="K47" s="39" t="s">
        <v>159</v>
      </c>
      <c r="L47" s="39"/>
      <c r="M47" s="18">
        <f>J34</f>
        <v>873</v>
      </c>
      <c r="N47" s="18">
        <v>900</v>
      </c>
    </row>
    <row r="48" spans="1:14" x14ac:dyDescent="0.2">
      <c r="B48" s="9" t="s">
        <v>93</v>
      </c>
      <c r="K48" s="39"/>
      <c r="L48" s="39"/>
      <c r="M48" s="18"/>
      <c r="N48" s="18"/>
    </row>
    <row r="49" spans="1:14" ht="15" x14ac:dyDescent="0.25">
      <c r="A49" s="23"/>
      <c r="B49" s="23"/>
      <c r="C49" s="587" t="s">
        <v>160</v>
      </c>
      <c r="D49" s="23" t="s">
        <v>47</v>
      </c>
      <c r="K49" s="39"/>
      <c r="L49" s="39"/>
      <c r="M49" s="18">
        <f>SUM(M44:M48)</f>
        <v>537391</v>
      </c>
      <c r="N49" s="18">
        <f>SUM(N44:N48)</f>
        <v>537200</v>
      </c>
    </row>
    <row r="50" spans="1:14" ht="15" x14ac:dyDescent="0.25">
      <c r="A50" s="23"/>
      <c r="B50" s="587" t="s">
        <v>28</v>
      </c>
      <c r="C50" s="261">
        <v>2900</v>
      </c>
      <c r="D50" s="261">
        <v>15000</v>
      </c>
      <c r="K50" s="39"/>
      <c r="L50" s="39"/>
      <c r="M50" s="18"/>
      <c r="N50" s="18"/>
    </row>
    <row r="51" spans="1:14" ht="15" x14ac:dyDescent="0.25">
      <c r="A51" s="23"/>
      <c r="B51" s="587" t="s">
        <v>109</v>
      </c>
      <c r="C51" s="261">
        <v>0.5</v>
      </c>
      <c r="D51" s="261">
        <v>475000</v>
      </c>
      <c r="K51" s="39"/>
      <c r="L51" s="39"/>
      <c r="M51" s="18">
        <f>M49-M46</f>
        <v>490091</v>
      </c>
      <c r="N51" s="18">
        <f>N49-N46</f>
        <v>490100</v>
      </c>
    </row>
    <row r="52" spans="1:14" ht="15" x14ac:dyDescent="0.25">
      <c r="A52" s="23"/>
      <c r="B52" s="23"/>
      <c r="C52" s="23"/>
      <c r="D52" s="23"/>
    </row>
    <row r="69" spans="8:10" x14ac:dyDescent="0.2">
      <c r="H69" s="14"/>
      <c r="I69" s="25"/>
      <c r="J69" s="25"/>
    </row>
  </sheetData>
  <sheetProtection algorithmName="SHA-512" hashValue="ZhsDMD3BPXAmF/0uH41NNN1ZVqQx80FWL0ElDEiv1PMBTkSIG1erSbLlKLrFd+J+DmOIQzye6bEUl7yZ3AEUcA==" saltValue="5MSiFlnvLdrvPqkzyAK0JA==" spinCount="100000" sheet="1" scenarios="1"/>
  <mergeCells count="1">
    <mergeCell ref="I3:L3"/>
  </mergeCells>
  <pageMargins left="0.7" right="0.7" top="0.75" bottom="0.75" header="0.3" footer="0.3"/>
  <pageSetup paperSize="3" scale="51" orientation="landscape" r:id="rId1"/>
  <headerFooter>
    <oddFooter>&amp;L&amp;Z&amp;F&amp;R&amp;D &amp;T</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workbookViewId="0">
      <selection activeCell="J14" sqref="J14"/>
    </sheetView>
  </sheetViews>
  <sheetFormatPr defaultRowHeight="12.75" x14ac:dyDescent="0.2"/>
  <cols>
    <col min="1" max="4" width="15.42578125" style="6" customWidth="1"/>
    <col min="5" max="5" width="13.42578125" style="6" customWidth="1"/>
    <col min="6" max="6" width="15.42578125" style="6" customWidth="1"/>
    <col min="7" max="7" width="10" style="1" bestFit="1" customWidth="1"/>
    <col min="8" max="8" width="16.85546875" customWidth="1"/>
    <col min="9" max="9" width="13.42578125" customWidth="1"/>
    <col min="10" max="10" width="13.28515625" customWidth="1"/>
    <col min="12" max="12" width="12.7109375" customWidth="1"/>
    <col min="13" max="13" width="11.7109375" customWidth="1"/>
    <col min="14" max="14" width="12.7109375" customWidth="1"/>
    <col min="15" max="15" width="14.140625" customWidth="1"/>
  </cols>
  <sheetData>
    <row r="1" spans="1:9" ht="23.25" customHeight="1" x14ac:dyDescent="0.3">
      <c r="A1" s="11" t="s">
        <v>49</v>
      </c>
    </row>
    <row r="2" spans="1:9" x14ac:dyDescent="0.2">
      <c r="A2" s="5" t="s">
        <v>40</v>
      </c>
      <c r="B2" s="5" t="s">
        <v>41</v>
      </c>
      <c r="C2" s="5" t="s">
        <v>42</v>
      </c>
      <c r="D2" s="5" t="s">
        <v>43</v>
      </c>
      <c r="E2" s="5"/>
      <c r="F2" s="5" t="s">
        <v>44</v>
      </c>
      <c r="H2" s="378" t="s">
        <v>170</v>
      </c>
    </row>
    <row r="3" spans="1:9" ht="15" x14ac:dyDescent="0.25">
      <c r="A3" s="382">
        <v>12.5419</v>
      </c>
      <c r="B3" s="382">
        <v>12.5419</v>
      </c>
      <c r="C3" s="382">
        <v>12.5419</v>
      </c>
      <c r="D3" s="382">
        <v>12.5419</v>
      </c>
      <c r="E3" s="382"/>
      <c r="F3" s="5" t="s">
        <v>35</v>
      </c>
      <c r="H3" s="261">
        <v>33755585673.599987</v>
      </c>
      <c r="I3" s="379" t="s">
        <v>37</v>
      </c>
    </row>
    <row r="4" spans="1:9" x14ac:dyDescent="0.2">
      <c r="A4" s="5" t="s">
        <v>45</v>
      </c>
      <c r="B4" s="5" t="s">
        <v>45</v>
      </c>
      <c r="C4" s="5" t="s">
        <v>45</v>
      </c>
      <c r="D4" s="5" t="s">
        <v>45</v>
      </c>
      <c r="E4" s="5"/>
      <c r="F4" s="5" t="s">
        <v>46</v>
      </c>
      <c r="G4" s="9" t="s">
        <v>48</v>
      </c>
    </row>
    <row r="5" spans="1:9" ht="22.5" customHeight="1" x14ac:dyDescent="0.25">
      <c r="A5" s="374" t="s">
        <v>281</v>
      </c>
      <c r="B5" s="5"/>
      <c r="C5" s="5"/>
      <c r="D5" s="5"/>
      <c r="E5" s="5"/>
      <c r="F5" s="5"/>
      <c r="G5" s="9"/>
    </row>
    <row r="6" spans="1:9" ht="36.75" customHeight="1" x14ac:dyDescent="0.2">
      <c r="A6" s="370">
        <v>42232</v>
      </c>
      <c r="B6" s="370">
        <v>42233</v>
      </c>
      <c r="C6" s="370">
        <v>42233</v>
      </c>
      <c r="D6" s="370">
        <v>42239</v>
      </c>
      <c r="E6" s="370">
        <v>42451</v>
      </c>
      <c r="F6" s="371" t="s">
        <v>36</v>
      </c>
      <c r="G6" s="12"/>
      <c r="I6" s="37" t="s">
        <v>172</v>
      </c>
    </row>
    <row r="7" spans="1:9" x14ac:dyDescent="0.2">
      <c r="A7" s="372">
        <v>0.53125</v>
      </c>
      <c r="B7" s="372">
        <v>0.5</v>
      </c>
      <c r="C7" s="372">
        <v>0.5</v>
      </c>
      <c r="D7" s="372">
        <v>0.57986111111111105</v>
      </c>
      <c r="E7" s="372">
        <v>0.39930555555555558</v>
      </c>
      <c r="F7" s="373" t="s">
        <v>38</v>
      </c>
      <c r="G7" s="375" t="s">
        <v>88</v>
      </c>
      <c r="H7" s="7"/>
      <c r="I7" s="377" t="s">
        <v>34</v>
      </c>
    </row>
    <row r="8" spans="1:9" x14ac:dyDescent="0.2">
      <c r="A8" s="10">
        <v>7300</v>
      </c>
      <c r="B8" s="10">
        <v>7700</v>
      </c>
      <c r="C8" s="10">
        <v>7800</v>
      </c>
      <c r="D8" s="10">
        <v>7700</v>
      </c>
      <c r="E8" s="10">
        <v>5000</v>
      </c>
      <c r="F8" s="6" t="s">
        <v>0</v>
      </c>
      <c r="G8" s="158">
        <f>AVERAGE(A8:E8)</f>
        <v>7100</v>
      </c>
      <c r="I8" s="13">
        <f>(G8*$H$3)/1000000000</f>
        <v>239664.65828255992</v>
      </c>
    </row>
    <row r="9" spans="1:9" x14ac:dyDescent="0.2">
      <c r="A9" s="369">
        <v>0.4</v>
      </c>
      <c r="B9" s="369">
        <v>0.4</v>
      </c>
      <c r="C9" s="369">
        <v>0.4</v>
      </c>
      <c r="D9" s="369">
        <v>0.2</v>
      </c>
      <c r="E9" s="369">
        <v>0.4</v>
      </c>
      <c r="F9" s="6" t="s">
        <v>1</v>
      </c>
      <c r="G9" s="376">
        <f t="shared" ref="G9:G31" si="0">AVERAGE(A9:E9)</f>
        <v>0.36000000000000004</v>
      </c>
      <c r="I9" s="13">
        <f t="shared" ref="I9:I31" si="1">(G9*$H$3)/1000000000</f>
        <v>12.152010842495997</v>
      </c>
    </row>
    <row r="10" spans="1:9" x14ac:dyDescent="0.2">
      <c r="A10" s="10">
        <v>4.8</v>
      </c>
      <c r="B10" s="10">
        <v>5.2</v>
      </c>
      <c r="C10" s="10">
        <v>5.3</v>
      </c>
      <c r="D10" s="10">
        <v>7.7</v>
      </c>
      <c r="E10" s="368">
        <v>4.0999999999999996</v>
      </c>
      <c r="F10" s="6" t="s">
        <v>2</v>
      </c>
      <c r="G10" s="376">
        <f t="shared" si="0"/>
        <v>5.42</v>
      </c>
      <c r="I10" s="13">
        <f t="shared" si="1"/>
        <v>182.95527435091194</v>
      </c>
    </row>
    <row r="11" spans="1:9" x14ac:dyDescent="0.2">
      <c r="A11" s="10">
        <v>15</v>
      </c>
      <c r="B11" s="10">
        <v>15</v>
      </c>
      <c r="C11" s="10">
        <v>15</v>
      </c>
      <c r="D11" s="10">
        <v>16</v>
      </c>
      <c r="E11" s="368">
        <v>15</v>
      </c>
      <c r="F11" s="6" t="s">
        <v>3</v>
      </c>
      <c r="G11" s="158">
        <f t="shared" si="0"/>
        <v>15.2</v>
      </c>
      <c r="I11" s="13">
        <f t="shared" si="1"/>
        <v>513.08490223871979</v>
      </c>
    </row>
    <row r="12" spans="1:9" x14ac:dyDescent="0.2">
      <c r="A12" s="10">
        <v>1.6</v>
      </c>
      <c r="B12" s="10">
        <v>1.7</v>
      </c>
      <c r="C12" s="10">
        <v>1.7</v>
      </c>
      <c r="D12" s="10">
        <v>1.3</v>
      </c>
      <c r="E12" s="368">
        <v>0.78</v>
      </c>
      <c r="F12" s="6" t="s">
        <v>4</v>
      </c>
      <c r="G12" s="376">
        <f t="shared" si="0"/>
        <v>1.4159999999999999</v>
      </c>
      <c r="I12" s="13">
        <f t="shared" si="1"/>
        <v>47.797909313817584</v>
      </c>
    </row>
    <row r="13" spans="1:9" x14ac:dyDescent="0.2">
      <c r="A13" s="10">
        <v>9.4</v>
      </c>
      <c r="B13" s="10">
        <v>9.8000000000000007</v>
      </c>
      <c r="C13" s="10">
        <v>9.6999999999999993</v>
      </c>
      <c r="D13" s="10">
        <v>9.1999999999999993</v>
      </c>
      <c r="E13" s="368">
        <v>3.8</v>
      </c>
      <c r="F13" s="5" t="s">
        <v>5</v>
      </c>
      <c r="G13" s="376">
        <f t="shared" si="0"/>
        <v>8.379999999999999</v>
      </c>
      <c r="I13" s="13">
        <f t="shared" si="1"/>
        <v>282.87180794476791</v>
      </c>
    </row>
    <row r="14" spans="1:9" x14ac:dyDescent="0.2">
      <c r="A14" s="10">
        <v>170000</v>
      </c>
      <c r="B14" s="10">
        <v>180000</v>
      </c>
      <c r="C14" s="10">
        <v>180000</v>
      </c>
      <c r="D14" s="10">
        <v>170000</v>
      </c>
      <c r="E14" s="10">
        <v>130000</v>
      </c>
      <c r="F14" s="5" t="s">
        <v>6</v>
      </c>
      <c r="G14" s="158">
        <f t="shared" si="0"/>
        <v>166000</v>
      </c>
      <c r="I14" s="13">
        <f t="shared" si="1"/>
        <v>5603427.2218175977</v>
      </c>
    </row>
    <row r="15" spans="1:9" x14ac:dyDescent="0.2">
      <c r="A15" s="368">
        <v>1</v>
      </c>
      <c r="B15" s="368">
        <v>1</v>
      </c>
      <c r="C15" s="368">
        <v>1</v>
      </c>
      <c r="D15" s="368">
        <v>0.5</v>
      </c>
      <c r="E15" s="368">
        <v>1</v>
      </c>
      <c r="F15" s="5" t="s">
        <v>7</v>
      </c>
      <c r="G15" s="376">
        <f t="shared" si="0"/>
        <v>0.9</v>
      </c>
      <c r="I15" s="13">
        <f t="shared" si="1"/>
        <v>30.380027106239989</v>
      </c>
    </row>
    <row r="16" spans="1:9" x14ac:dyDescent="0.2">
      <c r="A16" s="10">
        <v>26</v>
      </c>
      <c r="B16" s="10">
        <v>27</v>
      </c>
      <c r="C16" s="10">
        <v>27</v>
      </c>
      <c r="D16" s="10">
        <v>29</v>
      </c>
      <c r="E16" s="368">
        <v>19</v>
      </c>
      <c r="F16" s="5" t="s">
        <v>8</v>
      </c>
      <c r="G16" s="158">
        <f t="shared" si="0"/>
        <v>25.6</v>
      </c>
      <c r="I16" s="13">
        <f t="shared" si="1"/>
        <v>864.1429932441597</v>
      </c>
    </row>
    <row r="17" spans="1:9" x14ac:dyDescent="0.2">
      <c r="A17" s="10">
        <v>390</v>
      </c>
      <c r="B17" s="10">
        <v>400</v>
      </c>
      <c r="C17" s="10">
        <v>410</v>
      </c>
      <c r="D17" s="10">
        <v>400</v>
      </c>
      <c r="E17" s="368">
        <v>55</v>
      </c>
      <c r="F17" s="5" t="s">
        <v>9</v>
      </c>
      <c r="G17" s="158">
        <f t="shared" si="0"/>
        <v>331</v>
      </c>
      <c r="I17" s="13">
        <f t="shared" si="1"/>
        <v>11173.098857961595</v>
      </c>
    </row>
    <row r="18" spans="1:9" x14ac:dyDescent="0.2">
      <c r="A18" s="10">
        <v>12000</v>
      </c>
      <c r="B18" s="10">
        <v>14000</v>
      </c>
      <c r="C18" s="10">
        <v>14000</v>
      </c>
      <c r="D18" s="10">
        <v>14000</v>
      </c>
      <c r="E18" s="10">
        <v>12000</v>
      </c>
      <c r="F18" s="5" t="s">
        <v>10</v>
      </c>
      <c r="G18" s="158">
        <f t="shared" si="0"/>
        <v>13200</v>
      </c>
      <c r="I18" s="13">
        <f t="shared" si="1"/>
        <v>445573.73089151981</v>
      </c>
    </row>
    <row r="19" spans="1:9" x14ac:dyDescent="0.2">
      <c r="A19" s="10">
        <v>24</v>
      </c>
      <c r="B19" s="10">
        <v>25</v>
      </c>
      <c r="C19" s="10">
        <v>25</v>
      </c>
      <c r="D19" s="10">
        <v>38</v>
      </c>
      <c r="E19" s="368">
        <v>17</v>
      </c>
      <c r="F19" s="5" t="s">
        <v>11</v>
      </c>
      <c r="G19" s="158">
        <f t="shared" si="0"/>
        <v>25.8</v>
      </c>
      <c r="I19" s="13">
        <f t="shared" si="1"/>
        <v>870.89411037887965</v>
      </c>
    </row>
    <row r="20" spans="1:9" x14ac:dyDescent="0.2">
      <c r="A20" s="10">
        <v>9800</v>
      </c>
      <c r="B20" s="10">
        <v>10000</v>
      </c>
      <c r="C20" s="10">
        <v>10000</v>
      </c>
      <c r="D20" s="10">
        <v>10000</v>
      </c>
      <c r="E20" s="10">
        <v>7900</v>
      </c>
      <c r="F20" s="5" t="s">
        <v>12</v>
      </c>
      <c r="G20" s="158">
        <f t="shared" si="0"/>
        <v>9540</v>
      </c>
      <c r="I20" s="13">
        <f t="shared" si="1"/>
        <v>322028.28732614388</v>
      </c>
    </row>
    <row r="21" spans="1:9" x14ac:dyDescent="0.2">
      <c r="A21" s="10">
        <v>5600</v>
      </c>
      <c r="B21" s="10">
        <v>5900</v>
      </c>
      <c r="C21" s="10">
        <v>5900</v>
      </c>
      <c r="D21" s="10">
        <v>5900</v>
      </c>
      <c r="E21" s="10">
        <v>3500</v>
      </c>
      <c r="F21" s="5" t="s">
        <v>13</v>
      </c>
      <c r="G21" s="158">
        <f t="shared" si="0"/>
        <v>5360</v>
      </c>
      <c r="I21" s="13">
        <f t="shared" si="1"/>
        <v>180929.93921049594</v>
      </c>
    </row>
    <row r="22" spans="1:9" x14ac:dyDescent="0.2">
      <c r="A22" s="369">
        <v>0.08</v>
      </c>
      <c r="B22" s="369">
        <v>0.08</v>
      </c>
      <c r="C22" s="369">
        <v>0.08</v>
      </c>
      <c r="D22" s="368">
        <v>0.04</v>
      </c>
      <c r="E22" s="369">
        <v>0.08</v>
      </c>
      <c r="F22" s="5" t="s">
        <v>14</v>
      </c>
      <c r="G22" s="376">
        <f t="shared" si="0"/>
        <v>7.1999999999999995E-2</v>
      </c>
      <c r="I22" s="13">
        <f t="shared" si="1"/>
        <v>2.430402168499199</v>
      </c>
    </row>
    <row r="23" spans="1:9" x14ac:dyDescent="0.2">
      <c r="A23" s="368">
        <v>0.45</v>
      </c>
      <c r="B23" s="368">
        <v>0.51</v>
      </c>
      <c r="C23" s="368">
        <v>0.51</v>
      </c>
      <c r="D23" s="368">
        <v>1</v>
      </c>
      <c r="E23" s="369">
        <v>0.45</v>
      </c>
      <c r="F23" s="5" t="s">
        <v>39</v>
      </c>
      <c r="G23" s="376">
        <f t="shared" si="0"/>
        <v>0.58399999999999996</v>
      </c>
      <c r="I23" s="13">
        <f t="shared" si="1"/>
        <v>19.713262033382392</v>
      </c>
    </row>
    <row r="24" spans="1:9" x14ac:dyDescent="0.2">
      <c r="A24" s="10">
        <v>19</v>
      </c>
      <c r="B24" s="10">
        <v>19</v>
      </c>
      <c r="C24" s="10">
        <v>19</v>
      </c>
      <c r="D24" s="10">
        <v>25</v>
      </c>
      <c r="E24" s="368">
        <v>15</v>
      </c>
      <c r="F24" s="5" t="s">
        <v>16</v>
      </c>
      <c r="G24" s="158">
        <f t="shared" si="0"/>
        <v>19.399999999999999</v>
      </c>
      <c r="I24" s="13">
        <f t="shared" si="1"/>
        <v>654.85836206783972</v>
      </c>
    </row>
    <row r="25" spans="1:9" x14ac:dyDescent="0.2">
      <c r="A25" s="10">
        <v>1700</v>
      </c>
      <c r="B25" s="10">
        <v>1800</v>
      </c>
      <c r="C25" s="10">
        <v>1800</v>
      </c>
      <c r="D25" s="10">
        <v>1900</v>
      </c>
      <c r="E25" s="10">
        <v>1600</v>
      </c>
      <c r="F25" s="5" t="s">
        <v>17</v>
      </c>
      <c r="G25" s="158">
        <f t="shared" si="0"/>
        <v>1760</v>
      </c>
      <c r="I25" s="13">
        <f t="shared" si="1"/>
        <v>59409.830785535974</v>
      </c>
    </row>
    <row r="26" spans="1:9" x14ac:dyDescent="0.2">
      <c r="A26" s="368">
        <v>0.57999999999999996</v>
      </c>
      <c r="B26" s="368">
        <v>0.57999999999999996</v>
      </c>
      <c r="C26" s="368">
        <v>0.57999999999999996</v>
      </c>
      <c r="D26" s="368">
        <v>0.83</v>
      </c>
      <c r="E26" s="369">
        <v>0.57999999999999996</v>
      </c>
      <c r="F26" s="5" t="s">
        <v>18</v>
      </c>
      <c r="G26" s="376">
        <f t="shared" si="0"/>
        <v>0.63</v>
      </c>
      <c r="I26" s="13">
        <f t="shared" si="1"/>
        <v>21.266018974367991</v>
      </c>
    </row>
    <row r="27" spans="1:9" x14ac:dyDescent="0.2">
      <c r="A27" s="368">
        <v>0.1</v>
      </c>
      <c r="B27" s="368">
        <v>0.1</v>
      </c>
      <c r="C27" s="368">
        <v>0.1</v>
      </c>
      <c r="D27" s="368">
        <v>0.13</v>
      </c>
      <c r="E27" s="368">
        <v>0.1</v>
      </c>
      <c r="F27" s="5" t="s">
        <v>19</v>
      </c>
      <c r="G27" s="376">
        <f t="shared" si="0"/>
        <v>0.10600000000000001</v>
      </c>
      <c r="I27" s="13">
        <f t="shared" si="1"/>
        <v>3.5780920814015991</v>
      </c>
    </row>
    <row r="28" spans="1:9" x14ac:dyDescent="0.2">
      <c r="A28" s="10">
        <v>4300</v>
      </c>
      <c r="B28" s="10">
        <v>4500</v>
      </c>
      <c r="C28" s="10">
        <v>4400</v>
      </c>
      <c r="D28" s="10">
        <v>4900</v>
      </c>
      <c r="E28" s="10">
        <v>3100</v>
      </c>
      <c r="F28" s="5" t="s">
        <v>20</v>
      </c>
      <c r="G28" s="158">
        <f t="shared" si="0"/>
        <v>4240</v>
      </c>
      <c r="I28" s="13">
        <f t="shared" si="1"/>
        <v>143123.68325606393</v>
      </c>
    </row>
    <row r="29" spans="1:9" x14ac:dyDescent="0.2">
      <c r="A29" s="368">
        <v>0.17</v>
      </c>
      <c r="B29" s="368">
        <v>0.19</v>
      </c>
      <c r="C29" s="368">
        <v>0.19</v>
      </c>
      <c r="D29" s="368">
        <v>0.1</v>
      </c>
      <c r="E29" s="368">
        <v>0.17</v>
      </c>
      <c r="F29" s="5" t="s">
        <v>21</v>
      </c>
      <c r="G29" s="376">
        <f t="shared" si="0"/>
        <v>0.16400000000000001</v>
      </c>
      <c r="I29" s="13">
        <f t="shared" si="1"/>
        <v>5.5359160504703979</v>
      </c>
    </row>
    <row r="30" spans="1:9" x14ac:dyDescent="0.2">
      <c r="A30" s="368">
        <v>2.8</v>
      </c>
      <c r="B30" s="368">
        <v>3.1</v>
      </c>
      <c r="C30" s="368">
        <v>3</v>
      </c>
      <c r="D30" s="368">
        <v>4.0999999999999996</v>
      </c>
      <c r="E30" s="368">
        <v>2.8</v>
      </c>
      <c r="F30" s="5" t="s">
        <v>22</v>
      </c>
      <c r="G30" s="376">
        <f t="shared" si="0"/>
        <v>3.16</v>
      </c>
      <c r="I30" s="13">
        <f t="shared" si="1"/>
        <v>106.66765072857596</v>
      </c>
    </row>
    <row r="31" spans="1:9" x14ac:dyDescent="0.2">
      <c r="A31" s="10">
        <v>2900</v>
      </c>
      <c r="B31" s="10">
        <v>3000</v>
      </c>
      <c r="C31" s="10">
        <v>3100</v>
      </c>
      <c r="D31" s="10">
        <v>3300</v>
      </c>
      <c r="E31" s="10">
        <v>1500</v>
      </c>
      <c r="F31" s="5" t="s">
        <v>23</v>
      </c>
      <c r="G31" s="158">
        <f t="shared" si="0"/>
        <v>2760</v>
      </c>
      <c r="I31" s="13">
        <f t="shared" si="1"/>
        <v>93165.416459135973</v>
      </c>
    </row>
    <row r="33" spans="1:10" x14ac:dyDescent="0.2">
      <c r="J33" s="276"/>
    </row>
    <row r="34" spans="1:10" x14ac:dyDescent="0.2">
      <c r="A34" s="10">
        <f>SUM(A8:A31)</f>
        <v>214095.38</v>
      </c>
      <c r="B34" s="10">
        <f t="shared" ref="B34:G34" si="2">SUM(B8:B31)</f>
        <v>227408.66</v>
      </c>
      <c r="C34" s="10">
        <f t="shared" si="2"/>
        <v>227518.56</v>
      </c>
      <c r="D34" s="10">
        <f t="shared" si="2"/>
        <v>218233.1</v>
      </c>
      <c r="E34" s="10"/>
      <c r="F34" s="10"/>
      <c r="G34" s="10">
        <f t="shared" si="2"/>
        <v>210398.19199999998</v>
      </c>
      <c r="I34" s="276">
        <f>SUM(I8:I31)</f>
        <v>7102114.1956265392</v>
      </c>
    </row>
    <row r="36" spans="1:10" x14ac:dyDescent="0.2">
      <c r="I36" t="s">
        <v>171</v>
      </c>
    </row>
  </sheetData>
  <sheetProtection algorithmName="SHA-512" hashValue="CNq7oDQCwISSQKdzEllSdWxS8amj/lLcNIsNXrHyJMA/sVrB7yoX6chAwRRTwPJsZjGQU9tz7lrSk7gPBYEimA==" saltValue="+7pKAamdl4gIqshxc2kHFw==" spinCount="100000" sheet="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G39"/>
  <sheetViews>
    <sheetView workbookViewId="0">
      <selection activeCell="N15" sqref="N15"/>
    </sheetView>
  </sheetViews>
  <sheetFormatPr defaultRowHeight="12.75" x14ac:dyDescent="0.2"/>
  <cols>
    <col min="1" max="1" width="23.5703125" style="425" customWidth="1"/>
    <col min="2" max="2" width="9.85546875" style="425" bestFit="1" customWidth="1"/>
    <col min="3" max="3" width="9.140625" style="425"/>
    <col min="4" max="4" width="10.85546875" style="425" customWidth="1"/>
    <col min="5" max="6" width="9.140625" style="425"/>
    <col min="7" max="7" width="10.5703125" style="425" customWidth="1"/>
    <col min="8" max="16384" width="9.140625" style="425"/>
  </cols>
  <sheetData>
    <row r="1" spans="1:7" ht="96" customHeight="1" thickBot="1" x14ac:dyDescent="0.3">
      <c r="B1" s="613"/>
      <c r="C1" s="613"/>
      <c r="D1" s="613"/>
      <c r="E1" s="613"/>
      <c r="F1" s="613"/>
      <c r="G1" s="613"/>
    </row>
    <row r="2" spans="1:7" ht="15.75" customHeight="1" x14ac:dyDescent="0.25">
      <c r="A2" s="426"/>
      <c r="B2" s="614" t="s">
        <v>151</v>
      </c>
      <c r="C2" s="615"/>
      <c r="D2" s="615"/>
      <c r="E2" s="615"/>
      <c r="F2" s="615"/>
      <c r="G2" s="616"/>
    </row>
    <row r="3" spans="1:7" ht="13.5" thickBot="1" x14ac:dyDescent="0.25">
      <c r="A3" s="427"/>
      <c r="B3" s="428" t="s">
        <v>142</v>
      </c>
      <c r="C3" s="429" t="s">
        <v>142</v>
      </c>
      <c r="D3" s="429" t="s">
        <v>144</v>
      </c>
      <c r="E3" s="429" t="s">
        <v>144</v>
      </c>
      <c r="F3" s="609"/>
      <c r="G3" s="610"/>
    </row>
    <row r="4" spans="1:7" ht="15.75" x14ac:dyDescent="0.25">
      <c r="A4" s="430" t="s">
        <v>72</v>
      </c>
      <c r="B4" s="431">
        <v>42223</v>
      </c>
      <c r="C4" s="432">
        <v>42227</v>
      </c>
      <c r="D4" s="432">
        <v>42231</v>
      </c>
      <c r="E4" s="433">
        <v>42268</v>
      </c>
      <c r="F4" s="434" t="s">
        <v>88</v>
      </c>
      <c r="G4" s="435" t="s">
        <v>185</v>
      </c>
    </row>
    <row r="5" spans="1:7" x14ac:dyDescent="0.2">
      <c r="A5" s="418" t="s">
        <v>0</v>
      </c>
      <c r="B5" s="329">
        <v>32</v>
      </c>
      <c r="C5" s="291">
        <v>31</v>
      </c>
      <c r="D5" s="292">
        <v>34</v>
      </c>
      <c r="E5" s="298">
        <v>32</v>
      </c>
      <c r="F5" s="436">
        <f>AVERAGE(B5:E5)</f>
        <v>32.25</v>
      </c>
      <c r="G5" s="437">
        <v>33</v>
      </c>
    </row>
    <row r="6" spans="1:7" x14ac:dyDescent="0.2">
      <c r="A6" s="418" t="s">
        <v>1</v>
      </c>
      <c r="B6" s="330" t="s">
        <v>152</v>
      </c>
      <c r="C6" s="296" t="s">
        <v>152</v>
      </c>
      <c r="D6" s="293">
        <v>3.7000000000000002E-3</v>
      </c>
      <c r="E6" s="438">
        <v>6.3E-3</v>
      </c>
      <c r="F6" s="439">
        <f t="shared" ref="F6:F28" si="0">AVERAGE(B6:E6)</f>
        <v>5.0000000000000001E-3</v>
      </c>
      <c r="G6" s="440">
        <v>3.7000000000000002E-3</v>
      </c>
    </row>
    <row r="7" spans="1:7" x14ac:dyDescent="0.2">
      <c r="A7" s="418" t="s">
        <v>2</v>
      </c>
      <c r="B7" s="331">
        <v>8.5999999999999993E-2</v>
      </c>
      <c r="C7" s="294">
        <v>6.7000000000000004E-2</v>
      </c>
      <c r="D7" s="299">
        <v>0.06</v>
      </c>
      <c r="E7" s="419">
        <v>4.3999999999999997E-2</v>
      </c>
      <c r="F7" s="335">
        <f t="shared" si="0"/>
        <v>6.4250000000000002E-2</v>
      </c>
      <c r="G7" s="441">
        <v>0.06</v>
      </c>
    </row>
    <row r="8" spans="1:7" x14ac:dyDescent="0.2">
      <c r="A8" s="418" t="s">
        <v>3</v>
      </c>
      <c r="B8" s="331">
        <v>2.1000000000000001E-2</v>
      </c>
      <c r="C8" s="294" t="s">
        <v>152</v>
      </c>
      <c r="D8" s="296">
        <v>8.6E-3</v>
      </c>
      <c r="E8" s="297">
        <v>1.6999999999999999E-3</v>
      </c>
      <c r="F8" s="335">
        <f t="shared" si="0"/>
        <v>1.0433333333333334E-2</v>
      </c>
      <c r="G8" s="441">
        <v>8.6E-3</v>
      </c>
    </row>
    <row r="9" spans="1:7" x14ac:dyDescent="0.2">
      <c r="A9" s="418" t="s">
        <v>4</v>
      </c>
      <c r="B9" s="331">
        <v>3.0999999999999999E-3</v>
      </c>
      <c r="C9" s="294">
        <v>5.4999999999999997E-3</v>
      </c>
      <c r="D9" s="292">
        <v>1.0999999999999999E-2</v>
      </c>
      <c r="E9" s="298">
        <v>1.2999999999999999E-2</v>
      </c>
      <c r="F9" s="335">
        <f t="shared" si="0"/>
        <v>8.1499999999999993E-3</v>
      </c>
      <c r="G9" s="441">
        <v>1.0999999999999999E-2</v>
      </c>
    </row>
    <row r="10" spans="1:7" x14ac:dyDescent="0.2">
      <c r="A10" s="418" t="s">
        <v>5</v>
      </c>
      <c r="B10" s="331">
        <v>0.1</v>
      </c>
      <c r="C10" s="294">
        <v>8.4000000000000005E-2</v>
      </c>
      <c r="D10" s="299">
        <v>8.2000000000000003E-2</v>
      </c>
      <c r="E10" s="420">
        <v>8.4000000000000005E-2</v>
      </c>
      <c r="F10" s="335">
        <f t="shared" si="0"/>
        <v>8.7500000000000008E-2</v>
      </c>
      <c r="G10" s="441">
        <v>8.2000000000000003E-2</v>
      </c>
    </row>
    <row r="11" spans="1:7" x14ac:dyDescent="0.2">
      <c r="A11" s="418" t="s">
        <v>6</v>
      </c>
      <c r="B11" s="329">
        <v>330</v>
      </c>
      <c r="C11" s="291">
        <v>330</v>
      </c>
      <c r="D11" s="292">
        <v>370</v>
      </c>
      <c r="E11" s="298">
        <v>460</v>
      </c>
      <c r="F11" s="436">
        <f t="shared" si="0"/>
        <v>372.5</v>
      </c>
      <c r="G11" s="437">
        <v>370</v>
      </c>
    </row>
    <row r="12" spans="1:7" x14ac:dyDescent="0.2">
      <c r="A12" s="418" t="s">
        <v>7</v>
      </c>
      <c r="B12" s="331">
        <v>1.4999999999999999E-2</v>
      </c>
      <c r="C12" s="294" t="s">
        <v>152</v>
      </c>
      <c r="D12" s="296">
        <v>5.4999999999999997E-3</v>
      </c>
      <c r="E12" s="297">
        <v>1.6E-2</v>
      </c>
      <c r="F12" s="335">
        <f t="shared" si="0"/>
        <v>1.2166666666666666E-2</v>
      </c>
      <c r="G12" s="441">
        <v>1.44E-2</v>
      </c>
    </row>
    <row r="13" spans="1:7" x14ac:dyDescent="0.2">
      <c r="A13" s="418" t="s">
        <v>8</v>
      </c>
      <c r="B13" s="332">
        <v>0.13</v>
      </c>
      <c r="C13" s="300">
        <v>0.12</v>
      </c>
      <c r="D13" s="292">
        <v>0.11</v>
      </c>
      <c r="E13" s="301">
        <v>0.12</v>
      </c>
      <c r="F13" s="442">
        <f t="shared" si="0"/>
        <v>0.12</v>
      </c>
      <c r="G13" s="443">
        <v>0.11</v>
      </c>
    </row>
    <row r="14" spans="1:7" x14ac:dyDescent="0.2">
      <c r="A14" s="418" t="s">
        <v>9</v>
      </c>
      <c r="B14" s="333">
        <v>6</v>
      </c>
      <c r="C14" s="302">
        <v>7.2</v>
      </c>
      <c r="D14" s="295">
        <v>4.5999999999999996</v>
      </c>
      <c r="E14" s="419">
        <v>7.8</v>
      </c>
      <c r="F14" s="444">
        <f t="shared" si="0"/>
        <v>6.3999999999999995</v>
      </c>
      <c r="G14" s="445">
        <v>7</v>
      </c>
    </row>
    <row r="15" spans="1:7" x14ac:dyDescent="0.2">
      <c r="A15" s="418" t="s">
        <v>10</v>
      </c>
      <c r="B15" s="329">
        <v>185</v>
      </c>
      <c r="C15" s="291" t="s">
        <v>152</v>
      </c>
      <c r="D15" s="292">
        <v>150</v>
      </c>
      <c r="E15" s="298">
        <v>120</v>
      </c>
      <c r="F15" s="436">
        <f t="shared" si="0"/>
        <v>151.66666666666666</v>
      </c>
      <c r="G15" s="437">
        <v>150</v>
      </c>
    </row>
    <row r="16" spans="1:7" x14ac:dyDescent="0.2">
      <c r="A16" s="418" t="s">
        <v>11</v>
      </c>
      <c r="B16" s="331">
        <v>0.16</v>
      </c>
      <c r="C16" s="294">
        <v>4.8000000000000001E-2</v>
      </c>
      <c r="D16" s="295">
        <v>4.2000000000000003E-2</v>
      </c>
      <c r="E16" s="419">
        <v>4.2000000000000003E-2</v>
      </c>
      <c r="F16" s="335">
        <f t="shared" si="0"/>
        <v>7.2999999999999995E-2</v>
      </c>
      <c r="G16" s="441">
        <v>4.2000000000000003E-2</v>
      </c>
    </row>
    <row r="17" spans="1:7" x14ac:dyDescent="0.2">
      <c r="A17" s="418" t="s">
        <v>12</v>
      </c>
      <c r="B17" s="329">
        <v>30</v>
      </c>
      <c r="C17" s="291">
        <v>30</v>
      </c>
      <c r="D17" s="292">
        <v>27</v>
      </c>
      <c r="E17" s="298">
        <v>31</v>
      </c>
      <c r="F17" s="436">
        <f t="shared" si="0"/>
        <v>29.5</v>
      </c>
      <c r="G17" s="437">
        <v>27</v>
      </c>
    </row>
    <row r="18" spans="1:7" x14ac:dyDescent="0.2">
      <c r="A18" s="418" t="s">
        <v>13</v>
      </c>
      <c r="B18" s="329">
        <v>34</v>
      </c>
      <c r="C18" s="291">
        <v>33</v>
      </c>
      <c r="D18" s="292">
        <v>36</v>
      </c>
      <c r="E18" s="298">
        <v>42</v>
      </c>
      <c r="F18" s="436">
        <f t="shared" si="0"/>
        <v>36.25</v>
      </c>
      <c r="G18" s="437">
        <v>36</v>
      </c>
    </row>
    <row r="19" spans="1:7" x14ac:dyDescent="0.2">
      <c r="A19" s="418" t="s">
        <v>14</v>
      </c>
      <c r="B19" s="334">
        <v>0</v>
      </c>
      <c r="C19" s="303">
        <v>0</v>
      </c>
      <c r="D19" s="303">
        <v>0</v>
      </c>
      <c r="E19" s="304">
        <v>0</v>
      </c>
      <c r="F19" s="446">
        <f t="shared" si="0"/>
        <v>0</v>
      </c>
      <c r="G19" s="447">
        <v>4.0000000000000003E-5</v>
      </c>
    </row>
    <row r="20" spans="1:7" x14ac:dyDescent="0.2">
      <c r="A20" s="418" t="s">
        <v>39</v>
      </c>
      <c r="B20" s="335" t="s">
        <v>152</v>
      </c>
      <c r="C20" s="326" t="s">
        <v>152</v>
      </c>
      <c r="D20" s="296">
        <v>4.2000000000000006E-3</v>
      </c>
      <c r="E20" s="297">
        <v>4.7999999999999996E-3</v>
      </c>
      <c r="F20" s="335">
        <f t="shared" si="0"/>
        <v>4.5000000000000005E-3</v>
      </c>
      <c r="G20" s="441">
        <v>4.2000000000000006E-3</v>
      </c>
    </row>
    <row r="21" spans="1:7" x14ac:dyDescent="0.2">
      <c r="A21" s="418" t="s">
        <v>16</v>
      </c>
      <c r="B21" s="331">
        <v>7.0000000000000007E-2</v>
      </c>
      <c r="C21" s="294">
        <v>6.6000000000000003E-2</v>
      </c>
      <c r="D21" s="296">
        <v>6.9000000000000006E-2</v>
      </c>
      <c r="E21" s="297">
        <v>6.4000000000000001E-2</v>
      </c>
      <c r="F21" s="335">
        <f t="shared" si="0"/>
        <v>6.7250000000000004E-2</v>
      </c>
      <c r="G21" s="441">
        <v>6.9000000000000006E-2</v>
      </c>
    </row>
    <row r="22" spans="1:7" x14ac:dyDescent="0.2">
      <c r="A22" s="418" t="s">
        <v>17</v>
      </c>
      <c r="B22" s="333">
        <v>2.8</v>
      </c>
      <c r="C22" s="302" t="s">
        <v>152</v>
      </c>
      <c r="D22" s="292">
        <v>2.4</v>
      </c>
      <c r="E22" s="448">
        <v>3</v>
      </c>
      <c r="F22" s="444">
        <f t="shared" si="0"/>
        <v>2.7333333333333329</v>
      </c>
      <c r="G22" s="445">
        <v>2.4</v>
      </c>
    </row>
    <row r="23" spans="1:7" x14ac:dyDescent="0.2">
      <c r="A23" s="418" t="s">
        <v>18</v>
      </c>
      <c r="B23" s="331">
        <v>2E-3</v>
      </c>
      <c r="C23" s="294">
        <v>1.1999999999999999E-3</v>
      </c>
      <c r="D23" s="296">
        <v>4.7000000000000002E-3</v>
      </c>
      <c r="E23" s="297">
        <v>9.9000000000000008E-3</v>
      </c>
      <c r="F23" s="335">
        <f t="shared" si="0"/>
        <v>4.4500000000000008E-3</v>
      </c>
      <c r="G23" s="441">
        <v>4.7000000000000002E-3</v>
      </c>
    </row>
    <row r="24" spans="1:7" x14ac:dyDescent="0.2">
      <c r="A24" s="418" t="s">
        <v>19</v>
      </c>
      <c r="B24" s="336" t="s">
        <v>152</v>
      </c>
      <c r="C24" s="327" t="s">
        <v>152</v>
      </c>
      <c r="D24" s="293">
        <v>1E-4</v>
      </c>
      <c r="E24" s="438">
        <v>5.9999999999999995E-4</v>
      </c>
      <c r="F24" s="439">
        <f t="shared" si="0"/>
        <v>3.5E-4</v>
      </c>
      <c r="G24" s="440">
        <v>1E-4</v>
      </c>
    </row>
    <row r="25" spans="1:7" x14ac:dyDescent="0.2">
      <c r="A25" s="418" t="s">
        <v>20</v>
      </c>
      <c r="B25" s="329">
        <v>92</v>
      </c>
      <c r="C25" s="291" t="s">
        <v>152</v>
      </c>
      <c r="D25" s="305">
        <v>5.3</v>
      </c>
      <c r="E25" s="298">
        <v>4.8</v>
      </c>
      <c r="F25" s="444">
        <f t="shared" si="0"/>
        <v>34.033333333333331</v>
      </c>
      <c r="G25" s="445">
        <v>5.3</v>
      </c>
    </row>
    <row r="26" spans="1:7" x14ac:dyDescent="0.2">
      <c r="A26" s="418" t="s">
        <v>21</v>
      </c>
      <c r="B26" s="336" t="s">
        <v>152</v>
      </c>
      <c r="C26" s="327" t="s">
        <v>152</v>
      </c>
      <c r="D26" s="293">
        <v>2.9E-4</v>
      </c>
      <c r="E26" s="438">
        <v>0.06</v>
      </c>
      <c r="F26" s="439">
        <f t="shared" si="0"/>
        <v>3.0144999999999998E-2</v>
      </c>
      <c r="G26" s="440">
        <v>2.9E-4</v>
      </c>
    </row>
    <row r="27" spans="1:7" x14ac:dyDescent="0.2">
      <c r="A27" s="418" t="s">
        <v>22</v>
      </c>
      <c r="B27" s="331" t="s">
        <v>152</v>
      </c>
      <c r="C27" s="294" t="s">
        <v>152</v>
      </c>
      <c r="D27" s="292">
        <v>3.7999999999999999E-2</v>
      </c>
      <c r="E27" s="298">
        <v>3.3000000000000002E-2</v>
      </c>
      <c r="F27" s="335">
        <f t="shared" si="0"/>
        <v>3.5500000000000004E-2</v>
      </c>
      <c r="G27" s="441">
        <v>3.7999999999999999E-2</v>
      </c>
    </row>
    <row r="28" spans="1:7" ht="13.5" thickBot="1" x14ac:dyDescent="0.25">
      <c r="A28" s="421" t="s">
        <v>23</v>
      </c>
      <c r="B28" s="337">
        <v>28</v>
      </c>
      <c r="C28" s="306">
        <v>28</v>
      </c>
      <c r="D28" s="307">
        <v>20</v>
      </c>
      <c r="E28" s="449">
        <v>26</v>
      </c>
      <c r="F28" s="450">
        <f t="shared" si="0"/>
        <v>25.5</v>
      </c>
      <c r="G28" s="451">
        <v>27</v>
      </c>
    </row>
    <row r="29" spans="1:7" x14ac:dyDescent="0.2">
      <c r="A29" s="422" t="s">
        <v>73</v>
      </c>
      <c r="B29" s="607" t="s">
        <v>146</v>
      </c>
      <c r="C29" s="608"/>
      <c r="D29" s="308">
        <f>SUM(D5:D28)</f>
        <v>649.73908999999981</v>
      </c>
      <c r="E29" s="452">
        <f>SUM(E5:E28)</f>
        <v>727.09929999999997</v>
      </c>
      <c r="F29" s="453">
        <f>SUM(F5:F28)</f>
        <v>691.35602833333314</v>
      </c>
      <c r="G29" s="454">
        <f>SUM(G5:G28)</f>
        <v>658.14802999999984</v>
      </c>
    </row>
    <row r="30" spans="1:7" ht="13.5" thickBot="1" x14ac:dyDescent="0.25">
      <c r="A30" s="449" t="s">
        <v>149</v>
      </c>
      <c r="B30" s="611" t="s">
        <v>146</v>
      </c>
      <c r="C30" s="612"/>
      <c r="D30" s="455">
        <f>D29-(D11+D17+D22+D25)</f>
        <v>245.03908999999982</v>
      </c>
      <c r="E30" s="456">
        <f t="shared" ref="E30:G30" si="1">E29-(E11+E17+E22+E25)</f>
        <v>228.29929999999996</v>
      </c>
      <c r="F30" s="450">
        <f t="shared" si="1"/>
        <v>252.58936166666649</v>
      </c>
      <c r="G30" s="451">
        <f t="shared" si="1"/>
        <v>253.44802999999985</v>
      </c>
    </row>
    <row r="31" spans="1:7" ht="14.25" x14ac:dyDescent="0.2">
      <c r="A31" s="457" t="s">
        <v>186</v>
      </c>
      <c r="B31" s="325"/>
      <c r="C31" s="325"/>
      <c r="D31" s="458"/>
      <c r="E31" s="458"/>
      <c r="F31" s="458"/>
      <c r="G31" s="458"/>
    </row>
    <row r="32" spans="1:7" x14ac:dyDescent="0.2">
      <c r="A32" s="459"/>
      <c r="B32" s="325"/>
      <c r="C32" s="325"/>
      <c r="D32" s="458"/>
      <c r="E32" s="458"/>
      <c r="F32" s="458"/>
      <c r="G32" s="458"/>
    </row>
    <row r="33" spans="1:7" ht="17.25" x14ac:dyDescent="0.35">
      <c r="A33" s="423" t="s">
        <v>86</v>
      </c>
      <c r="C33" s="460" t="s">
        <v>69</v>
      </c>
    </row>
    <row r="34" spans="1:7" x14ac:dyDescent="0.2">
      <c r="A34" s="461" t="s">
        <v>148</v>
      </c>
      <c r="B34" s="462">
        <f t="shared" ref="B34:G34" si="2">B5+B7+B9+B10+B11+B13+B14+B16+B17+B18+B21+B23+B28</f>
        <v>460.55110000000002</v>
      </c>
      <c r="C34" s="462">
        <f t="shared" si="2"/>
        <v>459.59169999999995</v>
      </c>
      <c r="D34" s="462">
        <f t="shared" si="2"/>
        <v>491.97870000000006</v>
      </c>
      <c r="E34" s="462">
        <f t="shared" si="2"/>
        <v>599.17690000000005</v>
      </c>
      <c r="F34" s="462">
        <f t="shared" si="2"/>
        <v>502.82459999999998</v>
      </c>
      <c r="G34" s="462">
        <f t="shared" si="2"/>
        <v>500.37870000000004</v>
      </c>
    </row>
    <row r="35" spans="1:7" ht="15.75" x14ac:dyDescent="0.35">
      <c r="A35" s="424" t="s">
        <v>145</v>
      </c>
      <c r="B35" s="463"/>
      <c r="C35" s="463"/>
      <c r="D35" s="462">
        <f>D29-(D11+D17+D22+D25)</f>
        <v>245.03908999999982</v>
      </c>
      <c r="E35" s="462">
        <f t="shared" ref="E35:G35" si="3">E29-(E11+E17+E22+E25)</f>
        <v>228.29929999999996</v>
      </c>
      <c r="F35" s="462">
        <f t="shared" si="3"/>
        <v>252.58936166666649</v>
      </c>
      <c r="G35" s="462">
        <f t="shared" si="3"/>
        <v>253.44802999999985</v>
      </c>
    </row>
    <row r="37" spans="1:7" ht="15.75" x14ac:dyDescent="0.25">
      <c r="A37" s="464" t="s">
        <v>147</v>
      </c>
      <c r="B37" s="465">
        <v>11333000</v>
      </c>
      <c r="C37" s="425" t="s">
        <v>37</v>
      </c>
    </row>
    <row r="38" spans="1:7" x14ac:dyDescent="0.2">
      <c r="A38" s="461" t="s">
        <v>148</v>
      </c>
      <c r="D38" s="466">
        <f t="shared" ref="D38:G39" si="4">($B$37*D29)/1000000</f>
        <v>7363.4931069699978</v>
      </c>
      <c r="E38" s="466">
        <f t="shared" si="4"/>
        <v>8240.2163669000001</v>
      </c>
      <c r="F38" s="466">
        <f t="shared" si="4"/>
        <v>7835.1378691016644</v>
      </c>
      <c r="G38" s="466">
        <f t="shared" si="4"/>
        <v>7458.7916239899978</v>
      </c>
    </row>
    <row r="39" spans="1:7" ht="15.75" x14ac:dyDescent="0.35">
      <c r="A39" s="424" t="s">
        <v>178</v>
      </c>
      <c r="D39" s="466">
        <f t="shared" si="4"/>
        <v>2777.0280069699979</v>
      </c>
      <c r="E39" s="466">
        <f t="shared" si="4"/>
        <v>2587.3159668999997</v>
      </c>
      <c r="F39" s="466">
        <f t="shared" si="4"/>
        <v>2862.5952357683313</v>
      </c>
      <c r="G39" s="466">
        <f t="shared" si="4"/>
        <v>2872.3265239899983</v>
      </c>
    </row>
  </sheetData>
  <sheetProtection algorithmName="SHA-512" hashValue="ulKhW6ZezQhAHr4GcTJ5AZ4r4IjZiS5Dt7Y7HjThjPV1dL3RAjZGxe2QokusvjxvoQImMD4Fk8mKcyJR06uq2Q==" saltValue="KEiriGXxQA1R3nx0BqV+5Q==" spinCount="100000" sheet="1" scenarios="1"/>
  <mergeCells count="5">
    <mergeCell ref="B29:C29"/>
    <mergeCell ref="F3:G3"/>
    <mergeCell ref="B30:C30"/>
    <mergeCell ref="B1:G1"/>
    <mergeCell ref="B2:G2"/>
  </mergeCells>
  <pageMargins left="0.7" right="0.7" top="0.75" bottom="0.75" header="0.3" footer="0.3"/>
  <pageSetup orientation="portrait" r:id="rId1"/>
  <ignoredErrors>
    <ignoredError sqref="D29:E29"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G38"/>
  <sheetViews>
    <sheetView workbookViewId="0">
      <selection activeCell="J13" sqref="J13"/>
    </sheetView>
  </sheetViews>
  <sheetFormatPr defaultRowHeight="12.75" x14ac:dyDescent="0.2"/>
  <cols>
    <col min="1" max="2" width="19.42578125" customWidth="1"/>
    <col min="3" max="3" width="18.7109375" customWidth="1"/>
    <col min="4" max="4" width="19.42578125" customWidth="1"/>
  </cols>
  <sheetData>
    <row r="1" spans="1:7" ht="23.25" x14ac:dyDescent="0.35">
      <c r="A1" s="19" t="s">
        <v>262</v>
      </c>
      <c r="B1" s="28"/>
      <c r="C1" s="28"/>
      <c r="D1" s="28"/>
    </row>
    <row r="2" spans="1:7" ht="39.75" customHeight="1" x14ac:dyDescent="0.2">
      <c r="A2" s="290"/>
      <c r="B2" s="290"/>
      <c r="C2" s="290"/>
      <c r="D2" s="346"/>
      <c r="E2" s="290"/>
    </row>
    <row r="3" spans="1:7" ht="33" customHeight="1" x14ac:dyDescent="0.25">
      <c r="A3" s="342" t="s">
        <v>72</v>
      </c>
      <c r="B3" s="343" t="s">
        <v>162</v>
      </c>
      <c r="C3" s="343" t="s">
        <v>161</v>
      </c>
      <c r="D3" s="343" t="s">
        <v>150</v>
      </c>
      <c r="E3" s="290"/>
    </row>
    <row r="4" spans="1:7" ht="15.75" customHeight="1" x14ac:dyDescent="0.2">
      <c r="A4" s="89" t="s">
        <v>0</v>
      </c>
      <c r="B4" s="312">
        <v>41131.537270911649</v>
      </c>
      <c r="C4" s="313">
        <v>6545.3905274279105</v>
      </c>
      <c r="D4" s="313">
        <f>B4-C4</f>
        <v>34586.14674348374</v>
      </c>
      <c r="E4" s="290"/>
    </row>
    <row r="5" spans="1:7" ht="15.75" customHeight="1" x14ac:dyDescent="0.2">
      <c r="A5" s="89" t="s">
        <v>1</v>
      </c>
      <c r="B5" s="314">
        <v>14.163658730447438</v>
      </c>
      <c r="C5" s="315">
        <v>0.19442030652793313</v>
      </c>
      <c r="D5" s="316">
        <f t="shared" ref="D5:D27" si="0">B5-C5</f>
        <v>13.969238423919505</v>
      </c>
      <c r="E5" s="290"/>
      <c r="F5" t="s">
        <v>163</v>
      </c>
    </row>
    <row r="6" spans="1:7" ht="15.75" customHeight="1" x14ac:dyDescent="0.2">
      <c r="A6" s="89" t="s">
        <v>2</v>
      </c>
      <c r="B6" s="314">
        <v>358.36157806353094</v>
      </c>
      <c r="C6" s="316">
        <v>2.9523447175815689</v>
      </c>
      <c r="D6" s="316">
        <f t="shared" si="0"/>
        <v>355.40923334594936</v>
      </c>
      <c r="E6" s="290"/>
      <c r="G6" t="s">
        <v>261</v>
      </c>
    </row>
    <row r="7" spans="1:7" ht="15.75" customHeight="1" x14ac:dyDescent="0.2">
      <c r="A7" s="89" t="s">
        <v>3</v>
      </c>
      <c r="B7" s="314">
        <v>417.55571877003194</v>
      </c>
      <c r="C7" s="316">
        <v>1.4659831439661308</v>
      </c>
      <c r="D7" s="316">
        <f t="shared" si="0"/>
        <v>416.08973562606582</v>
      </c>
      <c r="E7" s="290"/>
    </row>
    <row r="8" spans="1:7" ht="15.75" customHeight="1" x14ac:dyDescent="0.2">
      <c r="A8" s="89" t="s">
        <v>4</v>
      </c>
      <c r="B8" s="314">
        <v>6.0074850040445185</v>
      </c>
      <c r="C8" s="316">
        <v>2.4240599160451719</v>
      </c>
      <c r="D8" s="316">
        <f t="shared" si="0"/>
        <v>3.5834250879993466</v>
      </c>
      <c r="E8" s="290"/>
    </row>
    <row r="9" spans="1:7" ht="15.75" customHeight="1" x14ac:dyDescent="0.2">
      <c r="A9" s="89" t="s">
        <v>5</v>
      </c>
      <c r="B9" s="314">
        <v>7.6885632967813944</v>
      </c>
      <c r="C9" s="316">
        <v>7.2315237786816908</v>
      </c>
      <c r="D9" s="316">
        <f t="shared" si="0"/>
        <v>0.45703951809970356</v>
      </c>
      <c r="E9" s="290"/>
    </row>
    <row r="10" spans="1:7" ht="15.75" customHeight="1" x14ac:dyDescent="0.2">
      <c r="A10" s="89" t="s">
        <v>6</v>
      </c>
      <c r="B10" s="312">
        <v>24705.199608063802</v>
      </c>
      <c r="C10" s="313">
        <v>31095.26863655827</v>
      </c>
      <c r="D10" s="313">
        <f t="shared" si="0"/>
        <v>-6390.0690284944685</v>
      </c>
      <c r="E10" s="290"/>
    </row>
    <row r="11" spans="1:7" ht="15.75" customHeight="1" x14ac:dyDescent="0.2">
      <c r="A11" s="89" t="s">
        <v>7</v>
      </c>
      <c r="B11" s="314">
        <v>30.591531587259261</v>
      </c>
      <c r="C11" s="317">
        <v>0.20706137198391647</v>
      </c>
      <c r="D11" s="316">
        <f t="shared" si="0"/>
        <v>30.384470215275346</v>
      </c>
      <c r="E11" s="290"/>
    </row>
    <row r="12" spans="1:7" ht="15.75" customHeight="1" x14ac:dyDescent="0.2">
      <c r="A12" s="89" t="s">
        <v>8</v>
      </c>
      <c r="B12" s="314">
        <v>17.683640419706315</v>
      </c>
      <c r="C12" s="313">
        <v>13.869912482795504</v>
      </c>
      <c r="D12" s="316">
        <f t="shared" si="0"/>
        <v>3.8137279369108104</v>
      </c>
      <c r="E12" s="290"/>
    </row>
    <row r="13" spans="1:7" ht="15.75" customHeight="1" x14ac:dyDescent="0.2">
      <c r="A13" s="89" t="s">
        <v>9</v>
      </c>
      <c r="B13" s="312">
        <v>1615.0111257998271</v>
      </c>
      <c r="C13" s="313">
        <v>731.71145733645881</v>
      </c>
      <c r="D13" s="313">
        <f t="shared" si="0"/>
        <v>883.29966846336833</v>
      </c>
      <c r="E13" s="290"/>
    </row>
    <row r="14" spans="1:7" ht="15.75" customHeight="1" x14ac:dyDescent="0.2">
      <c r="A14" s="89" t="s">
        <v>10</v>
      </c>
      <c r="B14" s="312">
        <v>433085.81025839195</v>
      </c>
      <c r="C14" s="313">
        <v>3530.8443738996325</v>
      </c>
      <c r="D14" s="313">
        <f t="shared" si="0"/>
        <v>429554.96588449233</v>
      </c>
      <c r="E14" s="290"/>
    </row>
    <row r="15" spans="1:7" ht="15.75" customHeight="1" x14ac:dyDescent="0.2">
      <c r="A15" s="89" t="s">
        <v>11</v>
      </c>
      <c r="B15" s="312">
        <v>7658.3040753774621</v>
      </c>
      <c r="C15" s="316">
        <v>11.766533534938388</v>
      </c>
      <c r="D15" s="313">
        <f t="shared" si="0"/>
        <v>7646.5375418425238</v>
      </c>
      <c r="E15" s="290"/>
    </row>
    <row r="16" spans="1:7" ht="15.75" customHeight="1" x14ac:dyDescent="0.2">
      <c r="A16" s="89" t="s">
        <v>12</v>
      </c>
      <c r="B16" s="312">
        <v>12339.675040341528</v>
      </c>
      <c r="C16" s="313">
        <v>2463.8041140840892</v>
      </c>
      <c r="D16" s="313">
        <f t="shared" si="0"/>
        <v>9875.8709262574394</v>
      </c>
      <c r="E16" s="290"/>
    </row>
    <row r="17" spans="1:5" ht="15.75" customHeight="1" x14ac:dyDescent="0.2">
      <c r="A17" s="89" t="s">
        <v>13</v>
      </c>
      <c r="B17" s="312">
        <v>3599.4502161101645</v>
      </c>
      <c r="C17" s="313">
        <v>2387.0914716362568</v>
      </c>
      <c r="D17" s="313">
        <f t="shared" si="0"/>
        <v>1212.3587444739078</v>
      </c>
      <c r="E17" s="290"/>
    </row>
    <row r="18" spans="1:5" ht="15.75" customHeight="1" x14ac:dyDescent="0.2">
      <c r="A18" s="89" t="s">
        <v>14</v>
      </c>
      <c r="B18" s="314">
        <v>0.81206518993845844</v>
      </c>
      <c r="C18" s="318">
        <v>6.881760000000003E-5</v>
      </c>
      <c r="D18" s="316">
        <f t="shared" si="0"/>
        <v>0.81199637233845845</v>
      </c>
      <c r="E18" s="290"/>
    </row>
    <row r="19" spans="1:5" ht="15.75" customHeight="1" x14ac:dyDescent="0.2">
      <c r="A19" s="89" t="s">
        <v>39</v>
      </c>
      <c r="B19" s="314">
        <v>86.821241775490762</v>
      </c>
      <c r="C19" s="316">
        <v>0.34497635289459816</v>
      </c>
      <c r="D19" s="316">
        <f t="shared" si="0"/>
        <v>86.476265422596157</v>
      </c>
      <c r="E19" s="290"/>
    </row>
    <row r="20" spans="1:5" ht="15.75" customHeight="1" x14ac:dyDescent="0.2">
      <c r="A20" s="89" t="s">
        <v>16</v>
      </c>
      <c r="B20" s="314">
        <v>12.466219980390697</v>
      </c>
      <c r="C20" s="313">
        <v>6.157628085869197</v>
      </c>
      <c r="D20" s="316">
        <f t="shared" si="0"/>
        <v>6.3085918945215003</v>
      </c>
      <c r="E20" s="290"/>
    </row>
    <row r="21" spans="1:5" ht="15.75" customHeight="1" x14ac:dyDescent="0.2">
      <c r="A21" s="89" t="s">
        <v>17</v>
      </c>
      <c r="B21" s="312">
        <v>9155.3321070263137</v>
      </c>
      <c r="C21" s="313">
        <v>462.38768603604444</v>
      </c>
      <c r="D21" s="313">
        <f t="shared" si="0"/>
        <v>8692.9444209902686</v>
      </c>
      <c r="E21" s="290"/>
    </row>
    <row r="22" spans="1:5" ht="15.75" customHeight="1" x14ac:dyDescent="0.2">
      <c r="A22" s="89" t="s">
        <v>18</v>
      </c>
      <c r="B22" s="314">
        <v>11.218464206675879</v>
      </c>
      <c r="C22" s="316">
        <v>0.4155086178721118</v>
      </c>
      <c r="D22" s="316">
        <f t="shared" si="0"/>
        <v>10.802955588803767</v>
      </c>
      <c r="E22" s="290"/>
    </row>
    <row r="23" spans="1:5" ht="15.75" customHeight="1" x14ac:dyDescent="0.2">
      <c r="A23" s="89" t="s">
        <v>19</v>
      </c>
      <c r="B23" s="314">
        <v>47.447647087767329</v>
      </c>
      <c r="C23" s="316">
        <v>0.20440855973356231</v>
      </c>
      <c r="D23" s="316">
        <f t="shared" si="0"/>
        <v>47.243238528033764</v>
      </c>
      <c r="E23" s="290"/>
    </row>
    <row r="24" spans="1:5" ht="15.75" customHeight="1" x14ac:dyDescent="0.2">
      <c r="A24" s="89" t="s">
        <v>20</v>
      </c>
      <c r="B24" s="314">
        <v>1129.5973599536217</v>
      </c>
      <c r="C24" s="313">
        <v>340.97860298194496</v>
      </c>
      <c r="D24" s="316">
        <f t="shared" si="0"/>
        <v>788.6187569716767</v>
      </c>
      <c r="E24" s="290"/>
    </row>
    <row r="25" spans="1:5" ht="15.75" customHeight="1" x14ac:dyDescent="0.2">
      <c r="A25" s="89" t="s">
        <v>21</v>
      </c>
      <c r="B25" s="314">
        <v>5.6084295924179388</v>
      </c>
      <c r="C25" s="316">
        <v>0.2021595678703843</v>
      </c>
      <c r="D25" s="316">
        <f t="shared" si="0"/>
        <v>5.4062700245475543</v>
      </c>
      <c r="E25" s="290"/>
    </row>
    <row r="26" spans="1:5" ht="15.75" customHeight="1" x14ac:dyDescent="0.2">
      <c r="A26" s="89" t="s">
        <v>22</v>
      </c>
      <c r="B26" s="314">
        <v>237.82519776910965</v>
      </c>
      <c r="C26" s="316">
        <v>0.8004163131523665</v>
      </c>
      <c r="D26" s="316">
        <f t="shared" si="0"/>
        <v>237.02478145595728</v>
      </c>
      <c r="E26" s="290"/>
    </row>
    <row r="27" spans="1:5" ht="15.75" customHeight="1" x14ac:dyDescent="0.2">
      <c r="A27" s="89" t="s">
        <v>23</v>
      </c>
      <c r="B27" s="312">
        <v>2059.3418313169441</v>
      </c>
      <c r="C27" s="313">
        <v>1791.3381194567939</v>
      </c>
      <c r="D27" s="313">
        <f t="shared" si="0"/>
        <v>268.00371186015013</v>
      </c>
      <c r="E27" s="290"/>
    </row>
    <row r="28" spans="1:5" ht="15.75" customHeight="1" x14ac:dyDescent="0.2">
      <c r="A28" s="344" t="s">
        <v>52</v>
      </c>
      <c r="B28" s="345">
        <f>SUM(B4:B27)</f>
        <v>537733.51033476682</v>
      </c>
      <c r="C28" s="345">
        <f>SUM(C4:C27)</f>
        <v>49397.051994984919</v>
      </c>
      <c r="D28" s="345">
        <f>SUM(D4:D27)</f>
        <v>488336.45833978191</v>
      </c>
      <c r="E28" s="290"/>
    </row>
    <row r="29" spans="1:5" ht="15.75" customHeight="1" x14ac:dyDescent="0.2">
      <c r="A29" s="344" t="s">
        <v>51</v>
      </c>
      <c r="B29" s="345">
        <f>B10+B16+B21+B24</f>
        <v>47329.804115385261</v>
      </c>
      <c r="C29" s="345">
        <f>C10+C16+C21+C24</f>
        <v>34362.439039660348</v>
      </c>
      <c r="D29" s="345">
        <f>D10+D16+D21+D24</f>
        <v>12967.365075724916</v>
      </c>
      <c r="E29" s="290"/>
    </row>
    <row r="30" spans="1:5" ht="15.75" customHeight="1" x14ac:dyDescent="0.2">
      <c r="A30" s="344" t="s">
        <v>135</v>
      </c>
      <c r="B30" s="345">
        <f>B28-B29</f>
        <v>490403.70621938154</v>
      </c>
      <c r="C30" s="345">
        <f>C28-C29</f>
        <v>15034.61295532457</v>
      </c>
      <c r="D30" s="345">
        <f>D28-D29</f>
        <v>475369.09326405701</v>
      </c>
      <c r="E30" s="290"/>
    </row>
    <row r="31" spans="1:5" ht="15.75" customHeight="1" x14ac:dyDescent="0.2">
      <c r="A31" s="338" t="s">
        <v>24</v>
      </c>
      <c r="B31" s="339">
        <v>18170</v>
      </c>
      <c r="C31" s="319"/>
      <c r="D31" s="320"/>
      <c r="E31" s="290"/>
    </row>
    <row r="32" spans="1:5" ht="15.75" customHeight="1" x14ac:dyDescent="0.2">
      <c r="A32" s="338" t="s">
        <v>25</v>
      </c>
      <c r="B32" s="340">
        <v>13.63</v>
      </c>
      <c r="C32" s="321"/>
      <c r="D32" s="309"/>
      <c r="E32" s="290"/>
    </row>
    <row r="33" spans="1:5" ht="15.75" customHeight="1" x14ac:dyDescent="0.2">
      <c r="A33" s="338" t="s">
        <v>26</v>
      </c>
      <c r="B33" s="341">
        <v>114</v>
      </c>
      <c r="C33" s="322"/>
      <c r="D33" s="310"/>
      <c r="E33" s="290"/>
    </row>
    <row r="34" spans="1:5" ht="15.75" customHeight="1" x14ac:dyDescent="0.2">
      <c r="A34" s="338" t="s">
        <v>27</v>
      </c>
      <c r="B34" s="340">
        <v>0.28000000000000003</v>
      </c>
      <c r="C34" s="323"/>
      <c r="D34" s="311"/>
      <c r="E34" s="290"/>
    </row>
    <row r="35" spans="1:5" ht="15.75" customHeight="1" x14ac:dyDescent="0.25">
      <c r="A35" s="347" t="s">
        <v>53</v>
      </c>
      <c r="B35" s="348">
        <f>B28+B31+B32+B33+B34</f>
        <v>556031.42033476685</v>
      </c>
      <c r="C35" s="324"/>
      <c r="D35" s="324"/>
      <c r="E35" s="290"/>
    </row>
    <row r="36" spans="1:5" x14ac:dyDescent="0.2">
      <c r="A36" s="290"/>
      <c r="B36" s="290"/>
      <c r="C36" s="290"/>
      <c r="D36" s="290"/>
      <c r="E36" s="290"/>
    </row>
    <row r="37" spans="1:5" x14ac:dyDescent="0.2">
      <c r="A37" s="290"/>
      <c r="B37" s="290"/>
      <c r="C37" s="290"/>
      <c r="D37" s="290"/>
      <c r="E37" s="290"/>
    </row>
    <row r="38" spans="1:5" x14ac:dyDescent="0.2">
      <c r="A38" s="290"/>
      <c r="B38" s="290"/>
      <c r="C38" s="290"/>
      <c r="D38" s="290"/>
    </row>
  </sheetData>
  <sheetProtection algorithmName="SHA-512" hashValue="EVzB7a+tCqLoHfsyeHZ4EFArkaJ1krSDGA26MdMGNjmxnELmq/Z2CxMzleA9LGZJF1PcJPY5vVyU2cyDFUl3Ag==" saltValue="sAWp5RRN2DUIVPyl8eSAVQ==" spinCount="100000" sheet="1" scenarios="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59"/>
  <sheetViews>
    <sheetView workbookViewId="0">
      <selection activeCell="N22" sqref="N22"/>
    </sheetView>
  </sheetViews>
  <sheetFormatPr defaultRowHeight="12.75" outlineLevelRow="1" outlineLevelCol="1" x14ac:dyDescent="0.2"/>
  <cols>
    <col min="1" max="1" width="18.28515625" customWidth="1"/>
    <col min="2" max="2" width="10.28515625" customWidth="1" outlineLevel="1"/>
    <col min="3" max="3" width="12.7109375" customWidth="1" outlineLevel="1"/>
    <col min="4" max="5" width="10.28515625" customWidth="1" outlineLevel="1"/>
    <col min="6" max="6" width="12.140625" customWidth="1" outlineLevel="1"/>
    <col min="7" max="7" width="14.28515625" customWidth="1"/>
    <col min="8" max="8" width="35.28515625" customWidth="1"/>
    <col min="9" max="9" width="11.5703125" customWidth="1"/>
    <col min="10" max="10" width="10.140625" customWidth="1"/>
    <col min="13" max="13" width="19.140625" customWidth="1"/>
    <col min="14" max="14" width="17.140625" customWidth="1"/>
    <col min="15" max="15" width="12.28515625" customWidth="1"/>
    <col min="16" max="16" width="18.42578125" customWidth="1"/>
    <col min="17" max="17" width="11" customWidth="1"/>
    <col min="19" max="19" width="11" customWidth="1"/>
    <col min="21" max="21" width="14" customWidth="1"/>
  </cols>
  <sheetData>
    <row r="1" spans="1:17" s="390" customFormat="1" ht="29.25" customHeight="1" thickBot="1" x14ac:dyDescent="0.5">
      <c r="A1" s="472" t="s">
        <v>197</v>
      </c>
      <c r="B1" s="389"/>
      <c r="C1" s="389"/>
      <c r="D1" s="389"/>
      <c r="E1" s="389"/>
      <c r="F1" s="389"/>
      <c r="G1" s="389"/>
      <c r="H1" s="389"/>
      <c r="M1" s="179" t="s">
        <v>102</v>
      </c>
      <c r="N1" s="178"/>
      <c r="O1" s="178"/>
      <c r="P1" s="178"/>
    </row>
    <row r="2" spans="1:17" ht="36" customHeight="1" thickBot="1" x14ac:dyDescent="0.4">
      <c r="A2" s="138" t="s">
        <v>69</v>
      </c>
      <c r="B2" s="135" t="s">
        <v>76</v>
      </c>
      <c r="C2" s="135" t="s">
        <v>76</v>
      </c>
      <c r="D2" s="135" t="s">
        <v>77</v>
      </c>
      <c r="E2" s="135" t="s">
        <v>77</v>
      </c>
      <c r="F2" s="136"/>
      <c r="G2" s="137"/>
      <c r="H2" s="136"/>
      <c r="M2" s="31" t="s">
        <v>198</v>
      </c>
      <c r="Q2" s="144"/>
    </row>
    <row r="3" spans="1:17" ht="49.5" customHeight="1" thickBot="1" x14ac:dyDescent="0.45">
      <c r="A3" s="103" t="s">
        <v>72</v>
      </c>
      <c r="B3" s="104">
        <v>42223</v>
      </c>
      <c r="C3" s="104">
        <v>42227</v>
      </c>
      <c r="D3" s="104">
        <v>42231</v>
      </c>
      <c r="E3" s="104">
        <v>42268</v>
      </c>
      <c r="F3" s="105" t="s">
        <v>89</v>
      </c>
      <c r="G3" s="486" t="s">
        <v>175</v>
      </c>
      <c r="H3" s="473" t="s">
        <v>200</v>
      </c>
      <c r="L3" s="38"/>
      <c r="M3" s="480" t="s">
        <v>72</v>
      </c>
      <c r="N3" s="480" t="s">
        <v>84</v>
      </c>
      <c r="O3" s="480"/>
      <c r="P3" s="480" t="s">
        <v>203</v>
      </c>
    </row>
    <row r="4" spans="1:17" ht="17.25" outlineLevel="1" x14ac:dyDescent="0.35">
      <c r="A4" s="85" t="s">
        <v>0</v>
      </c>
      <c r="B4" s="106">
        <v>32</v>
      </c>
      <c r="C4" s="106">
        <v>31</v>
      </c>
      <c r="D4" s="107">
        <v>33</v>
      </c>
      <c r="E4" s="108">
        <v>32</v>
      </c>
      <c r="F4" s="108">
        <f>AVERAGE(B4:E4)</f>
        <v>32</v>
      </c>
      <c r="G4" s="487">
        <v>33</v>
      </c>
      <c r="H4" s="134">
        <v>42231</v>
      </c>
      <c r="M4" s="86" t="s">
        <v>0</v>
      </c>
      <c r="N4" s="77">
        <f>D4</f>
        <v>33</v>
      </c>
      <c r="P4" s="481">
        <f>N4*1000</f>
        <v>33000</v>
      </c>
    </row>
    <row r="5" spans="1:17" ht="17.25" outlineLevel="1" x14ac:dyDescent="0.35">
      <c r="A5" s="86" t="s">
        <v>1</v>
      </c>
      <c r="B5" s="109"/>
      <c r="C5" s="109"/>
      <c r="D5" s="130">
        <v>3.7000000000000002E-3</v>
      </c>
      <c r="E5" s="111">
        <v>6.3E-3</v>
      </c>
      <c r="F5" s="111">
        <f t="shared" ref="F5:F27" si="0">AVERAGE(B5:E5)</f>
        <v>5.0000000000000001E-3</v>
      </c>
      <c r="G5" s="488">
        <v>3.7000000000000002E-3</v>
      </c>
      <c r="H5" s="133">
        <v>42231</v>
      </c>
      <c r="M5" s="86" t="s">
        <v>1</v>
      </c>
      <c r="N5" s="77">
        <f t="shared" ref="N5:N26" si="1">D5</f>
        <v>3.7000000000000002E-3</v>
      </c>
      <c r="P5" s="483">
        <f t="shared" ref="P5:P27" si="2">N5*1000</f>
        <v>3.7</v>
      </c>
    </row>
    <row r="6" spans="1:17" ht="17.25" outlineLevel="1" x14ac:dyDescent="0.35">
      <c r="A6" s="86" t="s">
        <v>2</v>
      </c>
      <c r="B6" s="112">
        <v>8.5999999999999993E-2</v>
      </c>
      <c r="C6" s="112">
        <v>6.7000000000000004E-2</v>
      </c>
      <c r="D6" s="113">
        <v>0.06</v>
      </c>
      <c r="E6" s="114">
        <v>4.3999999999999997E-2</v>
      </c>
      <c r="F6" s="114">
        <f t="shared" si="0"/>
        <v>6.4250000000000002E-2</v>
      </c>
      <c r="G6" s="489">
        <v>0.06</v>
      </c>
      <c r="H6" s="133">
        <v>42231</v>
      </c>
      <c r="M6" s="86" t="s">
        <v>2</v>
      </c>
      <c r="N6" s="87">
        <v>0.06</v>
      </c>
      <c r="P6" s="482">
        <f t="shared" si="2"/>
        <v>60</v>
      </c>
    </row>
    <row r="7" spans="1:17" ht="17.25" outlineLevel="1" x14ac:dyDescent="0.35">
      <c r="A7" s="86" t="s">
        <v>3</v>
      </c>
      <c r="B7" s="112">
        <v>2.1000000000000001E-2</v>
      </c>
      <c r="C7" s="112"/>
      <c r="D7" s="110">
        <v>8.6E-3</v>
      </c>
      <c r="E7" s="115">
        <v>1.6999999999999999E-3</v>
      </c>
      <c r="F7" s="115">
        <f t="shared" si="0"/>
        <v>1.0433333333333334E-2</v>
      </c>
      <c r="G7" s="488">
        <v>8.6E-3</v>
      </c>
      <c r="H7" s="133">
        <v>42231</v>
      </c>
      <c r="M7" s="86" t="s">
        <v>3</v>
      </c>
      <c r="N7" s="77">
        <f t="shared" si="1"/>
        <v>8.6E-3</v>
      </c>
      <c r="P7" s="483">
        <f t="shared" si="2"/>
        <v>8.6</v>
      </c>
    </row>
    <row r="8" spans="1:17" ht="17.25" outlineLevel="1" x14ac:dyDescent="0.35">
      <c r="A8" s="86" t="s">
        <v>4</v>
      </c>
      <c r="B8" s="112">
        <v>3.0999999999999999E-3</v>
      </c>
      <c r="C8" s="112">
        <v>5.4999999999999997E-3</v>
      </c>
      <c r="D8" s="116">
        <v>1.0999999999999999E-2</v>
      </c>
      <c r="E8" s="92">
        <v>1.2999999999999999E-2</v>
      </c>
      <c r="F8" s="117">
        <f t="shared" si="0"/>
        <v>8.1499999999999993E-3</v>
      </c>
      <c r="G8" s="488">
        <v>1.0999999999999999E-2</v>
      </c>
      <c r="H8" s="133">
        <v>42231</v>
      </c>
      <c r="M8" s="86" t="s">
        <v>4</v>
      </c>
      <c r="N8" s="77">
        <f t="shared" si="1"/>
        <v>1.0999999999999999E-2</v>
      </c>
      <c r="P8" s="482">
        <f t="shared" si="2"/>
        <v>11</v>
      </c>
    </row>
    <row r="9" spans="1:17" ht="17.25" outlineLevel="1" x14ac:dyDescent="0.35">
      <c r="A9" s="86" t="s">
        <v>5</v>
      </c>
      <c r="B9" s="112">
        <v>0.1</v>
      </c>
      <c r="C9" s="112">
        <v>8.4000000000000005E-2</v>
      </c>
      <c r="D9" s="118">
        <v>8.2000000000000003E-2</v>
      </c>
      <c r="E9" s="119">
        <v>8.4000000000000005E-2</v>
      </c>
      <c r="F9" s="119">
        <f t="shared" si="0"/>
        <v>8.7500000000000008E-2</v>
      </c>
      <c r="G9" s="488">
        <v>8.2000000000000003E-2</v>
      </c>
      <c r="H9" s="133">
        <v>42231</v>
      </c>
      <c r="M9" s="86" t="s">
        <v>5</v>
      </c>
      <c r="N9" s="87">
        <f t="shared" si="1"/>
        <v>8.2000000000000003E-2</v>
      </c>
      <c r="P9" s="482">
        <f t="shared" si="2"/>
        <v>82</v>
      </c>
    </row>
    <row r="10" spans="1:17" ht="17.25" outlineLevel="1" x14ac:dyDescent="0.35">
      <c r="A10" s="86" t="s">
        <v>6</v>
      </c>
      <c r="B10" s="120">
        <v>330</v>
      </c>
      <c r="C10" s="121">
        <v>330</v>
      </c>
      <c r="D10" s="116">
        <v>370</v>
      </c>
      <c r="E10" s="92">
        <v>460</v>
      </c>
      <c r="F10" s="92">
        <f t="shared" si="0"/>
        <v>372.5</v>
      </c>
      <c r="G10" s="488">
        <v>370</v>
      </c>
      <c r="H10" s="133">
        <v>42231</v>
      </c>
      <c r="M10" s="86" t="s">
        <v>6</v>
      </c>
      <c r="N10" s="77">
        <f t="shared" si="1"/>
        <v>370</v>
      </c>
      <c r="P10" s="481">
        <f t="shared" si="2"/>
        <v>370000</v>
      </c>
    </row>
    <row r="11" spans="1:17" ht="17.25" outlineLevel="1" x14ac:dyDescent="0.35">
      <c r="A11" s="86" t="s">
        <v>7</v>
      </c>
      <c r="B11" s="112">
        <v>1.4999999999999999E-2</v>
      </c>
      <c r="C11" s="122"/>
      <c r="D11" s="110">
        <v>5.4999999999999997E-3</v>
      </c>
      <c r="E11" s="115">
        <v>1.6E-2</v>
      </c>
      <c r="F11" s="115">
        <f t="shared" si="0"/>
        <v>1.2166666666666666E-2</v>
      </c>
      <c r="G11" s="488">
        <v>1.44E-2</v>
      </c>
      <c r="H11" s="45" t="s">
        <v>199</v>
      </c>
      <c r="I11" s="289"/>
      <c r="M11" s="86" t="s">
        <v>7</v>
      </c>
      <c r="N11" s="87">
        <v>1.44E-2</v>
      </c>
      <c r="P11" s="483">
        <f t="shared" si="2"/>
        <v>14.4</v>
      </c>
    </row>
    <row r="12" spans="1:17" ht="17.25" outlineLevel="1" x14ac:dyDescent="0.35">
      <c r="A12" s="86" t="s">
        <v>8</v>
      </c>
      <c r="B12" s="123">
        <v>0.13</v>
      </c>
      <c r="C12" s="123">
        <v>0.12</v>
      </c>
      <c r="D12" s="116">
        <v>0.11</v>
      </c>
      <c r="E12" s="124">
        <v>0.12</v>
      </c>
      <c r="F12" s="124">
        <f t="shared" si="0"/>
        <v>0.12</v>
      </c>
      <c r="G12" s="488">
        <v>0.11</v>
      </c>
      <c r="H12" s="133">
        <v>42231</v>
      </c>
      <c r="M12" s="86" t="s">
        <v>8</v>
      </c>
      <c r="N12" s="87">
        <f t="shared" si="1"/>
        <v>0.11</v>
      </c>
      <c r="P12" s="482">
        <f t="shared" si="2"/>
        <v>110</v>
      </c>
    </row>
    <row r="13" spans="1:17" ht="17.25" outlineLevel="1" x14ac:dyDescent="0.35">
      <c r="A13" s="86" t="s">
        <v>9</v>
      </c>
      <c r="B13" s="125">
        <v>6</v>
      </c>
      <c r="C13" s="125">
        <v>7.2</v>
      </c>
      <c r="D13" s="113">
        <v>4.5999999999999996</v>
      </c>
      <c r="E13" s="114">
        <v>7.8</v>
      </c>
      <c r="F13" s="114">
        <f t="shared" si="0"/>
        <v>6.3999999999999995</v>
      </c>
      <c r="G13" s="490">
        <v>7</v>
      </c>
      <c r="H13" s="91" t="s">
        <v>98</v>
      </c>
      <c r="M13" s="86" t="s">
        <v>9</v>
      </c>
      <c r="N13" s="87">
        <v>7</v>
      </c>
      <c r="P13" s="482">
        <f t="shared" si="2"/>
        <v>7000</v>
      </c>
      <c r="Q13" s="24"/>
    </row>
    <row r="14" spans="1:17" ht="17.25" outlineLevel="1" x14ac:dyDescent="0.35">
      <c r="A14" s="86" t="s">
        <v>10</v>
      </c>
      <c r="B14" s="120">
        <v>185</v>
      </c>
      <c r="C14" s="121"/>
      <c r="D14" s="116">
        <v>150</v>
      </c>
      <c r="E14" s="92">
        <v>120</v>
      </c>
      <c r="F14" s="124">
        <f t="shared" si="0"/>
        <v>151.66666666666666</v>
      </c>
      <c r="G14" s="488">
        <v>150</v>
      </c>
      <c r="H14" s="133">
        <v>42231</v>
      </c>
      <c r="M14" s="86" t="s">
        <v>10</v>
      </c>
      <c r="N14" s="87">
        <f t="shared" si="1"/>
        <v>150</v>
      </c>
      <c r="P14" s="481">
        <f t="shared" si="2"/>
        <v>150000</v>
      </c>
    </row>
    <row r="15" spans="1:17" ht="17.25" outlineLevel="1" x14ac:dyDescent="0.35">
      <c r="A15" s="86" t="s">
        <v>11</v>
      </c>
      <c r="B15" s="112">
        <v>0.16</v>
      </c>
      <c r="C15" s="112">
        <v>4.8000000000000001E-2</v>
      </c>
      <c r="D15" s="113">
        <v>4.2000000000000003E-2</v>
      </c>
      <c r="E15" s="114">
        <v>3.9E-2</v>
      </c>
      <c r="F15" s="126">
        <f t="shared" si="0"/>
        <v>7.2249999999999995E-2</v>
      </c>
      <c r="G15" s="488">
        <v>4.2000000000000003E-2</v>
      </c>
      <c r="H15" s="133">
        <v>42231</v>
      </c>
      <c r="M15" s="86" t="s">
        <v>11</v>
      </c>
      <c r="N15" s="87">
        <f t="shared" si="1"/>
        <v>4.2000000000000003E-2</v>
      </c>
      <c r="P15" s="482">
        <f t="shared" si="2"/>
        <v>42</v>
      </c>
    </row>
    <row r="16" spans="1:17" ht="17.25" outlineLevel="1" x14ac:dyDescent="0.35">
      <c r="A16" s="86" t="s">
        <v>12</v>
      </c>
      <c r="B16" s="120">
        <v>30</v>
      </c>
      <c r="C16" s="121">
        <v>30</v>
      </c>
      <c r="D16" s="116">
        <v>27</v>
      </c>
      <c r="E16" s="92">
        <v>31</v>
      </c>
      <c r="F16" s="92">
        <f t="shared" si="0"/>
        <v>29.5</v>
      </c>
      <c r="G16" s="488">
        <v>27</v>
      </c>
      <c r="H16" s="133">
        <v>42231</v>
      </c>
      <c r="M16" s="86" t="s">
        <v>12</v>
      </c>
      <c r="N16" s="87">
        <f t="shared" si="1"/>
        <v>27</v>
      </c>
      <c r="P16" s="481">
        <f t="shared" si="2"/>
        <v>27000</v>
      </c>
    </row>
    <row r="17" spans="1:17" ht="17.25" outlineLevel="1" x14ac:dyDescent="0.35">
      <c r="A17" s="86" t="s">
        <v>13</v>
      </c>
      <c r="B17" s="120">
        <v>34</v>
      </c>
      <c r="C17" s="120">
        <v>33</v>
      </c>
      <c r="D17" s="116">
        <v>36</v>
      </c>
      <c r="E17" s="92">
        <v>42</v>
      </c>
      <c r="F17" s="92">
        <f t="shared" si="0"/>
        <v>36.25</v>
      </c>
      <c r="G17" s="488">
        <v>36</v>
      </c>
      <c r="H17" s="133">
        <v>42231</v>
      </c>
      <c r="M17" s="86" t="s">
        <v>13</v>
      </c>
      <c r="N17" s="87">
        <f t="shared" si="1"/>
        <v>36</v>
      </c>
      <c r="P17" s="481">
        <f t="shared" si="2"/>
        <v>36000</v>
      </c>
    </row>
    <row r="18" spans="1:17" ht="17.25" outlineLevel="1" x14ac:dyDescent="0.35">
      <c r="A18" s="86" t="s">
        <v>14</v>
      </c>
      <c r="B18" s="470">
        <v>0</v>
      </c>
      <c r="C18" s="470">
        <v>0</v>
      </c>
      <c r="D18" s="471">
        <v>0</v>
      </c>
      <c r="E18" s="471">
        <v>0</v>
      </c>
      <c r="F18" s="471">
        <f t="shared" si="0"/>
        <v>0</v>
      </c>
      <c r="G18" s="491">
        <v>4.0000000000000003E-5</v>
      </c>
      <c r="H18" s="45" t="s">
        <v>99</v>
      </c>
      <c r="M18" s="86" t="s">
        <v>14</v>
      </c>
      <c r="N18" s="164">
        <v>4.0000000000000003E-5</v>
      </c>
      <c r="P18" s="485">
        <f t="shared" si="2"/>
        <v>0.04</v>
      </c>
    </row>
    <row r="19" spans="1:17" ht="17.25" outlineLevel="1" x14ac:dyDescent="0.35">
      <c r="A19" s="86" t="s">
        <v>39</v>
      </c>
      <c r="B19" s="127">
        <v>5</v>
      </c>
      <c r="C19" s="127"/>
      <c r="D19" s="130">
        <v>4.2000000000000006E-3</v>
      </c>
      <c r="E19" s="111">
        <v>4.7999999999999996E-3</v>
      </c>
      <c r="F19" s="111">
        <f t="shared" si="0"/>
        <v>1.6696666666666669</v>
      </c>
      <c r="G19" s="488">
        <v>4.2000000000000006E-3</v>
      </c>
      <c r="H19" s="133">
        <v>42231</v>
      </c>
      <c r="M19" s="86" t="s">
        <v>39</v>
      </c>
      <c r="N19" s="87">
        <f t="shared" si="1"/>
        <v>4.2000000000000006E-3</v>
      </c>
      <c r="P19" s="483">
        <f t="shared" si="2"/>
        <v>4.2</v>
      </c>
    </row>
    <row r="20" spans="1:17" ht="17.25" outlineLevel="1" x14ac:dyDescent="0.35">
      <c r="A20" s="86" t="s">
        <v>16</v>
      </c>
      <c r="B20" s="112">
        <v>7.0000000000000007E-2</v>
      </c>
      <c r="C20" s="112">
        <v>6.6000000000000003E-2</v>
      </c>
      <c r="D20" s="110">
        <v>6.9000000000000006E-2</v>
      </c>
      <c r="E20" s="111">
        <v>6.4000000000000001E-2</v>
      </c>
      <c r="F20" s="111">
        <f t="shared" si="0"/>
        <v>6.7250000000000004E-2</v>
      </c>
      <c r="G20" s="489">
        <v>6.9000000000000006E-2</v>
      </c>
      <c r="H20" s="133">
        <v>42231</v>
      </c>
      <c r="M20" s="86" t="s">
        <v>16</v>
      </c>
      <c r="N20" s="87">
        <f>D20</f>
        <v>6.9000000000000006E-2</v>
      </c>
      <c r="P20" s="482">
        <f t="shared" si="2"/>
        <v>69</v>
      </c>
    </row>
    <row r="21" spans="1:17" ht="17.25" outlineLevel="1" x14ac:dyDescent="0.35">
      <c r="A21" s="86" t="s">
        <v>17</v>
      </c>
      <c r="B21" s="125">
        <v>2.8</v>
      </c>
      <c r="C21" s="125"/>
      <c r="D21" s="116">
        <v>2.4</v>
      </c>
      <c r="E21" s="128">
        <v>3</v>
      </c>
      <c r="F21" s="128">
        <f t="shared" si="0"/>
        <v>2.7333333333333329</v>
      </c>
      <c r="G21" s="488">
        <v>2.4</v>
      </c>
      <c r="H21" s="133">
        <v>42231</v>
      </c>
      <c r="M21" s="86" t="s">
        <v>17</v>
      </c>
      <c r="N21" s="87">
        <f t="shared" si="1"/>
        <v>2.4</v>
      </c>
      <c r="P21" s="481">
        <f t="shared" si="2"/>
        <v>2400</v>
      </c>
    </row>
    <row r="22" spans="1:17" ht="17.25" outlineLevel="1" x14ac:dyDescent="0.35">
      <c r="A22" s="86" t="s">
        <v>18</v>
      </c>
      <c r="B22" s="112">
        <v>2E-3</v>
      </c>
      <c r="C22" s="112">
        <v>1.1999999999999999E-3</v>
      </c>
      <c r="D22" s="110">
        <v>4.7000000000000002E-3</v>
      </c>
      <c r="E22" s="111">
        <v>9.9000000000000008E-3</v>
      </c>
      <c r="F22" s="111">
        <f t="shared" si="0"/>
        <v>4.4500000000000008E-3</v>
      </c>
      <c r="G22" s="488">
        <v>4.7000000000000002E-3</v>
      </c>
      <c r="H22" s="133">
        <v>42231</v>
      </c>
      <c r="M22" s="86" t="s">
        <v>18</v>
      </c>
      <c r="N22" s="87">
        <f t="shared" si="1"/>
        <v>4.7000000000000002E-3</v>
      </c>
      <c r="P22" s="483">
        <f t="shared" si="2"/>
        <v>4.7</v>
      </c>
    </row>
    <row r="23" spans="1:17" ht="17.25" outlineLevel="1" x14ac:dyDescent="0.35">
      <c r="A23" s="47" t="s">
        <v>19</v>
      </c>
      <c r="B23" s="129"/>
      <c r="C23" s="129"/>
      <c r="D23" s="130">
        <v>1E-4</v>
      </c>
      <c r="E23" s="131">
        <v>5.9999999999999995E-4</v>
      </c>
      <c r="F23" s="131">
        <f t="shared" si="0"/>
        <v>3.5E-4</v>
      </c>
      <c r="G23" s="488">
        <v>1E-4</v>
      </c>
      <c r="H23" s="133">
        <v>42231</v>
      </c>
      <c r="M23" s="86" t="s">
        <v>19</v>
      </c>
      <c r="N23" s="87">
        <f t="shared" si="1"/>
        <v>1E-4</v>
      </c>
      <c r="P23" s="483">
        <f t="shared" si="2"/>
        <v>0.1</v>
      </c>
    </row>
    <row r="24" spans="1:17" ht="17.25" outlineLevel="1" x14ac:dyDescent="0.35">
      <c r="A24" s="47" t="s">
        <v>20</v>
      </c>
      <c r="B24" s="121">
        <v>92</v>
      </c>
      <c r="C24" s="121"/>
      <c r="D24" s="162">
        <v>5.3</v>
      </c>
      <c r="E24" s="102">
        <v>4.8</v>
      </c>
      <c r="F24" s="132">
        <f t="shared" si="0"/>
        <v>34.033333333333331</v>
      </c>
      <c r="G24" s="488">
        <v>5.3</v>
      </c>
      <c r="H24" s="133">
        <v>42231</v>
      </c>
      <c r="M24" s="86" t="s">
        <v>20</v>
      </c>
      <c r="N24" s="87">
        <f t="shared" si="1"/>
        <v>5.3</v>
      </c>
      <c r="P24" s="482">
        <f t="shared" si="2"/>
        <v>5300</v>
      </c>
    </row>
    <row r="25" spans="1:17" ht="17.25" outlineLevel="1" x14ac:dyDescent="0.35">
      <c r="A25" s="47" t="s">
        <v>21</v>
      </c>
      <c r="B25" s="129"/>
      <c r="C25" s="129"/>
      <c r="D25" s="130">
        <v>2.9E-4</v>
      </c>
      <c r="E25" s="111">
        <v>0.06</v>
      </c>
      <c r="F25" s="111"/>
      <c r="G25" s="488">
        <v>2.9E-4</v>
      </c>
      <c r="H25" s="133">
        <v>42231</v>
      </c>
      <c r="M25" s="86" t="s">
        <v>21</v>
      </c>
      <c r="N25" s="87">
        <f t="shared" si="1"/>
        <v>2.9E-4</v>
      </c>
      <c r="P25" s="484">
        <f t="shared" si="2"/>
        <v>0.28999999999999998</v>
      </c>
    </row>
    <row r="26" spans="1:17" ht="17.25" outlineLevel="1" x14ac:dyDescent="0.35">
      <c r="A26" s="86" t="s">
        <v>22</v>
      </c>
      <c r="B26" s="122"/>
      <c r="C26" s="122"/>
      <c r="D26" s="116">
        <v>3.7999999999999999E-2</v>
      </c>
      <c r="E26" s="102">
        <v>3.3000000000000002E-2</v>
      </c>
      <c r="F26" s="111">
        <f t="shared" si="0"/>
        <v>3.5500000000000004E-2</v>
      </c>
      <c r="G26" s="488">
        <v>3.7999999999999999E-2</v>
      </c>
      <c r="H26" s="133">
        <v>42231</v>
      </c>
      <c r="M26" s="86" t="s">
        <v>22</v>
      </c>
      <c r="N26" s="87">
        <f t="shared" si="1"/>
        <v>3.7999999999999999E-2</v>
      </c>
      <c r="P26" s="482">
        <f t="shared" si="2"/>
        <v>38</v>
      </c>
    </row>
    <row r="27" spans="1:17" ht="27.75" outlineLevel="1" x14ac:dyDescent="0.35">
      <c r="A27" s="86" t="s">
        <v>23</v>
      </c>
      <c r="B27" s="476">
        <v>28</v>
      </c>
      <c r="C27" s="476">
        <v>28</v>
      </c>
      <c r="D27" s="116">
        <v>20</v>
      </c>
      <c r="E27" s="102">
        <v>26</v>
      </c>
      <c r="F27" s="102">
        <f t="shared" si="0"/>
        <v>25.5</v>
      </c>
      <c r="G27" s="490">
        <v>27</v>
      </c>
      <c r="H27" s="37" t="s">
        <v>201</v>
      </c>
      <c r="J27" s="97"/>
      <c r="M27" s="86" t="s">
        <v>23</v>
      </c>
      <c r="N27" s="474">
        <f>G27</f>
        <v>27</v>
      </c>
      <c r="P27" s="481">
        <f t="shared" si="2"/>
        <v>27000</v>
      </c>
      <c r="Q27" s="24"/>
    </row>
    <row r="28" spans="1:17" outlineLevel="1" x14ac:dyDescent="0.2">
      <c r="A28" s="139"/>
      <c r="B28" s="140"/>
      <c r="C28" s="140"/>
      <c r="D28" s="140"/>
      <c r="E28" s="140"/>
      <c r="F28" s="140"/>
      <c r="G28" s="139"/>
      <c r="H28" s="139"/>
    </row>
    <row r="29" spans="1:17" ht="17.25" outlineLevel="1" x14ac:dyDescent="0.35">
      <c r="A29" s="141" t="s">
        <v>91</v>
      </c>
      <c r="B29" s="142">
        <f t="shared" ref="B29:E29" si="3">SUM(B4:B27)</f>
        <v>745.38709999999992</v>
      </c>
      <c r="C29" s="142">
        <f t="shared" si="3"/>
        <v>459.59169999999995</v>
      </c>
      <c r="D29" s="142">
        <f t="shared" si="3"/>
        <v>648.73908999999981</v>
      </c>
      <c r="E29" s="142">
        <f t="shared" si="3"/>
        <v>727.09629999999993</v>
      </c>
      <c r="F29" s="142">
        <f>SUM(F4:F27)</f>
        <v>692.74029999999993</v>
      </c>
      <c r="G29" s="357">
        <f>SUM(G4:G27)</f>
        <v>658.14802999999984</v>
      </c>
      <c r="H29" s="143"/>
      <c r="I29" s="475"/>
      <c r="L29" s="79" t="s">
        <v>100</v>
      </c>
      <c r="M29" s="499" t="s">
        <v>204</v>
      </c>
      <c r="N29" s="45">
        <v>1600</v>
      </c>
      <c r="O29" s="79"/>
    </row>
    <row r="30" spans="1:17" ht="20.25" customHeight="1" outlineLevel="1" x14ac:dyDescent="0.3">
      <c r="B30" s="98"/>
      <c r="C30" s="98"/>
      <c r="D30" s="98"/>
      <c r="E30" s="98"/>
      <c r="F30" s="98"/>
      <c r="H30" s="91"/>
      <c r="M30" s="499" t="s">
        <v>25</v>
      </c>
      <c r="N30" s="45">
        <v>0.36</v>
      </c>
    </row>
    <row r="31" spans="1:17" ht="16.5" x14ac:dyDescent="0.3">
      <c r="A31" s="96" t="s">
        <v>209</v>
      </c>
      <c r="M31" s="499" t="s">
        <v>26</v>
      </c>
      <c r="N31" s="45">
        <v>10</v>
      </c>
    </row>
    <row r="33" spans="1:19" ht="33.75" customHeight="1" thickBot="1" x14ac:dyDescent="0.35">
      <c r="A33" s="478" t="s">
        <v>202</v>
      </c>
      <c r="B33" s="479"/>
      <c r="C33" s="479"/>
      <c r="D33" s="479"/>
      <c r="E33" s="479"/>
      <c r="F33" s="479"/>
      <c r="G33" s="479"/>
      <c r="H33" s="479"/>
      <c r="I33" s="479"/>
      <c r="J33" s="479"/>
      <c r="K33" s="479"/>
      <c r="L33" s="479"/>
      <c r="M33" s="479"/>
      <c r="N33" s="479"/>
      <c r="O33" s="479"/>
      <c r="P33" s="479"/>
      <c r="Q33" s="479"/>
      <c r="R33" s="479"/>
      <c r="S33" s="479"/>
    </row>
    <row r="34" spans="1:19" ht="29.25" customHeight="1" thickBot="1" x14ac:dyDescent="0.25">
      <c r="B34" s="180"/>
      <c r="C34" s="617" t="s">
        <v>188</v>
      </c>
      <c r="D34" s="618"/>
      <c r="E34" s="618"/>
      <c r="F34" s="619"/>
      <c r="I34" s="281"/>
      <c r="J34" s="620" t="s">
        <v>189</v>
      </c>
      <c r="K34" s="621"/>
      <c r="L34" s="621"/>
      <c r="M34" s="622"/>
      <c r="Q34" s="620" t="s">
        <v>97</v>
      </c>
      <c r="R34" s="621"/>
      <c r="S34" s="622"/>
    </row>
    <row r="35" spans="1:19" ht="15.75" customHeight="1" thickBot="1" x14ac:dyDescent="0.25">
      <c r="B35" s="286" t="s">
        <v>72</v>
      </c>
      <c r="C35" s="181">
        <v>42589</v>
      </c>
      <c r="D35" s="181">
        <v>42593</v>
      </c>
      <c r="E35" s="181">
        <v>42597</v>
      </c>
      <c r="F35" s="181">
        <v>42634</v>
      </c>
      <c r="G35" s="279"/>
      <c r="H35" s="38"/>
      <c r="I35" s="286" t="s">
        <v>72</v>
      </c>
      <c r="J35" s="282">
        <v>42589</v>
      </c>
      <c r="K35" s="282">
        <v>42593</v>
      </c>
      <c r="L35" s="282">
        <v>42597</v>
      </c>
      <c r="M35" s="282">
        <v>42634</v>
      </c>
      <c r="P35" s="286" t="s">
        <v>72</v>
      </c>
      <c r="Q35" s="282">
        <v>42589</v>
      </c>
      <c r="R35" s="282">
        <v>42593</v>
      </c>
      <c r="S35" s="282">
        <v>42597</v>
      </c>
    </row>
    <row r="36" spans="1:19" ht="15.75" thickBot="1" x14ac:dyDescent="0.25">
      <c r="B36" s="182" t="s">
        <v>0</v>
      </c>
      <c r="C36" s="183">
        <v>24000</v>
      </c>
      <c r="D36" s="184">
        <v>33000</v>
      </c>
      <c r="E36" s="185">
        <v>34000</v>
      </c>
      <c r="F36" s="180"/>
      <c r="G36" s="277"/>
      <c r="H36" s="190"/>
      <c r="I36" s="283" t="s">
        <v>0</v>
      </c>
      <c r="J36" s="284">
        <v>32000</v>
      </c>
      <c r="K36" s="284">
        <v>31000</v>
      </c>
      <c r="L36" s="285">
        <v>33000</v>
      </c>
      <c r="M36" s="286">
        <v>32000</v>
      </c>
      <c r="P36" s="283" t="s">
        <v>0</v>
      </c>
      <c r="Q36" s="492">
        <v>8000</v>
      </c>
      <c r="R36" s="493">
        <v>-2000</v>
      </c>
      <c r="S36" s="494">
        <v>0</v>
      </c>
    </row>
    <row r="37" spans="1:19" ht="15.75" thickBot="1" x14ac:dyDescent="0.25">
      <c r="B37" s="182" t="s">
        <v>1</v>
      </c>
      <c r="C37" s="180"/>
      <c r="D37" s="180"/>
      <c r="E37" s="185">
        <v>3.7</v>
      </c>
      <c r="F37" s="180"/>
      <c r="G37" s="277"/>
      <c r="H37" s="190"/>
      <c r="I37" s="283" t="s">
        <v>1</v>
      </c>
      <c r="J37" s="281"/>
      <c r="K37" s="281"/>
      <c r="L37" s="285">
        <v>0.62</v>
      </c>
      <c r="M37" s="286">
        <v>6.3</v>
      </c>
      <c r="P37" s="283" t="s">
        <v>1</v>
      </c>
      <c r="Q37" s="495"/>
      <c r="R37" s="496"/>
      <c r="S37" s="497">
        <v>0</v>
      </c>
    </row>
    <row r="38" spans="1:19" ht="15.75" thickBot="1" x14ac:dyDescent="0.25">
      <c r="B38" s="182" t="s">
        <v>2</v>
      </c>
      <c r="C38" s="183">
        <v>0.89</v>
      </c>
      <c r="D38" s="184">
        <v>29</v>
      </c>
      <c r="E38" s="185">
        <v>44</v>
      </c>
      <c r="F38" s="180"/>
      <c r="G38" s="277"/>
      <c r="H38" s="190"/>
      <c r="I38" s="283" t="s">
        <v>2</v>
      </c>
      <c r="J38" s="284">
        <v>86</v>
      </c>
      <c r="K38" s="284">
        <v>67</v>
      </c>
      <c r="L38" s="285">
        <v>60</v>
      </c>
      <c r="M38" s="286">
        <v>44</v>
      </c>
      <c r="P38" s="283" t="s">
        <v>2</v>
      </c>
      <c r="Q38" s="492">
        <v>85.11</v>
      </c>
      <c r="R38" s="493">
        <v>38</v>
      </c>
      <c r="S38" s="497">
        <v>16</v>
      </c>
    </row>
    <row r="39" spans="1:19" ht="15.75" thickBot="1" x14ac:dyDescent="0.25">
      <c r="B39" s="182" t="s">
        <v>3</v>
      </c>
      <c r="C39" s="183">
        <v>8.8000000000000007</v>
      </c>
      <c r="D39" s="180"/>
      <c r="E39" s="185">
        <v>8.6</v>
      </c>
      <c r="F39" s="180"/>
      <c r="G39" s="277"/>
      <c r="H39" s="190"/>
      <c r="I39" s="283" t="s">
        <v>3</v>
      </c>
      <c r="J39" s="284">
        <v>21</v>
      </c>
      <c r="K39" s="281"/>
      <c r="L39" s="285">
        <v>8.6</v>
      </c>
      <c r="M39" s="286">
        <v>1.7</v>
      </c>
      <c r="P39" s="283" t="s">
        <v>3</v>
      </c>
      <c r="Q39" s="492">
        <v>12.2</v>
      </c>
      <c r="R39" s="496"/>
      <c r="S39" s="497">
        <v>0</v>
      </c>
    </row>
    <row r="40" spans="1:19" ht="15.75" thickBot="1" x14ac:dyDescent="0.25">
      <c r="B40" s="182" t="s">
        <v>4</v>
      </c>
      <c r="C40" s="183">
        <v>3.1</v>
      </c>
      <c r="D40" s="184">
        <v>5.5</v>
      </c>
      <c r="E40" s="185">
        <v>11</v>
      </c>
      <c r="F40" s="180"/>
      <c r="G40" s="277"/>
      <c r="H40" s="190"/>
      <c r="I40" s="283" t="s">
        <v>4</v>
      </c>
      <c r="J40" s="284">
        <v>3.1</v>
      </c>
      <c r="K40" s="284">
        <v>5.5</v>
      </c>
      <c r="L40" s="285">
        <v>11</v>
      </c>
      <c r="M40" s="286">
        <v>13</v>
      </c>
      <c r="P40" s="283" t="s">
        <v>4</v>
      </c>
      <c r="Q40" s="495"/>
      <c r="R40" s="496"/>
      <c r="S40" s="497">
        <v>0</v>
      </c>
    </row>
    <row r="41" spans="1:19" ht="15.75" thickBot="1" x14ac:dyDescent="0.25">
      <c r="B41" s="182" t="s">
        <v>5</v>
      </c>
      <c r="C41" s="183">
        <v>89</v>
      </c>
      <c r="D41" s="184">
        <v>71</v>
      </c>
      <c r="E41" s="185">
        <v>82</v>
      </c>
      <c r="F41" s="180"/>
      <c r="G41" s="277"/>
      <c r="H41" s="190"/>
      <c r="I41" s="283" t="s">
        <v>5</v>
      </c>
      <c r="J41" s="284">
        <v>100</v>
      </c>
      <c r="K41" s="284">
        <v>84</v>
      </c>
      <c r="L41" s="285">
        <v>85</v>
      </c>
      <c r="M41" s="286">
        <v>84</v>
      </c>
      <c r="P41" s="283" t="s">
        <v>5</v>
      </c>
      <c r="Q41" s="492">
        <v>11</v>
      </c>
      <c r="R41" s="493">
        <v>13</v>
      </c>
      <c r="S41" s="497">
        <v>3</v>
      </c>
    </row>
    <row r="42" spans="1:19" ht="15.75" thickBot="1" x14ac:dyDescent="0.25">
      <c r="B42" s="182" t="s">
        <v>6</v>
      </c>
      <c r="C42" s="183">
        <v>270000</v>
      </c>
      <c r="D42" s="180"/>
      <c r="E42" s="185">
        <v>370000</v>
      </c>
      <c r="F42" s="180"/>
      <c r="G42" s="277"/>
      <c r="H42" s="190"/>
      <c r="I42" s="283" t="s">
        <v>6</v>
      </c>
      <c r="J42" s="284">
        <v>330000</v>
      </c>
      <c r="K42" s="281"/>
      <c r="L42" s="285">
        <v>380000</v>
      </c>
      <c r="M42" s="286">
        <v>460000</v>
      </c>
      <c r="P42" s="283" t="s">
        <v>6</v>
      </c>
      <c r="Q42" s="492">
        <v>60000</v>
      </c>
      <c r="R42" s="493"/>
      <c r="S42" s="494">
        <v>10000</v>
      </c>
    </row>
    <row r="43" spans="1:19" ht="15.75" thickBot="1" x14ac:dyDescent="0.25">
      <c r="B43" s="182" t="s">
        <v>7</v>
      </c>
      <c r="C43" s="183">
        <v>14</v>
      </c>
      <c r="D43" s="180"/>
      <c r="E43" s="185">
        <v>5.5</v>
      </c>
      <c r="F43" s="180"/>
      <c r="G43" s="278"/>
      <c r="H43" s="190"/>
      <c r="I43" s="283" t="s">
        <v>7</v>
      </c>
      <c r="J43" s="284">
        <v>15</v>
      </c>
      <c r="K43" s="281"/>
      <c r="L43" s="285">
        <v>3</v>
      </c>
      <c r="M43" s="286">
        <v>16</v>
      </c>
      <c r="P43" s="283" t="s">
        <v>7</v>
      </c>
      <c r="Q43" s="492">
        <v>1</v>
      </c>
      <c r="R43" s="496"/>
      <c r="S43" s="497">
        <v>0</v>
      </c>
    </row>
    <row r="44" spans="1:19" ht="15.75" thickBot="1" x14ac:dyDescent="0.25">
      <c r="B44" s="182" t="s">
        <v>8</v>
      </c>
      <c r="C44" s="183">
        <v>100</v>
      </c>
      <c r="D44" s="184">
        <v>120</v>
      </c>
      <c r="E44" s="185">
        <v>110</v>
      </c>
      <c r="F44" s="180"/>
      <c r="G44" s="277"/>
      <c r="H44" s="190"/>
      <c r="I44" s="283" t="s">
        <v>8</v>
      </c>
      <c r="J44" s="284">
        <v>130</v>
      </c>
      <c r="K44" s="284">
        <v>120</v>
      </c>
      <c r="L44" s="285">
        <v>110</v>
      </c>
      <c r="M44" s="286">
        <v>120</v>
      </c>
      <c r="P44" s="283" t="s">
        <v>8</v>
      </c>
      <c r="Q44" s="492">
        <v>30</v>
      </c>
      <c r="R44" s="496"/>
      <c r="S44" s="497">
        <v>0</v>
      </c>
    </row>
    <row r="45" spans="1:19" ht="15.75" thickBot="1" x14ac:dyDescent="0.25">
      <c r="B45" s="182" t="s">
        <v>9</v>
      </c>
      <c r="C45" s="183">
        <v>5100</v>
      </c>
      <c r="D45" s="184">
        <v>8100</v>
      </c>
      <c r="E45" s="185">
        <v>4600</v>
      </c>
      <c r="F45" s="180"/>
      <c r="G45" s="277"/>
      <c r="H45" s="190"/>
      <c r="I45" s="283" t="s">
        <v>9</v>
      </c>
      <c r="J45" s="284">
        <v>5900</v>
      </c>
      <c r="K45" s="284">
        <v>7200</v>
      </c>
      <c r="L45" s="285">
        <v>4600</v>
      </c>
      <c r="M45" s="286">
        <v>7800</v>
      </c>
      <c r="P45" s="283" t="s">
        <v>9</v>
      </c>
      <c r="Q45" s="492">
        <v>800</v>
      </c>
      <c r="R45" s="493">
        <v>-900</v>
      </c>
      <c r="S45" s="497">
        <v>0</v>
      </c>
    </row>
    <row r="46" spans="1:19" ht="15.75" thickBot="1" x14ac:dyDescent="0.25">
      <c r="B46" s="182" t="s">
        <v>10</v>
      </c>
      <c r="C46" s="185">
        <v>83000</v>
      </c>
      <c r="D46" s="180"/>
      <c r="E46" s="185">
        <v>150000</v>
      </c>
      <c r="F46" s="180"/>
      <c r="G46" s="277"/>
      <c r="H46" s="190"/>
      <c r="I46" s="283" t="s">
        <v>10</v>
      </c>
      <c r="J46" s="285">
        <v>185000</v>
      </c>
      <c r="K46" s="281"/>
      <c r="L46" s="285">
        <v>120000</v>
      </c>
      <c r="M46" s="286">
        <v>120000</v>
      </c>
      <c r="P46" s="283" t="s">
        <v>10</v>
      </c>
      <c r="Q46" s="498">
        <v>102000</v>
      </c>
      <c r="R46" s="496"/>
      <c r="S46" s="494">
        <v>0</v>
      </c>
    </row>
    <row r="47" spans="1:19" ht="15.75" thickBot="1" x14ac:dyDescent="0.25">
      <c r="B47" s="182" t="s">
        <v>11</v>
      </c>
      <c r="C47" s="183">
        <v>9.4</v>
      </c>
      <c r="D47" s="184">
        <v>41</v>
      </c>
      <c r="E47" s="185">
        <v>42</v>
      </c>
      <c r="F47" s="180"/>
      <c r="G47" s="277"/>
      <c r="H47" s="190"/>
      <c r="I47" s="283" t="s">
        <v>11</v>
      </c>
      <c r="J47" s="284">
        <v>160</v>
      </c>
      <c r="K47" s="284">
        <v>48</v>
      </c>
      <c r="L47" s="285">
        <v>42</v>
      </c>
      <c r="M47" s="286">
        <v>39</v>
      </c>
      <c r="P47" s="283" t="s">
        <v>11</v>
      </c>
      <c r="Q47" s="492">
        <v>150.6</v>
      </c>
      <c r="R47" s="493">
        <v>7</v>
      </c>
      <c r="S47" s="497">
        <v>0</v>
      </c>
    </row>
    <row r="48" spans="1:19" ht="15.75" thickBot="1" x14ac:dyDescent="0.25">
      <c r="B48" s="182" t="s">
        <v>12</v>
      </c>
      <c r="C48" s="183">
        <v>25000</v>
      </c>
      <c r="D48" s="180"/>
      <c r="E48" s="185">
        <v>27000</v>
      </c>
      <c r="F48" s="180"/>
      <c r="G48" s="277"/>
      <c r="H48" s="190"/>
      <c r="I48" s="283" t="s">
        <v>12</v>
      </c>
      <c r="J48" s="284">
        <v>30000</v>
      </c>
      <c r="K48" s="281"/>
      <c r="L48" s="285">
        <v>27000</v>
      </c>
      <c r="M48" s="286">
        <v>31000</v>
      </c>
      <c r="P48" s="283" t="s">
        <v>12</v>
      </c>
      <c r="Q48" s="492">
        <v>5000</v>
      </c>
      <c r="R48" s="496"/>
      <c r="S48" s="497">
        <v>0</v>
      </c>
    </row>
    <row r="49" spans="2:19" ht="15.75" thickBot="1" x14ac:dyDescent="0.25">
      <c r="B49" s="182" t="s">
        <v>13</v>
      </c>
      <c r="C49" s="183">
        <v>29000</v>
      </c>
      <c r="D49" s="184">
        <v>31000</v>
      </c>
      <c r="E49" s="185">
        <v>36000</v>
      </c>
      <c r="F49" s="180"/>
      <c r="G49" s="277"/>
      <c r="H49" s="190"/>
      <c r="I49" s="283" t="s">
        <v>13</v>
      </c>
      <c r="J49" s="284">
        <v>34000</v>
      </c>
      <c r="K49" s="284">
        <v>33000</v>
      </c>
      <c r="L49" s="285">
        <v>36000</v>
      </c>
      <c r="M49" s="286">
        <v>42000</v>
      </c>
      <c r="P49" s="283" t="s">
        <v>13</v>
      </c>
      <c r="Q49" s="492">
        <v>5000</v>
      </c>
      <c r="R49" s="493">
        <v>2000</v>
      </c>
      <c r="S49" s="497">
        <v>0</v>
      </c>
    </row>
    <row r="50" spans="2:19" ht="15.75" thickBot="1" x14ac:dyDescent="0.25">
      <c r="B50" s="182" t="s">
        <v>39</v>
      </c>
      <c r="C50" s="186" t="s">
        <v>68</v>
      </c>
      <c r="D50" s="180"/>
      <c r="E50" s="185">
        <v>4.2</v>
      </c>
      <c r="F50" s="180"/>
      <c r="G50" s="277"/>
      <c r="H50" s="190"/>
      <c r="I50" s="283" t="s">
        <v>39</v>
      </c>
      <c r="J50" s="287" t="s">
        <v>70</v>
      </c>
      <c r="K50" s="281"/>
      <c r="L50" s="285">
        <v>0.77</v>
      </c>
      <c r="M50" s="286">
        <v>4.8</v>
      </c>
      <c r="P50" s="283" t="s">
        <v>39</v>
      </c>
      <c r="Q50" s="495"/>
      <c r="R50" s="496"/>
      <c r="S50" s="497">
        <v>0</v>
      </c>
    </row>
    <row r="51" spans="2:19" ht="15.75" thickBot="1" x14ac:dyDescent="0.25">
      <c r="B51" s="182" t="s">
        <v>16</v>
      </c>
      <c r="C51" s="183">
        <v>56</v>
      </c>
      <c r="D51" s="184">
        <v>63</v>
      </c>
      <c r="E51" s="185">
        <v>69</v>
      </c>
      <c r="F51" s="180"/>
      <c r="G51" s="277"/>
      <c r="H51" s="280"/>
      <c r="I51" s="283" t="s">
        <v>16</v>
      </c>
      <c r="J51" s="284">
        <v>70</v>
      </c>
      <c r="K51" s="284">
        <v>66</v>
      </c>
      <c r="L51" s="285">
        <v>72</v>
      </c>
      <c r="M51" s="286">
        <v>64</v>
      </c>
      <c r="P51" s="283" t="s">
        <v>16</v>
      </c>
      <c r="Q51" s="492">
        <v>14</v>
      </c>
      <c r="R51" s="493">
        <v>3</v>
      </c>
      <c r="S51" s="497">
        <v>3</v>
      </c>
    </row>
    <row r="52" spans="2:19" ht="15.75" thickBot="1" x14ac:dyDescent="0.25">
      <c r="B52" s="182" t="s">
        <v>17</v>
      </c>
      <c r="C52" s="183">
        <v>1800</v>
      </c>
      <c r="D52" s="180"/>
      <c r="E52" s="185">
        <v>2400</v>
      </c>
      <c r="F52" s="180"/>
      <c r="G52" s="277"/>
      <c r="H52" s="190"/>
      <c r="I52" s="283" t="s">
        <v>17</v>
      </c>
      <c r="J52" s="284">
        <v>2800</v>
      </c>
      <c r="K52" s="281"/>
      <c r="L52" s="285">
        <v>2500</v>
      </c>
      <c r="M52" s="286">
        <v>3000</v>
      </c>
      <c r="P52" s="283" t="s">
        <v>17</v>
      </c>
      <c r="Q52" s="492">
        <v>1000</v>
      </c>
      <c r="R52" s="496"/>
      <c r="S52" s="497">
        <v>100</v>
      </c>
    </row>
    <row r="53" spans="2:19" ht="15.75" thickBot="1" x14ac:dyDescent="0.25">
      <c r="B53" s="182" t="s">
        <v>18</v>
      </c>
      <c r="C53" s="183">
        <v>0.49</v>
      </c>
      <c r="D53" s="184">
        <v>0.55000000000000004</v>
      </c>
      <c r="E53" s="185">
        <v>4.7</v>
      </c>
      <c r="F53" s="180"/>
      <c r="G53" s="277"/>
      <c r="H53" s="190"/>
      <c r="I53" s="283" t="s">
        <v>18</v>
      </c>
      <c r="J53" s="284">
        <v>2</v>
      </c>
      <c r="K53" s="284">
        <v>1.2</v>
      </c>
      <c r="L53" s="285">
        <v>3.3</v>
      </c>
      <c r="M53" s="286">
        <v>9.9</v>
      </c>
      <c r="P53" s="283" t="s">
        <v>18</v>
      </c>
      <c r="Q53" s="492">
        <v>1.51</v>
      </c>
      <c r="R53" s="493">
        <v>0.64999999999999991</v>
      </c>
      <c r="S53" s="497">
        <v>0</v>
      </c>
    </row>
    <row r="54" spans="2:19" ht="15.75" thickBot="1" x14ac:dyDescent="0.25">
      <c r="B54" s="182" t="s">
        <v>19</v>
      </c>
      <c r="C54" s="186" t="s">
        <v>95</v>
      </c>
      <c r="D54" s="180"/>
      <c r="E54" s="185">
        <v>0.1</v>
      </c>
      <c r="F54" s="180"/>
      <c r="G54" s="277"/>
      <c r="H54" s="190"/>
      <c r="I54" s="283" t="s">
        <v>19</v>
      </c>
      <c r="J54" s="281"/>
      <c r="K54" s="281"/>
      <c r="L54" s="285">
        <v>0.1</v>
      </c>
      <c r="M54" s="286">
        <v>0.6</v>
      </c>
      <c r="P54" s="283" t="s">
        <v>19</v>
      </c>
      <c r="Q54" s="495"/>
      <c r="R54" s="496"/>
      <c r="S54" s="497">
        <v>0</v>
      </c>
    </row>
    <row r="55" spans="2:19" ht="15.75" thickBot="1" x14ac:dyDescent="0.25">
      <c r="B55" s="182" t="s">
        <v>20</v>
      </c>
      <c r="C55" s="186">
        <v>92000</v>
      </c>
      <c r="D55" s="180"/>
      <c r="E55" s="185">
        <v>5300</v>
      </c>
      <c r="F55" s="180"/>
      <c r="G55" s="277"/>
      <c r="H55" s="190"/>
      <c r="I55" s="283" t="s">
        <v>20</v>
      </c>
      <c r="J55" s="288">
        <v>103000</v>
      </c>
      <c r="K55" s="281"/>
      <c r="L55" s="285">
        <v>5200</v>
      </c>
      <c r="M55" s="286">
        <v>4800</v>
      </c>
      <c r="P55" s="283" t="s">
        <v>20</v>
      </c>
      <c r="Q55" s="495"/>
      <c r="R55" s="496"/>
      <c r="S55" s="497">
        <v>0</v>
      </c>
    </row>
    <row r="56" spans="2:19" ht="15.75" thickBot="1" x14ac:dyDescent="0.25">
      <c r="B56" s="182" t="s">
        <v>21</v>
      </c>
      <c r="C56" s="180"/>
      <c r="D56" s="180"/>
      <c r="E56" s="185">
        <v>0.28999999999999998</v>
      </c>
      <c r="F56" s="180"/>
      <c r="G56" s="277"/>
      <c r="H56" s="190"/>
      <c r="I56" s="283" t="s">
        <v>21</v>
      </c>
      <c r="J56" s="281"/>
      <c r="K56" s="281"/>
      <c r="L56" s="285">
        <v>0.28999999999999998</v>
      </c>
      <c r="M56" s="286">
        <v>60</v>
      </c>
      <c r="P56" s="283" t="s">
        <v>21</v>
      </c>
      <c r="Q56" s="495"/>
      <c r="R56" s="496"/>
      <c r="S56" s="497">
        <v>0.28999999999999998</v>
      </c>
    </row>
    <row r="57" spans="2:19" ht="15.75" thickBot="1" x14ac:dyDescent="0.25">
      <c r="B57" s="182" t="s">
        <v>22</v>
      </c>
      <c r="C57" s="180">
        <v>15</v>
      </c>
      <c r="D57" s="180"/>
      <c r="E57" s="185">
        <v>38</v>
      </c>
      <c r="F57" s="180"/>
      <c r="G57" s="277"/>
      <c r="H57" s="190"/>
      <c r="I57" s="283" t="s">
        <v>22</v>
      </c>
      <c r="J57" s="285">
        <v>64</v>
      </c>
      <c r="K57" s="281"/>
      <c r="L57" s="285">
        <v>38</v>
      </c>
      <c r="M57" s="286">
        <v>33</v>
      </c>
      <c r="P57" s="283" t="s">
        <v>22</v>
      </c>
      <c r="Q57" s="495"/>
      <c r="R57" s="496"/>
      <c r="S57" s="497">
        <v>0</v>
      </c>
    </row>
    <row r="58" spans="2:19" ht="15.75" thickBot="1" x14ac:dyDescent="0.25">
      <c r="B58" s="182" t="s">
        <v>23</v>
      </c>
      <c r="C58" s="183">
        <v>23000</v>
      </c>
      <c r="D58" s="184">
        <v>27000</v>
      </c>
      <c r="E58" s="185">
        <v>20000</v>
      </c>
      <c r="F58" s="180"/>
      <c r="G58" s="277"/>
      <c r="H58" s="190"/>
      <c r="I58" s="283" t="s">
        <v>23</v>
      </c>
      <c r="J58" s="284">
        <v>28000</v>
      </c>
      <c r="K58" s="284">
        <v>28000</v>
      </c>
      <c r="L58" s="285">
        <v>20000</v>
      </c>
      <c r="M58" s="286">
        <v>26000</v>
      </c>
      <c r="P58" s="283" t="s">
        <v>23</v>
      </c>
      <c r="Q58" s="492">
        <v>5000</v>
      </c>
      <c r="R58" s="493">
        <v>1000</v>
      </c>
      <c r="S58" s="497">
        <v>0</v>
      </c>
    </row>
    <row r="59" spans="2:19" x14ac:dyDescent="0.2">
      <c r="G59" s="277"/>
      <c r="H59" s="190"/>
    </row>
  </sheetData>
  <sheetProtection algorithmName="SHA-512" hashValue="b89QtzbeeuFzzQW7Y0u+WixDKIYKhXEMfEGb6Tlp4tdh1qm53wUlNjZlpemF72ephHnTuAqKNgPsUh1xk/Ie4g==" saltValue="oT9TF1IeAmEGvfsGZAFIDg==" spinCount="100000" sheet="1" scenarios="1"/>
  <mergeCells count="3">
    <mergeCell ref="C34:F34"/>
    <mergeCell ref="J34:M34"/>
    <mergeCell ref="Q34:S34"/>
  </mergeCells>
  <pageMargins left="0.7" right="0.7" top="0.75" bottom="0.75" header="0.3" footer="0.3"/>
  <pageSetup scale="29" orientation="landscape" r:id="rId1"/>
  <headerFooter>
    <oddFooter>&amp;L&amp;Z&amp;F&amp;R&amp;D  &amp;T</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pageSetUpPr fitToPage="1"/>
  </sheetPr>
  <dimension ref="A1:AN68"/>
  <sheetViews>
    <sheetView topLeftCell="A8" workbookViewId="0">
      <selection activeCell="H11" sqref="H11"/>
    </sheetView>
  </sheetViews>
  <sheetFormatPr defaultRowHeight="12.75" outlineLevelRow="1" outlineLevelCol="1" x14ac:dyDescent="0.2"/>
  <cols>
    <col min="1" max="1" width="18.28515625" customWidth="1"/>
    <col min="2" max="5" width="10.28515625" customWidth="1" outlineLevel="1"/>
    <col min="6" max="6" width="9.7109375" customWidth="1" outlineLevel="1"/>
    <col min="7" max="7" width="16.140625" customWidth="1"/>
    <col min="8" max="8" width="10.42578125" customWidth="1"/>
    <col min="9" max="9" width="13.5703125" customWidth="1"/>
    <col min="11" max="11" width="11.85546875" customWidth="1"/>
    <col min="16" max="16" width="5.140625" customWidth="1"/>
    <col min="17" max="17" width="4.7109375" customWidth="1"/>
    <col min="21" max="21" width="14" customWidth="1"/>
    <col min="23" max="23" width="15.42578125" customWidth="1"/>
  </cols>
  <sheetData>
    <row r="1" spans="1:7" ht="29.25" customHeight="1" x14ac:dyDescent="0.3">
      <c r="A1" s="19" t="s">
        <v>78</v>
      </c>
    </row>
    <row r="2" spans="1:7" ht="31.5" customHeight="1" x14ac:dyDescent="0.25">
      <c r="A2" s="80" t="s">
        <v>96</v>
      </c>
      <c r="B2" s="80" t="s">
        <v>142</v>
      </c>
      <c r="C2" s="80" t="s">
        <v>142</v>
      </c>
      <c r="D2" s="80" t="s">
        <v>143</v>
      </c>
      <c r="E2" s="80" t="s">
        <v>144</v>
      </c>
      <c r="G2" s="393" t="s">
        <v>85</v>
      </c>
    </row>
    <row r="3" spans="1:7" ht="14.25" customHeight="1" x14ac:dyDescent="0.3">
      <c r="A3" s="155"/>
      <c r="B3" s="79"/>
      <c r="C3" s="79"/>
      <c r="D3" s="79"/>
      <c r="E3" s="79"/>
      <c r="G3" s="40"/>
    </row>
    <row r="4" spans="1:7" ht="84.75" customHeight="1" thickBot="1" x14ac:dyDescent="0.45">
      <c r="A4" s="65" t="s">
        <v>72</v>
      </c>
      <c r="B4" s="66">
        <v>42223</v>
      </c>
      <c r="C4" s="66">
        <v>42227</v>
      </c>
      <c r="D4" s="66">
        <v>42231</v>
      </c>
      <c r="E4" s="66">
        <v>42268</v>
      </c>
    </row>
    <row r="5" spans="1:7" ht="17.25" outlineLevel="1" x14ac:dyDescent="0.35">
      <c r="A5" s="85" t="s">
        <v>0</v>
      </c>
      <c r="B5" s="62">
        <v>32</v>
      </c>
      <c r="C5" s="62">
        <v>31</v>
      </c>
      <c r="D5" s="63">
        <v>34</v>
      </c>
      <c r="E5" s="64">
        <v>32</v>
      </c>
      <c r="F5" s="64"/>
    </row>
    <row r="6" spans="1:7" ht="17.25" outlineLevel="1" x14ac:dyDescent="0.35">
      <c r="A6" s="86" t="s">
        <v>1</v>
      </c>
      <c r="B6" s="71"/>
      <c r="C6" s="71"/>
      <c r="D6" s="73">
        <v>3.7000000000000002E-3</v>
      </c>
      <c r="E6" s="53">
        <v>6.3E-3</v>
      </c>
      <c r="F6" s="64"/>
    </row>
    <row r="7" spans="1:7" ht="17.25" outlineLevel="1" x14ac:dyDescent="0.35">
      <c r="A7" s="86" t="s">
        <v>2</v>
      </c>
      <c r="B7" s="56">
        <v>8.5999999999999993E-2</v>
      </c>
      <c r="C7" s="56">
        <v>6.7000000000000004E-2</v>
      </c>
      <c r="D7" s="50">
        <v>0.06</v>
      </c>
      <c r="E7" s="51">
        <v>4.3999999999999997E-2</v>
      </c>
      <c r="F7" s="64"/>
    </row>
    <row r="8" spans="1:7" ht="17.25" outlineLevel="1" x14ac:dyDescent="0.35">
      <c r="A8" s="86" t="s">
        <v>3</v>
      </c>
      <c r="B8" s="56">
        <v>2.1000000000000001E-2</v>
      </c>
      <c r="C8" s="56"/>
      <c r="D8" s="69">
        <v>8.6E-3</v>
      </c>
      <c r="E8" s="68">
        <v>1.6999999999999999E-3</v>
      </c>
      <c r="F8" s="64"/>
    </row>
    <row r="9" spans="1:7" ht="17.25" outlineLevel="1" x14ac:dyDescent="0.35">
      <c r="A9" s="86" t="s">
        <v>4</v>
      </c>
      <c r="B9" s="56">
        <v>3.0999999999999999E-3</v>
      </c>
      <c r="C9" s="56">
        <v>5.4999999999999997E-3</v>
      </c>
      <c r="D9" s="48">
        <v>1.0999999999999999E-2</v>
      </c>
      <c r="E9" s="52">
        <v>1.2999999999999999E-2</v>
      </c>
      <c r="F9" s="64"/>
    </row>
    <row r="10" spans="1:7" ht="17.25" outlineLevel="1" x14ac:dyDescent="0.35">
      <c r="A10" s="86" t="s">
        <v>5</v>
      </c>
      <c r="B10" s="56">
        <v>0.1</v>
      </c>
      <c r="C10" s="56">
        <v>8.4000000000000005E-2</v>
      </c>
      <c r="D10" s="90">
        <v>8.2000000000000003E-2</v>
      </c>
      <c r="E10" s="67">
        <v>8.4000000000000005E-2</v>
      </c>
      <c r="F10" s="64"/>
    </row>
    <row r="11" spans="1:7" ht="17.25" outlineLevel="1" x14ac:dyDescent="0.35">
      <c r="A11" s="86" t="s">
        <v>6</v>
      </c>
      <c r="B11" s="55">
        <v>330</v>
      </c>
      <c r="C11" s="57">
        <v>330</v>
      </c>
      <c r="D11" s="48">
        <v>370</v>
      </c>
      <c r="E11" s="52">
        <v>460</v>
      </c>
      <c r="F11" s="64"/>
    </row>
    <row r="12" spans="1:7" ht="17.25" outlineLevel="1" x14ac:dyDescent="0.35">
      <c r="A12" s="86" t="s">
        <v>7</v>
      </c>
      <c r="B12" s="56">
        <v>1.4999999999999999E-2</v>
      </c>
      <c r="C12" s="58"/>
      <c r="D12" s="69">
        <v>5.4999999999999997E-3</v>
      </c>
      <c r="E12" s="68">
        <v>1.6E-2</v>
      </c>
      <c r="F12" s="64"/>
    </row>
    <row r="13" spans="1:7" ht="17.25" outlineLevel="1" x14ac:dyDescent="0.35">
      <c r="A13" s="86" t="s">
        <v>8</v>
      </c>
      <c r="B13" s="59">
        <v>0.13</v>
      </c>
      <c r="C13" s="59">
        <v>0.12</v>
      </c>
      <c r="D13" s="48">
        <v>0.11</v>
      </c>
      <c r="E13" s="76">
        <v>0.12</v>
      </c>
      <c r="F13" s="64"/>
    </row>
    <row r="14" spans="1:7" ht="17.25" outlineLevel="1" x14ac:dyDescent="0.35">
      <c r="A14" s="86" t="s">
        <v>9</v>
      </c>
      <c r="B14" s="60">
        <v>6</v>
      </c>
      <c r="C14" s="60">
        <v>7.2</v>
      </c>
      <c r="D14" s="50">
        <v>4.5999999999999996</v>
      </c>
      <c r="E14" s="51">
        <v>7.8</v>
      </c>
      <c r="F14" s="64"/>
    </row>
    <row r="15" spans="1:7" ht="17.25" outlineLevel="1" x14ac:dyDescent="0.35">
      <c r="A15" s="86" t="s">
        <v>10</v>
      </c>
      <c r="B15" s="55">
        <v>185</v>
      </c>
      <c r="C15" s="57"/>
      <c r="D15" s="48">
        <v>150</v>
      </c>
      <c r="E15" s="52">
        <v>120</v>
      </c>
      <c r="F15" s="64"/>
    </row>
    <row r="16" spans="1:7" ht="17.25" outlineLevel="1" x14ac:dyDescent="0.35">
      <c r="A16" s="86" t="s">
        <v>11</v>
      </c>
      <c r="B16" s="56">
        <v>0.16</v>
      </c>
      <c r="C16" s="56">
        <v>4.8000000000000001E-2</v>
      </c>
      <c r="D16" s="50">
        <v>4.2000000000000003E-2</v>
      </c>
      <c r="E16" s="51">
        <v>4.2000000000000003E-2</v>
      </c>
      <c r="F16" s="64"/>
    </row>
    <row r="17" spans="1:9" ht="17.25" outlineLevel="1" x14ac:dyDescent="0.35">
      <c r="A17" s="86" t="s">
        <v>12</v>
      </c>
      <c r="B17" s="55">
        <v>30</v>
      </c>
      <c r="C17" s="57">
        <v>30</v>
      </c>
      <c r="D17" s="48">
        <v>27</v>
      </c>
      <c r="E17" s="52">
        <v>31</v>
      </c>
      <c r="F17" s="64"/>
    </row>
    <row r="18" spans="1:9" ht="17.25" outlineLevel="1" x14ac:dyDescent="0.35">
      <c r="A18" s="86" t="s">
        <v>13</v>
      </c>
      <c r="B18" s="55">
        <v>34</v>
      </c>
      <c r="C18" s="55">
        <v>33</v>
      </c>
      <c r="D18" s="48">
        <v>36</v>
      </c>
      <c r="E18" s="52">
        <v>42</v>
      </c>
      <c r="F18" s="64"/>
    </row>
    <row r="19" spans="1:9" ht="17.25" outlineLevel="1" x14ac:dyDescent="0.35">
      <c r="A19" s="86" t="s">
        <v>14</v>
      </c>
      <c r="B19" s="49">
        <v>0</v>
      </c>
      <c r="C19" s="49">
        <v>0</v>
      </c>
      <c r="D19" s="48">
        <v>0</v>
      </c>
      <c r="E19" s="48">
        <v>0</v>
      </c>
      <c r="F19" s="64"/>
    </row>
    <row r="20" spans="1:9" ht="17.25" outlineLevel="1" x14ac:dyDescent="0.35">
      <c r="A20" s="86" t="s">
        <v>39</v>
      </c>
      <c r="B20" s="70"/>
      <c r="C20" s="70"/>
      <c r="D20" s="69">
        <v>4.2000000000000006E-3</v>
      </c>
      <c r="E20" s="53">
        <v>4.7999999999999996E-3</v>
      </c>
      <c r="F20" s="64"/>
    </row>
    <row r="21" spans="1:9" ht="17.25" outlineLevel="1" x14ac:dyDescent="0.35">
      <c r="A21" s="86" t="s">
        <v>16</v>
      </c>
      <c r="B21" s="56">
        <v>7.0000000000000007E-2</v>
      </c>
      <c r="C21" s="56">
        <v>6.6000000000000003E-2</v>
      </c>
      <c r="D21" s="69">
        <v>6.9000000000000006E-2</v>
      </c>
      <c r="E21" s="53">
        <v>6.4000000000000001E-2</v>
      </c>
      <c r="F21" s="64"/>
    </row>
    <row r="22" spans="1:9" ht="17.25" outlineLevel="1" x14ac:dyDescent="0.35">
      <c r="A22" s="86" t="s">
        <v>17</v>
      </c>
      <c r="B22" s="60">
        <v>2.8</v>
      </c>
      <c r="C22" s="60"/>
      <c r="D22" s="48">
        <v>2.4</v>
      </c>
      <c r="E22" s="78">
        <v>3</v>
      </c>
      <c r="F22" s="64"/>
    </row>
    <row r="23" spans="1:9" ht="17.25" outlineLevel="1" x14ac:dyDescent="0.35">
      <c r="A23" s="86" t="s">
        <v>18</v>
      </c>
      <c r="B23" s="56">
        <v>2E-3</v>
      </c>
      <c r="C23" s="56">
        <v>1.1999999999999999E-3</v>
      </c>
      <c r="D23" s="69">
        <v>4.7000000000000002E-3</v>
      </c>
      <c r="E23" s="53">
        <v>9.9000000000000008E-3</v>
      </c>
      <c r="F23" s="64"/>
    </row>
    <row r="24" spans="1:9" ht="17.25" outlineLevel="1" x14ac:dyDescent="0.35">
      <c r="A24" s="47" t="s">
        <v>19</v>
      </c>
      <c r="B24" s="72"/>
      <c r="C24" s="72"/>
      <c r="D24" s="73">
        <v>1E-4</v>
      </c>
      <c r="E24" s="74">
        <v>5.9999999999999995E-4</v>
      </c>
      <c r="F24" s="64"/>
    </row>
    <row r="25" spans="1:9" ht="17.25" outlineLevel="1" x14ac:dyDescent="0.35">
      <c r="A25" s="47" t="s">
        <v>20</v>
      </c>
      <c r="B25" s="57">
        <v>92</v>
      </c>
      <c r="C25" s="57"/>
      <c r="D25" s="75">
        <v>5.3</v>
      </c>
      <c r="E25" s="78">
        <v>4.8</v>
      </c>
      <c r="F25" s="64"/>
    </row>
    <row r="26" spans="1:9" ht="17.25" outlineLevel="1" x14ac:dyDescent="0.35">
      <c r="A26" s="47" t="s">
        <v>21</v>
      </c>
      <c r="B26" s="72"/>
      <c r="C26" s="72"/>
      <c r="D26" s="73">
        <v>2.9E-4</v>
      </c>
      <c r="E26" s="74">
        <v>0.06</v>
      </c>
      <c r="F26" s="64"/>
    </row>
    <row r="27" spans="1:9" ht="17.25" outlineLevel="1" x14ac:dyDescent="0.35">
      <c r="A27" s="86" t="s">
        <v>22</v>
      </c>
      <c r="B27" s="58"/>
      <c r="C27" s="58"/>
      <c r="D27" s="48">
        <v>3.7999999999999999E-2</v>
      </c>
      <c r="E27" s="78">
        <v>3.3000000000000002E-2</v>
      </c>
      <c r="F27" s="64"/>
    </row>
    <row r="28" spans="1:9" ht="17.25" outlineLevel="1" x14ac:dyDescent="0.35">
      <c r="A28" s="86" t="s">
        <v>23</v>
      </c>
      <c r="B28" s="55">
        <v>28</v>
      </c>
      <c r="C28" s="55">
        <v>28</v>
      </c>
      <c r="D28" s="48">
        <v>20</v>
      </c>
      <c r="E28" s="78">
        <v>26</v>
      </c>
      <c r="F28" s="64"/>
    </row>
    <row r="29" spans="1:9" outlineLevel="1" x14ac:dyDescent="0.2">
      <c r="B29" s="98"/>
      <c r="C29" s="98"/>
      <c r="D29" s="98"/>
      <c r="E29" s="98"/>
      <c r="F29" s="98"/>
    </row>
    <row r="30" spans="1:9" ht="17.25" x14ac:dyDescent="0.35">
      <c r="A30" s="93" t="s">
        <v>211</v>
      </c>
    </row>
    <row r="31" spans="1:9" x14ac:dyDescent="0.2">
      <c r="B31" s="91">
        <f>B5+B7+B9+B10+B11+B13+B14+B16+B17+B18+B21+B23+B28</f>
        <v>460.55110000000002</v>
      </c>
      <c r="C31" s="91">
        <f>C5+C7+C9+C10+C11+C13+C14+C16+C17+C18+C21+C23+C28</f>
        <v>459.59169999999995</v>
      </c>
      <c r="D31" s="91">
        <f>D5+D7+D9+D10+D11+D13+D14+D16+D17+D18+D21+D23+D28</f>
        <v>491.97870000000006</v>
      </c>
      <c r="E31" s="91">
        <f>E5+E7+E9+E10+E11+E13+E14+E16+E17+E18+E21+E23+E28</f>
        <v>599.17690000000005</v>
      </c>
      <c r="F31" t="s">
        <v>210</v>
      </c>
      <c r="H31" s="91"/>
      <c r="I31" s="99"/>
    </row>
    <row r="32" spans="1:9" x14ac:dyDescent="0.2">
      <c r="B32" s="91">
        <f>B5+B7+B8+B9+B10+B12+B13+B14+B16+B17+B18+B21+B23+B28</f>
        <v>130.58709999999999</v>
      </c>
      <c r="C32" s="91">
        <f>C5+C7+C8+C9+C10+C12+C13+C14+C16+C17+C18+C21+C23+C28</f>
        <v>129.5917</v>
      </c>
      <c r="D32" s="91">
        <f>D5+D7+D8+D9+D10+D12+D13+D14+D16+D17+D18+D21+D23+D28</f>
        <v>121.99280000000002</v>
      </c>
      <c r="E32" s="91">
        <f>E5+E7+E8+E9+E10+E12+E13+E14+E16+E17+E18+E21+E23+E28</f>
        <v>139.19459999999998</v>
      </c>
      <c r="F32" t="s">
        <v>87</v>
      </c>
      <c r="H32" s="91"/>
    </row>
    <row r="33" spans="1:40" x14ac:dyDescent="0.2">
      <c r="I33" s="467"/>
    </row>
    <row r="34" spans="1:40" x14ac:dyDescent="0.2">
      <c r="I34" s="467"/>
    </row>
    <row r="35" spans="1:40" x14ac:dyDescent="0.2">
      <c r="I35" s="467"/>
    </row>
    <row r="36" spans="1:40" x14ac:dyDescent="0.2">
      <c r="I36" s="467"/>
    </row>
    <row r="37" spans="1:40" x14ac:dyDescent="0.2">
      <c r="I37" s="467"/>
    </row>
    <row r="38" spans="1:40" x14ac:dyDescent="0.2">
      <c r="I38" s="467"/>
    </row>
    <row r="39" spans="1:40" ht="28.5" x14ac:dyDescent="0.45">
      <c r="A39" s="88" t="s">
        <v>79</v>
      </c>
      <c r="B39" s="35"/>
      <c r="C39" s="35"/>
      <c r="D39" s="35"/>
      <c r="E39" s="35"/>
      <c r="F39" s="81" t="s">
        <v>81</v>
      </c>
      <c r="G39" s="35"/>
      <c r="H39" s="35"/>
      <c r="I39" s="35"/>
      <c r="J39" s="35"/>
      <c r="K39" s="35"/>
      <c r="L39" s="35"/>
      <c r="M39" s="35"/>
      <c r="N39" s="35"/>
      <c r="O39" s="35"/>
      <c r="P39" s="35"/>
      <c r="R39" s="83"/>
      <c r="S39" s="83"/>
      <c r="T39" s="83"/>
      <c r="U39" s="83"/>
      <c r="V39" s="83"/>
      <c r="W39" s="84" t="s">
        <v>80</v>
      </c>
      <c r="X39" s="83"/>
      <c r="Y39" s="83"/>
      <c r="Z39" s="83"/>
      <c r="AA39" s="83"/>
      <c r="AB39" s="83"/>
      <c r="AC39" s="83"/>
      <c r="AD39" s="83"/>
      <c r="AE39" s="83"/>
      <c r="AF39" s="83"/>
      <c r="AG39" s="83"/>
      <c r="AH39" s="83"/>
      <c r="AI39" s="83"/>
      <c r="AJ39" s="83"/>
      <c r="AK39" s="83"/>
      <c r="AL39" s="83"/>
      <c r="AM39" s="83"/>
      <c r="AN39" s="83"/>
    </row>
    <row r="54" spans="1:28" x14ac:dyDescent="0.2">
      <c r="A54" s="35"/>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row>
    <row r="68" spans="1:40" ht="18.75" x14ac:dyDescent="0.3">
      <c r="A68" s="36"/>
      <c r="B68" s="36"/>
      <c r="C68" s="82" t="s">
        <v>82</v>
      </c>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row>
  </sheetData>
  <sheetProtection algorithmName="SHA-512" hashValue="Q/yvcJt9M8u6yv2uYMQuKw8DHJdWrf8XOzMT7B+l/TWy0wIr1+TXbuYICqMDZSRitPG7AvXp97YU0aasTDwA3Q==" saltValue="IVMhYHgQg2RQaWRXU9E/Eg==" spinCount="100000" sheet="1" scenarios="1"/>
  <pageMargins left="0.7" right="0.7" top="0.75" bottom="0.75" header="0.3" footer="0.3"/>
  <pageSetup paperSize="3" scale="45" orientation="landscape" r:id="rId1"/>
  <headerFooter>
    <oddFooter>&amp;L&amp;Z&amp;F&amp;R&amp;D  &amp;T</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sheetPr>
  <dimension ref="A1:Y45"/>
  <sheetViews>
    <sheetView workbookViewId="0">
      <selection activeCell="P38" sqref="P38"/>
    </sheetView>
  </sheetViews>
  <sheetFormatPr defaultRowHeight="12.75" x14ac:dyDescent="0.2"/>
  <cols>
    <col min="1" max="1" width="14.140625" customWidth="1"/>
    <col min="5" max="6" width="12.5703125" customWidth="1"/>
    <col min="7" max="7" width="9.28515625" customWidth="1"/>
  </cols>
  <sheetData>
    <row r="1" spans="1:25" s="19" customFormat="1" ht="21.75" customHeight="1" x14ac:dyDescent="0.3">
      <c r="A1" s="19" t="s">
        <v>187</v>
      </c>
    </row>
    <row r="2" spans="1:25" s="19" customFormat="1" ht="18.75" x14ac:dyDescent="0.3">
      <c r="B2" s="623" t="s">
        <v>188</v>
      </c>
      <c r="C2" s="623"/>
      <c r="D2" s="623"/>
      <c r="E2" s="623"/>
      <c r="F2" s="79"/>
      <c r="G2" s="623" t="s">
        <v>97</v>
      </c>
      <c r="H2" s="623"/>
      <c r="I2" s="623"/>
      <c r="J2" s="623"/>
      <c r="K2" s="79"/>
      <c r="L2" s="79"/>
      <c r="M2" s="623" t="s">
        <v>189</v>
      </c>
      <c r="N2" s="623"/>
      <c r="O2" s="623"/>
      <c r="P2" s="623"/>
      <c r="Q2" s="80"/>
      <c r="R2" s="79" t="s">
        <v>190</v>
      </c>
      <c r="T2"/>
      <c r="U2"/>
      <c r="V2"/>
      <c r="W2"/>
      <c r="X2"/>
      <c r="Y2"/>
    </row>
    <row r="3" spans="1:25" x14ac:dyDescent="0.2">
      <c r="A3" s="45" t="s">
        <v>72</v>
      </c>
      <c r="B3" s="154">
        <v>42589</v>
      </c>
      <c r="C3" s="154">
        <v>42593</v>
      </c>
      <c r="D3" s="154">
        <v>42597</v>
      </c>
      <c r="E3" s="154">
        <v>42634</v>
      </c>
      <c r="F3" s="154"/>
      <c r="G3" s="9" t="s">
        <v>72</v>
      </c>
      <c r="H3" s="154">
        <v>42589</v>
      </c>
      <c r="I3" s="154">
        <v>42593</v>
      </c>
      <c r="J3" s="154">
        <v>42597</v>
      </c>
      <c r="L3" s="9" t="s">
        <v>72</v>
      </c>
      <c r="M3" s="154">
        <v>42589</v>
      </c>
      <c r="N3" s="154">
        <v>42593</v>
      </c>
      <c r="O3" s="154">
        <v>42597</v>
      </c>
      <c r="P3" s="154">
        <v>42634</v>
      </c>
      <c r="Q3" s="154"/>
      <c r="R3" s="45" t="s">
        <v>72</v>
      </c>
      <c r="S3" s="154">
        <v>42589</v>
      </c>
      <c r="T3" s="154">
        <v>42593</v>
      </c>
      <c r="U3" s="154">
        <v>42597</v>
      </c>
      <c r="V3" s="154"/>
    </row>
    <row r="4" spans="1:25" ht="15" x14ac:dyDescent="0.35">
      <c r="A4" s="5" t="s">
        <v>0</v>
      </c>
      <c r="B4" s="156">
        <v>24000</v>
      </c>
      <c r="C4" s="13">
        <v>33000</v>
      </c>
      <c r="D4" s="157">
        <v>34000</v>
      </c>
      <c r="E4" s="13" t="s">
        <v>104</v>
      </c>
      <c r="F4" s="13"/>
      <c r="G4" s="158" t="s">
        <v>0</v>
      </c>
      <c r="H4" s="243">
        <f>M4-B4</f>
        <v>8000</v>
      </c>
      <c r="I4" s="243">
        <f>N4-C4</f>
        <v>-2000</v>
      </c>
      <c r="J4" s="243">
        <f>O4-D4</f>
        <v>-1000</v>
      </c>
      <c r="K4" s="15"/>
      <c r="L4" s="158" t="s">
        <v>0</v>
      </c>
      <c r="M4" s="156">
        <v>32000</v>
      </c>
      <c r="N4" s="156">
        <v>31000</v>
      </c>
      <c r="O4" s="275">
        <v>33000</v>
      </c>
      <c r="P4" s="159">
        <v>32000</v>
      </c>
      <c r="Q4" s="159"/>
      <c r="R4" s="158" t="s">
        <v>0</v>
      </c>
      <c r="S4" s="153">
        <f>B4/M4</f>
        <v>0.75</v>
      </c>
      <c r="T4" s="153">
        <f>C4/N4</f>
        <v>1.064516129032258</v>
      </c>
      <c r="U4" s="153">
        <f>D4/O4</f>
        <v>1.0303030303030303</v>
      </c>
    </row>
    <row r="5" spans="1:25" ht="15" x14ac:dyDescent="0.25">
      <c r="A5" s="5" t="s">
        <v>1</v>
      </c>
      <c r="B5" s="270"/>
      <c r="C5" s="13"/>
      <c r="D5" s="273">
        <v>3.7</v>
      </c>
      <c r="E5" s="13"/>
      <c r="F5" s="13"/>
      <c r="G5" s="158" t="s">
        <v>1</v>
      </c>
      <c r="H5" s="243"/>
      <c r="I5" s="243"/>
      <c r="J5" s="243">
        <f t="shared" ref="J5:J27" si="0">O5-D5</f>
        <v>-3.08</v>
      </c>
      <c r="K5" s="15"/>
      <c r="L5" s="158" t="s">
        <v>1</v>
      </c>
      <c r="M5" s="160"/>
      <c r="N5" s="160"/>
      <c r="O5" s="366">
        <v>0.62</v>
      </c>
      <c r="P5" s="163">
        <v>6.3</v>
      </c>
      <c r="Q5" s="163"/>
      <c r="R5" s="158" t="s">
        <v>1</v>
      </c>
      <c r="S5" s="153"/>
      <c r="T5" s="153"/>
      <c r="U5" s="153"/>
    </row>
    <row r="6" spans="1:25" ht="15" x14ac:dyDescent="0.35">
      <c r="A6" s="5" t="s">
        <v>2</v>
      </c>
      <c r="B6" s="271">
        <v>0.89</v>
      </c>
      <c r="C6" s="13">
        <v>29</v>
      </c>
      <c r="D6" s="157">
        <v>44</v>
      </c>
      <c r="E6" s="13"/>
      <c r="F6" s="13"/>
      <c r="G6" s="158" t="s">
        <v>2</v>
      </c>
      <c r="H6" s="243">
        <f t="shared" ref="H6:H27" si="1">M6-B6</f>
        <v>85.11</v>
      </c>
      <c r="I6" s="243">
        <f t="shared" ref="I6:I27" si="2">N6-C6</f>
        <v>38</v>
      </c>
      <c r="J6" s="243">
        <f t="shared" si="0"/>
        <v>16</v>
      </c>
      <c r="K6" s="15"/>
      <c r="L6" s="158" t="s">
        <v>2</v>
      </c>
      <c r="M6" s="156">
        <v>86</v>
      </c>
      <c r="N6" s="156">
        <v>67</v>
      </c>
      <c r="O6" s="469">
        <v>60</v>
      </c>
      <c r="P6" s="163">
        <v>44</v>
      </c>
      <c r="Q6" s="163"/>
      <c r="R6" s="158" t="s">
        <v>2</v>
      </c>
      <c r="S6" s="153">
        <f>B6/M6</f>
        <v>1.0348837209302325E-2</v>
      </c>
      <c r="T6" s="153">
        <f>C6/N6</f>
        <v>0.43283582089552236</v>
      </c>
      <c r="U6" s="153">
        <f>D6/O6</f>
        <v>0.73333333333333328</v>
      </c>
    </row>
    <row r="7" spans="1:25" ht="16.5" x14ac:dyDescent="0.35">
      <c r="A7" s="5" t="s">
        <v>3</v>
      </c>
      <c r="B7" s="271">
        <v>8.8000000000000007</v>
      </c>
      <c r="C7" s="13"/>
      <c r="D7" s="273">
        <v>8.6</v>
      </c>
      <c r="E7" s="13"/>
      <c r="F7" s="13"/>
      <c r="G7" s="158" t="s">
        <v>3</v>
      </c>
      <c r="H7" s="243">
        <f t="shared" si="1"/>
        <v>12.2</v>
      </c>
      <c r="I7" s="243"/>
      <c r="J7" s="243">
        <f t="shared" si="0"/>
        <v>9.9999999999999645E-2</v>
      </c>
      <c r="K7" s="15"/>
      <c r="L7" s="158" t="s">
        <v>3</v>
      </c>
      <c r="M7" s="156">
        <v>21</v>
      </c>
      <c r="N7" s="160"/>
      <c r="O7" s="468">
        <v>8.6999999999999993</v>
      </c>
      <c r="P7" s="163">
        <v>1.7</v>
      </c>
      <c r="Q7" s="163"/>
      <c r="R7" s="158" t="s">
        <v>3</v>
      </c>
      <c r="S7" s="153"/>
      <c r="T7" s="153"/>
      <c r="U7" s="153"/>
    </row>
    <row r="8" spans="1:25" ht="15" x14ac:dyDescent="0.35">
      <c r="A8" s="5" t="s">
        <v>4</v>
      </c>
      <c r="B8" s="271">
        <v>3.1</v>
      </c>
      <c r="C8" s="13">
        <v>5.5</v>
      </c>
      <c r="D8" s="157">
        <v>11</v>
      </c>
      <c r="E8" s="13"/>
      <c r="F8" s="13"/>
      <c r="G8" s="158" t="s">
        <v>4</v>
      </c>
      <c r="H8" s="243"/>
      <c r="I8" s="243"/>
      <c r="J8" s="243">
        <f t="shared" si="0"/>
        <v>0</v>
      </c>
      <c r="K8" s="15"/>
      <c r="L8" s="158" t="s">
        <v>4</v>
      </c>
      <c r="M8" s="156">
        <v>3.1</v>
      </c>
      <c r="N8" s="156">
        <v>5.5</v>
      </c>
      <c r="O8" s="275">
        <v>11</v>
      </c>
      <c r="P8" s="163">
        <v>13</v>
      </c>
      <c r="Q8" s="163"/>
      <c r="R8" s="158" t="s">
        <v>4</v>
      </c>
      <c r="S8" s="153">
        <f t="shared" ref="S8:U9" si="3">B8/M8</f>
        <v>1</v>
      </c>
      <c r="T8" s="153">
        <f t="shared" si="3"/>
        <v>1</v>
      </c>
      <c r="U8" s="153">
        <f t="shared" si="3"/>
        <v>1</v>
      </c>
    </row>
    <row r="9" spans="1:25" ht="15" x14ac:dyDescent="0.35">
      <c r="A9" s="5" t="s">
        <v>5</v>
      </c>
      <c r="B9" s="271">
        <v>89</v>
      </c>
      <c r="C9" s="13">
        <v>71</v>
      </c>
      <c r="D9" s="157">
        <v>82</v>
      </c>
      <c r="E9" s="13"/>
      <c r="F9" s="13"/>
      <c r="G9" s="158" t="s">
        <v>5</v>
      </c>
      <c r="H9" s="243">
        <f t="shared" si="1"/>
        <v>11</v>
      </c>
      <c r="I9" s="243">
        <f t="shared" si="2"/>
        <v>13</v>
      </c>
      <c r="J9" s="243">
        <f t="shared" si="0"/>
        <v>3</v>
      </c>
      <c r="K9" s="15"/>
      <c r="L9" s="158" t="s">
        <v>5</v>
      </c>
      <c r="M9" s="156">
        <v>100</v>
      </c>
      <c r="N9" s="156">
        <v>84</v>
      </c>
      <c r="O9" s="275">
        <v>85</v>
      </c>
      <c r="P9" s="163">
        <v>84</v>
      </c>
      <c r="Q9" s="163"/>
      <c r="R9" s="158" t="s">
        <v>5</v>
      </c>
      <c r="S9" s="153">
        <f t="shared" si="3"/>
        <v>0.89</v>
      </c>
      <c r="T9" s="153">
        <f t="shared" si="3"/>
        <v>0.84523809523809523</v>
      </c>
      <c r="U9" s="153">
        <f t="shared" si="3"/>
        <v>0.96470588235294119</v>
      </c>
    </row>
    <row r="10" spans="1:25" ht="16.5" x14ac:dyDescent="0.35">
      <c r="A10" s="5" t="s">
        <v>6</v>
      </c>
      <c r="B10" s="271">
        <v>270000</v>
      </c>
      <c r="C10" s="13"/>
      <c r="D10" s="157">
        <v>370000</v>
      </c>
      <c r="E10" s="13"/>
      <c r="F10" s="13"/>
      <c r="G10" s="158" t="s">
        <v>6</v>
      </c>
      <c r="H10" s="243">
        <f t="shared" si="1"/>
        <v>60000</v>
      </c>
      <c r="I10" s="243">
        <f t="shared" si="2"/>
        <v>0</v>
      </c>
      <c r="J10" s="243">
        <f t="shared" si="0"/>
        <v>10000</v>
      </c>
      <c r="K10" s="15"/>
      <c r="L10" s="158" t="s">
        <v>6</v>
      </c>
      <c r="M10" s="156">
        <v>330000</v>
      </c>
      <c r="N10" s="160"/>
      <c r="O10" s="275">
        <v>380000</v>
      </c>
      <c r="P10" s="163">
        <v>460000</v>
      </c>
      <c r="Q10" s="163"/>
      <c r="R10" s="158" t="s">
        <v>6</v>
      </c>
      <c r="S10" s="153"/>
      <c r="T10" s="153"/>
      <c r="U10" s="153"/>
    </row>
    <row r="11" spans="1:25" ht="16.5" x14ac:dyDescent="0.35">
      <c r="A11" s="5" t="s">
        <v>7</v>
      </c>
      <c r="B11" s="271">
        <v>14</v>
      </c>
      <c r="C11" s="13"/>
      <c r="D11" s="273">
        <v>5.5</v>
      </c>
      <c r="E11" s="13"/>
      <c r="F11" s="13"/>
      <c r="G11" s="158" t="s">
        <v>7</v>
      </c>
      <c r="H11" s="243">
        <f t="shared" si="1"/>
        <v>1</v>
      </c>
      <c r="I11" s="243"/>
      <c r="J11" s="243">
        <f t="shared" si="0"/>
        <v>-2.5</v>
      </c>
      <c r="K11" s="15"/>
      <c r="L11" s="158" t="s">
        <v>7</v>
      </c>
      <c r="M11" s="156">
        <v>15</v>
      </c>
      <c r="N11" s="160"/>
      <c r="O11" s="468">
        <v>3</v>
      </c>
      <c r="P11" s="163">
        <v>16</v>
      </c>
      <c r="Q11" s="163"/>
      <c r="R11" s="158" t="s">
        <v>7</v>
      </c>
      <c r="S11" s="153"/>
      <c r="T11" s="153"/>
      <c r="U11" s="153"/>
    </row>
    <row r="12" spans="1:25" ht="15" x14ac:dyDescent="0.35">
      <c r="A12" s="5" t="s">
        <v>8</v>
      </c>
      <c r="B12" s="271">
        <v>100</v>
      </c>
      <c r="C12" s="13">
        <v>120</v>
      </c>
      <c r="D12" s="157">
        <v>110</v>
      </c>
      <c r="E12" s="13"/>
      <c r="F12" s="13"/>
      <c r="G12" s="158" t="s">
        <v>8</v>
      </c>
      <c r="H12" s="243">
        <f t="shared" si="1"/>
        <v>30</v>
      </c>
      <c r="I12" s="243"/>
      <c r="J12" s="243">
        <f t="shared" si="0"/>
        <v>0</v>
      </c>
      <c r="K12" s="15"/>
      <c r="L12" s="158" t="s">
        <v>8</v>
      </c>
      <c r="M12" s="156">
        <v>130</v>
      </c>
      <c r="N12" s="156">
        <v>120</v>
      </c>
      <c r="O12" s="275">
        <v>110</v>
      </c>
      <c r="P12" s="163">
        <v>120</v>
      </c>
      <c r="Q12" s="163"/>
      <c r="R12" s="158" t="s">
        <v>8</v>
      </c>
      <c r="S12" s="153">
        <f t="shared" ref="S12:U13" si="4">B12/M12</f>
        <v>0.76923076923076927</v>
      </c>
      <c r="T12" s="153">
        <f t="shared" si="4"/>
        <v>1</v>
      </c>
      <c r="U12" s="153">
        <f t="shared" si="4"/>
        <v>1</v>
      </c>
    </row>
    <row r="13" spans="1:25" ht="15" x14ac:dyDescent="0.35">
      <c r="A13" s="5" t="s">
        <v>9</v>
      </c>
      <c r="B13" s="271">
        <v>5100</v>
      </c>
      <c r="C13" s="13">
        <v>8100</v>
      </c>
      <c r="D13" s="157">
        <v>4600</v>
      </c>
      <c r="E13" s="13"/>
      <c r="F13" s="13"/>
      <c r="G13" s="158" t="s">
        <v>9</v>
      </c>
      <c r="H13" s="243">
        <f t="shared" si="1"/>
        <v>800</v>
      </c>
      <c r="I13" s="243">
        <f t="shared" si="2"/>
        <v>-900</v>
      </c>
      <c r="J13" s="243">
        <f t="shared" si="0"/>
        <v>0</v>
      </c>
      <c r="K13" s="15"/>
      <c r="L13" s="158" t="s">
        <v>9</v>
      </c>
      <c r="M13" s="156">
        <v>5900</v>
      </c>
      <c r="N13" s="156">
        <v>7200</v>
      </c>
      <c r="O13" s="275">
        <v>4600</v>
      </c>
      <c r="P13" s="163">
        <v>7800</v>
      </c>
      <c r="Q13" s="163"/>
      <c r="R13" s="158" t="s">
        <v>9</v>
      </c>
      <c r="S13" s="153">
        <f t="shared" si="4"/>
        <v>0.86440677966101698</v>
      </c>
      <c r="T13" s="153">
        <f t="shared" si="4"/>
        <v>1.125</v>
      </c>
      <c r="U13" s="153">
        <f t="shared" si="4"/>
        <v>1</v>
      </c>
    </row>
    <row r="14" spans="1:25" ht="16.5" x14ac:dyDescent="0.35">
      <c r="A14" s="5" t="s">
        <v>10</v>
      </c>
      <c r="B14" s="271">
        <v>83000</v>
      </c>
      <c r="C14" s="13"/>
      <c r="D14" s="157">
        <v>150000</v>
      </c>
      <c r="E14" s="13"/>
      <c r="F14" s="13"/>
      <c r="G14" s="158" t="s">
        <v>10</v>
      </c>
      <c r="H14" s="243">
        <f t="shared" si="1"/>
        <v>102000</v>
      </c>
      <c r="I14" s="243"/>
      <c r="J14" s="243">
        <f t="shared" si="0"/>
        <v>-30000</v>
      </c>
      <c r="K14" s="15"/>
      <c r="L14" s="158" t="s">
        <v>10</v>
      </c>
      <c r="M14" s="272">
        <v>185000</v>
      </c>
      <c r="N14" s="160"/>
      <c r="O14" s="275">
        <v>120000</v>
      </c>
      <c r="P14" s="163">
        <v>120000</v>
      </c>
      <c r="Q14" s="163"/>
      <c r="R14" s="158" t="s">
        <v>10</v>
      </c>
      <c r="S14" s="153"/>
      <c r="T14" s="153"/>
      <c r="U14" s="153"/>
    </row>
    <row r="15" spans="1:25" ht="15" x14ac:dyDescent="0.35">
      <c r="A15" s="5" t="s">
        <v>11</v>
      </c>
      <c r="B15" s="271">
        <v>9.4</v>
      </c>
      <c r="C15" s="13">
        <v>41</v>
      </c>
      <c r="D15" s="157">
        <v>42</v>
      </c>
      <c r="E15" s="13"/>
      <c r="F15" s="13"/>
      <c r="G15" s="158" t="s">
        <v>11</v>
      </c>
      <c r="H15" s="243">
        <f t="shared" si="1"/>
        <v>150.6</v>
      </c>
      <c r="I15" s="243">
        <f t="shared" si="2"/>
        <v>7</v>
      </c>
      <c r="J15" s="243">
        <f t="shared" si="0"/>
        <v>0</v>
      </c>
      <c r="K15" s="15"/>
      <c r="L15" s="158" t="s">
        <v>11</v>
      </c>
      <c r="M15" s="156">
        <v>160</v>
      </c>
      <c r="N15" s="156">
        <v>48</v>
      </c>
      <c r="O15" s="274">
        <v>42</v>
      </c>
      <c r="P15" s="163">
        <v>39</v>
      </c>
      <c r="Q15" s="163"/>
      <c r="R15" s="158" t="s">
        <v>11</v>
      </c>
      <c r="S15" s="153">
        <f>B15/M15</f>
        <v>5.8750000000000004E-2</v>
      </c>
      <c r="T15" s="153">
        <f>C15/N15</f>
        <v>0.85416666666666663</v>
      </c>
      <c r="U15" s="153">
        <f>D15/O15</f>
        <v>1</v>
      </c>
    </row>
    <row r="16" spans="1:25" ht="16.5" x14ac:dyDescent="0.35">
      <c r="A16" s="5" t="s">
        <v>12</v>
      </c>
      <c r="B16" s="271">
        <v>25000</v>
      </c>
      <c r="C16" s="13"/>
      <c r="D16" s="157">
        <v>27000</v>
      </c>
      <c r="E16" s="13"/>
      <c r="F16" s="13"/>
      <c r="G16" s="158" t="s">
        <v>12</v>
      </c>
      <c r="H16" s="243">
        <f t="shared" si="1"/>
        <v>5000</v>
      </c>
      <c r="I16" s="243"/>
      <c r="J16" s="243">
        <f t="shared" si="0"/>
        <v>0</v>
      </c>
      <c r="K16" s="15"/>
      <c r="L16" s="158" t="s">
        <v>12</v>
      </c>
      <c r="M16" s="156">
        <v>30000</v>
      </c>
      <c r="N16" s="160"/>
      <c r="O16" s="275">
        <v>27000</v>
      </c>
      <c r="P16" s="163">
        <v>31000</v>
      </c>
      <c r="Q16" s="163"/>
      <c r="R16" s="158" t="s">
        <v>12</v>
      </c>
      <c r="S16" s="153"/>
      <c r="T16" s="153"/>
      <c r="U16" s="153"/>
    </row>
    <row r="17" spans="1:21" ht="15" x14ac:dyDescent="0.35">
      <c r="A17" s="5" t="s">
        <v>13</v>
      </c>
      <c r="B17" s="271">
        <v>29000</v>
      </c>
      <c r="C17" s="13">
        <v>31000</v>
      </c>
      <c r="D17" s="157">
        <v>36000</v>
      </c>
      <c r="E17" s="13"/>
      <c r="F17" s="13"/>
      <c r="G17" s="158" t="s">
        <v>13</v>
      </c>
      <c r="H17" s="243">
        <f t="shared" si="1"/>
        <v>5000</v>
      </c>
      <c r="I17" s="243">
        <f t="shared" si="2"/>
        <v>2000</v>
      </c>
      <c r="J17" s="243">
        <f t="shared" si="0"/>
        <v>0</v>
      </c>
      <c r="K17" s="15"/>
      <c r="L17" s="158" t="s">
        <v>13</v>
      </c>
      <c r="M17" s="156">
        <v>34000</v>
      </c>
      <c r="N17" s="156">
        <v>33000</v>
      </c>
      <c r="O17" s="275">
        <v>36000</v>
      </c>
      <c r="P17" s="163">
        <v>42000</v>
      </c>
      <c r="Q17" s="163"/>
      <c r="R17" s="158" t="s">
        <v>13</v>
      </c>
      <c r="S17" s="153">
        <f>B17/M17</f>
        <v>0.8529411764705882</v>
      </c>
      <c r="T17" s="153">
        <f>C17/N17</f>
        <v>0.93939393939393945</v>
      </c>
      <c r="U17" s="153">
        <f>D17/O17</f>
        <v>1</v>
      </c>
    </row>
    <row r="18" spans="1:21" ht="15" x14ac:dyDescent="0.35">
      <c r="A18" s="5" t="s">
        <v>14</v>
      </c>
      <c r="B18" s="271"/>
      <c r="C18" s="13"/>
      <c r="D18" s="157" t="s">
        <v>194</v>
      </c>
      <c r="E18" s="13"/>
      <c r="F18" s="13"/>
      <c r="G18" s="158" t="s">
        <v>14</v>
      </c>
      <c r="H18" s="243"/>
      <c r="I18" s="243"/>
      <c r="J18" s="243"/>
      <c r="K18" s="15"/>
      <c r="L18" s="158" t="s">
        <v>14</v>
      </c>
      <c r="M18" s="156"/>
      <c r="N18" s="156"/>
      <c r="O18" s="275" t="s">
        <v>194</v>
      </c>
      <c r="P18" s="163"/>
      <c r="Q18" s="163"/>
      <c r="R18" s="158" t="s">
        <v>14</v>
      </c>
      <c r="S18" s="153"/>
      <c r="T18" s="153"/>
      <c r="U18" s="153"/>
    </row>
    <row r="19" spans="1:21" ht="15" x14ac:dyDescent="0.25">
      <c r="A19" s="5" t="s">
        <v>39</v>
      </c>
      <c r="B19" s="270" t="s">
        <v>68</v>
      </c>
      <c r="C19" s="13"/>
      <c r="D19" s="273">
        <v>4.2</v>
      </c>
      <c r="E19" s="13"/>
      <c r="F19" s="13"/>
      <c r="G19" s="158" t="s">
        <v>39</v>
      </c>
      <c r="H19" s="243"/>
      <c r="I19" s="243"/>
      <c r="J19" s="243">
        <f t="shared" si="0"/>
        <v>-3.43</v>
      </c>
      <c r="K19" s="15"/>
      <c r="L19" s="158" t="s">
        <v>39</v>
      </c>
      <c r="M19" s="160" t="s">
        <v>70</v>
      </c>
      <c r="N19" s="160"/>
      <c r="O19" s="366">
        <v>0.77</v>
      </c>
      <c r="P19" s="163">
        <v>4.8</v>
      </c>
      <c r="Q19" s="163"/>
      <c r="R19" s="158" t="s">
        <v>39</v>
      </c>
      <c r="S19" s="153"/>
      <c r="T19" s="153"/>
      <c r="U19" s="153"/>
    </row>
    <row r="20" spans="1:21" ht="15" x14ac:dyDescent="0.35">
      <c r="A20" s="5" t="s">
        <v>16</v>
      </c>
      <c r="B20" s="271">
        <v>56</v>
      </c>
      <c r="C20" s="13">
        <v>63</v>
      </c>
      <c r="D20" s="157">
        <v>69</v>
      </c>
      <c r="E20" s="13"/>
      <c r="F20" s="13"/>
      <c r="G20" s="158" t="s">
        <v>16</v>
      </c>
      <c r="H20" s="243">
        <f t="shared" si="1"/>
        <v>14</v>
      </c>
      <c r="I20" s="243">
        <f t="shared" si="2"/>
        <v>3</v>
      </c>
      <c r="J20" s="243">
        <f t="shared" si="0"/>
        <v>3</v>
      </c>
      <c r="K20" s="15"/>
      <c r="L20" s="158" t="s">
        <v>16</v>
      </c>
      <c r="M20" s="156">
        <v>70</v>
      </c>
      <c r="N20" s="156">
        <v>66</v>
      </c>
      <c r="O20" s="275">
        <v>72</v>
      </c>
      <c r="P20" s="163">
        <v>64</v>
      </c>
      <c r="Q20" s="163"/>
      <c r="R20" s="158" t="s">
        <v>16</v>
      </c>
      <c r="S20" s="153">
        <f>B20/M20</f>
        <v>0.8</v>
      </c>
      <c r="T20" s="153">
        <f>C20/N20</f>
        <v>0.95454545454545459</v>
      </c>
      <c r="U20" s="153">
        <f>D20/O20</f>
        <v>0.95833333333333337</v>
      </c>
    </row>
    <row r="21" spans="1:21" ht="16.5" x14ac:dyDescent="0.35">
      <c r="A21" s="5" t="s">
        <v>17</v>
      </c>
      <c r="B21" s="271">
        <v>1800</v>
      </c>
      <c r="C21" s="13"/>
      <c r="D21" s="157">
        <v>2400</v>
      </c>
      <c r="E21" s="13"/>
      <c r="F21" s="13"/>
      <c r="G21" s="158" t="s">
        <v>17</v>
      </c>
      <c r="H21" s="243">
        <f t="shared" si="1"/>
        <v>1000</v>
      </c>
      <c r="I21" s="243"/>
      <c r="J21" s="243">
        <f t="shared" si="0"/>
        <v>100</v>
      </c>
      <c r="K21" s="15"/>
      <c r="L21" s="158" t="s">
        <v>17</v>
      </c>
      <c r="M21" s="156">
        <v>2800</v>
      </c>
      <c r="N21" s="160"/>
      <c r="O21" s="275">
        <v>2500</v>
      </c>
      <c r="P21" s="163">
        <v>3000</v>
      </c>
      <c r="Q21" s="163"/>
      <c r="R21" s="158" t="s">
        <v>17</v>
      </c>
      <c r="S21" s="153"/>
      <c r="T21" s="153"/>
      <c r="U21" s="153"/>
    </row>
    <row r="22" spans="1:21" ht="15" x14ac:dyDescent="0.35">
      <c r="A22" s="5" t="s">
        <v>18</v>
      </c>
      <c r="B22" s="271">
        <v>0.49</v>
      </c>
      <c r="C22" s="13">
        <v>0.55000000000000004</v>
      </c>
      <c r="D22" s="273">
        <v>4.7</v>
      </c>
      <c r="E22" s="13"/>
      <c r="F22" s="13"/>
      <c r="G22" s="158" t="s">
        <v>18</v>
      </c>
      <c r="H22" s="243">
        <f t="shared" si="1"/>
        <v>1.51</v>
      </c>
      <c r="I22" s="243">
        <f t="shared" si="2"/>
        <v>0.64999999999999991</v>
      </c>
      <c r="J22" s="243">
        <f t="shared" si="0"/>
        <v>-1.4000000000000004</v>
      </c>
      <c r="K22" s="15"/>
      <c r="L22" s="158" t="s">
        <v>18</v>
      </c>
      <c r="M22" s="156">
        <v>2</v>
      </c>
      <c r="N22" s="156">
        <v>1.2</v>
      </c>
      <c r="O22" s="468">
        <v>3.3</v>
      </c>
      <c r="P22" s="163">
        <v>9.9</v>
      </c>
      <c r="Q22" s="163"/>
      <c r="R22" s="158" t="s">
        <v>18</v>
      </c>
      <c r="S22" s="153">
        <f>B22/M22</f>
        <v>0.245</v>
      </c>
      <c r="T22" s="153">
        <f>C22/N22</f>
        <v>0.45833333333333337</v>
      </c>
      <c r="U22" s="153">
        <f>D22/O22</f>
        <v>1.4242424242424243</v>
      </c>
    </row>
    <row r="23" spans="1:21" ht="16.5" x14ac:dyDescent="0.35">
      <c r="A23" s="5" t="s">
        <v>19</v>
      </c>
      <c r="B23" s="270" t="s">
        <v>95</v>
      </c>
      <c r="C23" s="13"/>
      <c r="D23" s="273">
        <v>0.1</v>
      </c>
      <c r="E23" s="13"/>
      <c r="F23" s="13"/>
      <c r="G23" s="158" t="s">
        <v>19</v>
      </c>
      <c r="H23" s="243"/>
      <c r="I23" s="243"/>
      <c r="J23" s="243" t="e">
        <f t="shared" si="0"/>
        <v>#VALUE!</v>
      </c>
      <c r="K23" s="15"/>
      <c r="L23" s="158" t="s">
        <v>19</v>
      </c>
      <c r="M23" s="156"/>
      <c r="N23" s="160"/>
      <c r="O23" s="275" t="s">
        <v>193</v>
      </c>
      <c r="P23" s="163">
        <v>0.6</v>
      </c>
      <c r="Q23" s="163"/>
      <c r="R23" s="158" t="s">
        <v>19</v>
      </c>
      <c r="S23" s="153"/>
      <c r="T23" s="153"/>
      <c r="U23" s="153"/>
    </row>
    <row r="24" spans="1:21" ht="16.5" x14ac:dyDescent="0.35">
      <c r="A24" s="5" t="s">
        <v>20</v>
      </c>
      <c r="B24" s="270">
        <v>92000</v>
      </c>
      <c r="C24" s="13"/>
      <c r="D24" s="157">
        <v>5300</v>
      </c>
      <c r="E24" s="13"/>
      <c r="F24" s="13"/>
      <c r="G24" s="158" t="s">
        <v>20</v>
      </c>
      <c r="H24" s="243"/>
      <c r="I24" s="243"/>
      <c r="J24" s="243">
        <f t="shared" si="0"/>
        <v>-100</v>
      </c>
      <c r="K24" s="15"/>
      <c r="L24" s="158" t="s">
        <v>20</v>
      </c>
      <c r="M24" s="161">
        <v>103000</v>
      </c>
      <c r="N24" s="160"/>
      <c r="O24" s="275">
        <v>5200</v>
      </c>
      <c r="P24" s="163">
        <v>4800</v>
      </c>
      <c r="Q24" s="163"/>
      <c r="R24" s="158" t="s">
        <v>20</v>
      </c>
      <c r="S24" s="153"/>
      <c r="T24" s="153"/>
      <c r="U24" s="153"/>
    </row>
    <row r="25" spans="1:21" ht="15" x14ac:dyDescent="0.25">
      <c r="A25" s="5" t="s">
        <v>21</v>
      </c>
      <c r="B25" s="270"/>
      <c r="C25" s="13"/>
      <c r="D25" s="367">
        <v>0.28999999999999998</v>
      </c>
      <c r="E25" s="13"/>
      <c r="F25" s="13"/>
      <c r="G25" s="158" t="s">
        <v>21</v>
      </c>
      <c r="H25" s="243"/>
      <c r="I25" s="243"/>
      <c r="J25" s="391">
        <v>0.28999999999999998</v>
      </c>
      <c r="K25" s="15"/>
      <c r="L25" s="158" t="s">
        <v>21</v>
      </c>
      <c r="M25" s="160"/>
      <c r="N25" s="160"/>
      <c r="O25" s="366">
        <v>0.28999999999999998</v>
      </c>
      <c r="P25" s="163">
        <v>60</v>
      </c>
      <c r="Q25" s="163"/>
      <c r="R25" s="158" t="s">
        <v>21</v>
      </c>
      <c r="S25" s="153"/>
      <c r="T25" s="153"/>
      <c r="U25" s="153"/>
    </row>
    <row r="26" spans="1:21" ht="15" x14ac:dyDescent="0.25">
      <c r="A26" s="5" t="s">
        <v>22</v>
      </c>
      <c r="B26" s="270">
        <v>15</v>
      </c>
      <c r="C26" s="13"/>
      <c r="D26" s="157">
        <v>38</v>
      </c>
      <c r="E26" s="13"/>
      <c r="F26" s="13"/>
      <c r="G26" s="158" t="s">
        <v>22</v>
      </c>
      <c r="H26" s="243"/>
      <c r="I26" s="243"/>
      <c r="J26" s="392">
        <f t="shared" si="0"/>
        <v>0</v>
      </c>
      <c r="K26" s="15"/>
      <c r="L26" s="158" t="s">
        <v>22</v>
      </c>
      <c r="M26" s="160">
        <v>64</v>
      </c>
      <c r="N26" s="160"/>
      <c r="O26" s="274">
        <v>38</v>
      </c>
      <c r="P26" s="163">
        <v>33</v>
      </c>
      <c r="Q26" s="163"/>
      <c r="R26" s="158" t="s">
        <v>22</v>
      </c>
      <c r="S26" s="153"/>
      <c r="T26" s="153"/>
      <c r="U26" s="153"/>
    </row>
    <row r="27" spans="1:21" ht="15" x14ac:dyDescent="0.35">
      <c r="A27" s="5" t="s">
        <v>23</v>
      </c>
      <c r="B27" s="271">
        <v>23000</v>
      </c>
      <c r="C27" s="13">
        <v>27000</v>
      </c>
      <c r="D27" s="157">
        <v>20000</v>
      </c>
      <c r="E27" s="13"/>
      <c r="F27" s="13"/>
      <c r="G27" s="158" t="s">
        <v>23</v>
      </c>
      <c r="H27" s="243">
        <f t="shared" si="1"/>
        <v>5000</v>
      </c>
      <c r="I27" s="243">
        <f t="shared" si="2"/>
        <v>1000</v>
      </c>
      <c r="J27" s="392">
        <f t="shared" si="0"/>
        <v>0</v>
      </c>
      <c r="K27" s="15"/>
      <c r="L27" s="158" t="s">
        <v>23</v>
      </c>
      <c r="M27" s="156">
        <v>28000</v>
      </c>
      <c r="N27" s="156">
        <v>28000</v>
      </c>
      <c r="O27" s="275">
        <v>20000</v>
      </c>
      <c r="P27" s="163">
        <v>26000</v>
      </c>
      <c r="Q27" s="163"/>
      <c r="R27" s="158" t="s">
        <v>23</v>
      </c>
      <c r="S27" s="153">
        <f>B27/M27</f>
        <v>0.8214285714285714</v>
      </c>
      <c r="T27" s="153">
        <f>C27/N27</f>
        <v>0.9642857142857143</v>
      </c>
      <c r="U27" s="153">
        <f>D27/O27</f>
        <v>1</v>
      </c>
    </row>
    <row r="29" spans="1:21" ht="15.75" x14ac:dyDescent="0.25">
      <c r="A29" s="79" t="s">
        <v>192</v>
      </c>
    </row>
    <row r="30" spans="1:21" x14ac:dyDescent="0.2">
      <c r="A30" s="145" t="s">
        <v>173</v>
      </c>
    </row>
    <row r="32" spans="1:21" ht="15.75" x14ac:dyDescent="0.25">
      <c r="C32" s="79" t="s">
        <v>190</v>
      </c>
      <c r="D32" s="79"/>
      <c r="E32" s="79"/>
      <c r="F32" s="79"/>
      <c r="G32" s="79"/>
      <c r="H32" s="79"/>
      <c r="L32" s="39" t="s">
        <v>191</v>
      </c>
    </row>
    <row r="34" spans="2:6" x14ac:dyDescent="0.2">
      <c r="C34" s="154">
        <v>42589</v>
      </c>
      <c r="D34" s="154">
        <v>42593</v>
      </c>
      <c r="E34" s="154">
        <v>42597</v>
      </c>
      <c r="F34" s="154"/>
    </row>
    <row r="35" spans="2:6" x14ac:dyDescent="0.2">
      <c r="B35" s="5" t="s">
        <v>0</v>
      </c>
      <c r="C35" s="153">
        <f>B4/M4</f>
        <v>0.75</v>
      </c>
      <c r="D35" s="153">
        <v>1.06</v>
      </c>
      <c r="E35" s="153">
        <v>1.0303030303030303</v>
      </c>
      <c r="F35" s="153"/>
    </row>
    <row r="36" spans="2:6" x14ac:dyDescent="0.2">
      <c r="B36" s="5" t="s">
        <v>2</v>
      </c>
      <c r="C36" s="153">
        <v>1.0348837209302325E-2</v>
      </c>
      <c r="D36" s="153">
        <v>0.43283582089552236</v>
      </c>
      <c r="E36" s="153">
        <v>0.73333333333333328</v>
      </c>
      <c r="F36" s="153"/>
    </row>
    <row r="37" spans="2:6" x14ac:dyDescent="0.2">
      <c r="B37" s="5" t="s">
        <v>4</v>
      </c>
      <c r="C37" s="153">
        <v>1</v>
      </c>
      <c r="D37" s="153">
        <v>1</v>
      </c>
      <c r="E37" s="153">
        <v>1</v>
      </c>
      <c r="F37" s="153"/>
    </row>
    <row r="38" spans="2:6" x14ac:dyDescent="0.2">
      <c r="B38" s="5" t="s">
        <v>5</v>
      </c>
      <c r="C38" s="153">
        <v>0.89</v>
      </c>
      <c r="D38" s="153">
        <v>0.84523809523809523</v>
      </c>
      <c r="E38" s="153">
        <v>0.96470588235294119</v>
      </c>
      <c r="F38" s="153"/>
    </row>
    <row r="39" spans="2:6" x14ac:dyDescent="0.2">
      <c r="B39" s="5" t="s">
        <v>8</v>
      </c>
      <c r="C39" s="153">
        <v>0.76923076923076927</v>
      </c>
      <c r="D39" s="153">
        <v>1</v>
      </c>
      <c r="E39" s="153">
        <v>1</v>
      </c>
      <c r="F39" s="153"/>
    </row>
    <row r="40" spans="2:6" x14ac:dyDescent="0.2">
      <c r="B40" s="5" t="s">
        <v>9</v>
      </c>
      <c r="C40" s="153">
        <v>0.85</v>
      </c>
      <c r="D40" s="153">
        <v>1</v>
      </c>
      <c r="E40" s="153">
        <v>1</v>
      </c>
      <c r="F40" s="153"/>
    </row>
    <row r="41" spans="2:6" x14ac:dyDescent="0.2">
      <c r="B41" s="5" t="s">
        <v>11</v>
      </c>
      <c r="C41" s="153">
        <v>5.8750000000000004E-2</v>
      </c>
      <c r="D41" s="153">
        <v>0.85416666666666663</v>
      </c>
      <c r="E41" s="153">
        <v>1</v>
      </c>
      <c r="F41" s="153"/>
    </row>
    <row r="42" spans="2:6" x14ac:dyDescent="0.2">
      <c r="B42" s="5" t="s">
        <v>13</v>
      </c>
      <c r="C42" s="153">
        <v>0.76470588235294112</v>
      </c>
      <c r="D42" s="153">
        <v>0.93939393939393945</v>
      </c>
      <c r="E42" s="153">
        <v>1</v>
      </c>
      <c r="F42" s="153"/>
    </row>
    <row r="43" spans="2:6" x14ac:dyDescent="0.2">
      <c r="B43" s="5" t="s">
        <v>16</v>
      </c>
      <c r="C43" s="153">
        <v>0.8</v>
      </c>
      <c r="D43" s="153">
        <v>0.95454545454545459</v>
      </c>
      <c r="E43" s="153">
        <v>0.95833333333333337</v>
      </c>
      <c r="F43" s="153"/>
    </row>
    <row r="44" spans="2:6" x14ac:dyDescent="0.2">
      <c r="B44" s="5" t="s">
        <v>18</v>
      </c>
      <c r="C44" s="153">
        <v>0.245</v>
      </c>
      <c r="D44" s="153">
        <v>0.45833333333333337</v>
      </c>
      <c r="E44" s="153">
        <v>1.4242424242424243</v>
      </c>
      <c r="F44" s="153"/>
    </row>
    <row r="45" spans="2:6" x14ac:dyDescent="0.2">
      <c r="B45" s="5" t="s">
        <v>23</v>
      </c>
      <c r="C45" s="153">
        <v>0.8214285714285714</v>
      </c>
      <c r="D45" s="153">
        <v>0.9642857142857143</v>
      </c>
      <c r="E45" s="153">
        <v>1</v>
      </c>
      <c r="F45" s="153"/>
    </row>
  </sheetData>
  <sheetProtection algorithmName="SHA-512" hashValue="JiAAsz/S2GCzZiHS1cS4dJuWG0F5lEqs4F2TET54vj8VpX9T17+s7h3Bh8i27LXYgr2EjSeDGVXoRuIcz+uQpA==" saltValue="J+M+XYz78b65Q9ZVh3A19w==" spinCount="100000" sheet="1" scenarios="1"/>
  <sortState ref="A31:L53">
    <sortCondition descending="1" ref="B31:B53"/>
  </sortState>
  <mergeCells count="3">
    <mergeCell ref="G2:J2"/>
    <mergeCell ref="B2:E2"/>
    <mergeCell ref="M2:P2"/>
  </mergeCells>
  <pageMargins left="0.7" right="0.7" top="0.75" bottom="0.75" header="0.3" footer="0.3"/>
  <pageSetup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J39"/>
  <sheetViews>
    <sheetView topLeftCell="A29" workbookViewId="0">
      <selection activeCell="K43" sqref="K43"/>
    </sheetView>
  </sheetViews>
  <sheetFormatPr defaultRowHeight="12.75" outlineLevelCol="1" x14ac:dyDescent="0.2"/>
  <cols>
    <col min="1" max="1" width="18.28515625" customWidth="1"/>
    <col min="2" max="2" width="10.28515625" customWidth="1" outlineLevel="1"/>
    <col min="3" max="3" width="12.7109375" customWidth="1" outlineLevel="1"/>
    <col min="4" max="5" width="10.28515625" customWidth="1" outlineLevel="1"/>
    <col min="6" max="6" width="12.140625" customWidth="1" outlineLevel="1"/>
    <col min="7" max="7" width="14.28515625" customWidth="1"/>
    <col min="8" max="8" width="11.42578125" customWidth="1"/>
    <col min="9" max="9" width="11.5703125" customWidth="1"/>
    <col min="10" max="10" width="10.140625" customWidth="1"/>
    <col min="13" max="13" width="19.140625" customWidth="1"/>
    <col min="14" max="14" width="17.140625" customWidth="1"/>
    <col min="15" max="15" width="12.28515625" customWidth="1"/>
    <col min="16" max="16" width="15" customWidth="1"/>
    <col min="17" max="17" width="11" customWidth="1"/>
    <col min="21" max="21" width="14" customWidth="1"/>
  </cols>
  <sheetData>
    <row r="1" spans="1:10" s="390" customFormat="1" ht="29.25" customHeight="1" thickBot="1" x14ac:dyDescent="0.5">
      <c r="A1" s="472" t="s">
        <v>308</v>
      </c>
      <c r="B1" s="389"/>
      <c r="C1" s="389"/>
      <c r="D1" s="389"/>
      <c r="E1" s="389"/>
      <c r="F1" s="389"/>
      <c r="G1" s="389"/>
      <c r="H1" s="389"/>
    </row>
    <row r="2" spans="1:10" x14ac:dyDescent="0.2">
      <c r="G2" s="277"/>
      <c r="H2" s="190"/>
    </row>
    <row r="3" spans="1:10" ht="15" x14ac:dyDescent="0.25">
      <c r="A3" s="23" t="s">
        <v>205</v>
      </c>
      <c r="G3" s="38"/>
      <c r="H3" s="38"/>
    </row>
    <row r="4" spans="1:10" ht="15" x14ac:dyDescent="0.25">
      <c r="E4" s="23" t="s">
        <v>206</v>
      </c>
    </row>
    <row r="5" spans="1:10" ht="15" x14ac:dyDescent="0.25">
      <c r="D5" s="23" t="s">
        <v>139</v>
      </c>
    </row>
    <row r="6" spans="1:10" ht="38.25" x14ac:dyDescent="0.2">
      <c r="D6" s="45" t="s">
        <v>72</v>
      </c>
      <c r="E6" s="46">
        <v>42589</v>
      </c>
      <c r="F6" s="46">
        <v>42593</v>
      </c>
      <c r="G6" s="46">
        <v>42597</v>
      </c>
      <c r="H6" s="46" t="s">
        <v>141</v>
      </c>
      <c r="I6" s="37" t="s">
        <v>196</v>
      </c>
      <c r="J6" s="605" t="s">
        <v>195</v>
      </c>
    </row>
    <row r="7" spans="1:10" x14ac:dyDescent="0.2">
      <c r="A7" s="624" t="s">
        <v>208</v>
      </c>
      <c r="B7" s="624"/>
      <c r="C7" s="624"/>
      <c r="D7" t="s">
        <v>0</v>
      </c>
      <c r="E7" s="500">
        <v>24000</v>
      </c>
      <c r="F7" s="500">
        <v>33000</v>
      </c>
      <c r="G7" s="500">
        <v>34000</v>
      </c>
      <c r="H7" s="500">
        <v>30333.333333333332</v>
      </c>
      <c r="I7" s="500">
        <v>33000</v>
      </c>
      <c r="J7" s="500">
        <v>89500</v>
      </c>
    </row>
    <row r="8" spans="1:10" x14ac:dyDescent="0.2">
      <c r="A8" s="624"/>
      <c r="B8" s="624"/>
      <c r="C8" s="624"/>
      <c r="D8" t="s">
        <v>10</v>
      </c>
      <c r="E8" s="500">
        <v>83000</v>
      </c>
      <c r="F8" s="500"/>
      <c r="G8" s="500">
        <v>150000</v>
      </c>
      <c r="H8" s="500">
        <v>116500</v>
      </c>
      <c r="I8" s="500">
        <v>150000</v>
      </c>
      <c r="J8" s="500">
        <v>34800</v>
      </c>
    </row>
    <row r="9" spans="1:10" ht="15" customHeight="1" x14ac:dyDescent="0.2">
      <c r="A9" s="624"/>
      <c r="B9" s="624"/>
      <c r="C9" s="624"/>
      <c r="D9" t="s">
        <v>13</v>
      </c>
      <c r="E9" s="500">
        <v>29000</v>
      </c>
      <c r="F9" s="500">
        <v>31000</v>
      </c>
      <c r="G9" s="500">
        <v>36000</v>
      </c>
      <c r="H9" s="500">
        <v>32000</v>
      </c>
      <c r="I9" s="500">
        <v>36000</v>
      </c>
      <c r="J9" s="500">
        <v>27100</v>
      </c>
    </row>
    <row r="10" spans="1:10" x14ac:dyDescent="0.2">
      <c r="A10" s="624"/>
      <c r="B10" s="624"/>
      <c r="C10" s="624"/>
      <c r="D10" t="s">
        <v>23</v>
      </c>
      <c r="E10" s="500">
        <v>23000</v>
      </c>
      <c r="F10" s="500">
        <v>27000</v>
      </c>
      <c r="G10" s="500">
        <v>20000</v>
      </c>
      <c r="H10" s="500">
        <v>23333.333333333332</v>
      </c>
      <c r="I10" s="500">
        <v>26000</v>
      </c>
      <c r="J10" s="500">
        <v>21300</v>
      </c>
    </row>
    <row r="11" spans="1:10" x14ac:dyDescent="0.2">
      <c r="A11" s="624"/>
      <c r="B11" s="624"/>
      <c r="C11" s="624"/>
      <c r="D11" t="s">
        <v>9</v>
      </c>
      <c r="E11" s="500">
        <v>5100</v>
      </c>
      <c r="F11" s="500">
        <v>8100</v>
      </c>
      <c r="G11" s="500">
        <v>4600</v>
      </c>
      <c r="H11" s="500">
        <v>5933.333333333333</v>
      </c>
      <c r="I11" s="500">
        <v>7000</v>
      </c>
      <c r="J11" s="500">
        <v>10300</v>
      </c>
    </row>
    <row r="12" spans="1:10" x14ac:dyDescent="0.2">
      <c r="A12" s="624"/>
      <c r="B12" s="624"/>
      <c r="C12" s="624"/>
      <c r="E12" s="45"/>
      <c r="F12" s="45"/>
      <c r="G12" s="45"/>
      <c r="H12" s="16"/>
      <c r="I12" s="45"/>
      <c r="J12" s="45"/>
    </row>
    <row r="13" spans="1:10" x14ac:dyDescent="0.2">
      <c r="A13" s="624"/>
      <c r="B13" s="624"/>
      <c r="C13" s="624"/>
    </row>
    <row r="14" spans="1:10" x14ac:dyDescent="0.2">
      <c r="A14" s="624"/>
      <c r="B14" s="624"/>
      <c r="C14" s="624"/>
      <c r="H14" s="16"/>
    </row>
    <row r="15" spans="1:10" ht="38.25" x14ac:dyDescent="0.2">
      <c r="A15" s="624"/>
      <c r="B15" s="624"/>
      <c r="C15" s="624"/>
      <c r="D15" s="45" t="s">
        <v>72</v>
      </c>
      <c r="E15" s="46">
        <v>42589</v>
      </c>
      <c r="F15" s="46">
        <v>42593</v>
      </c>
      <c r="G15" s="46">
        <v>42597</v>
      </c>
      <c r="H15" s="46" t="s">
        <v>141</v>
      </c>
      <c r="I15" s="37" t="s">
        <v>196</v>
      </c>
      <c r="J15" s="605" t="s">
        <v>154</v>
      </c>
    </row>
    <row r="16" spans="1:10" x14ac:dyDescent="0.2">
      <c r="A16" s="624"/>
      <c r="B16" s="624"/>
      <c r="C16" s="624"/>
      <c r="D16" t="s">
        <v>5</v>
      </c>
      <c r="E16" s="16">
        <v>89</v>
      </c>
      <c r="F16" s="16">
        <v>71</v>
      </c>
      <c r="G16" s="16">
        <v>82</v>
      </c>
      <c r="H16" s="16">
        <v>80.666666666666671</v>
      </c>
      <c r="I16" s="16">
        <v>82</v>
      </c>
      <c r="J16" s="16">
        <v>80</v>
      </c>
    </row>
    <row r="17" spans="1:10" x14ac:dyDescent="0.2">
      <c r="A17" s="624"/>
      <c r="B17" s="624"/>
      <c r="C17" s="624"/>
      <c r="D17" t="s">
        <v>16</v>
      </c>
      <c r="E17" s="16">
        <v>56</v>
      </c>
      <c r="F17" s="16">
        <v>63</v>
      </c>
      <c r="G17" s="16">
        <v>69</v>
      </c>
      <c r="H17" s="16">
        <v>62.666666666666664</v>
      </c>
      <c r="I17" s="16">
        <v>69</v>
      </c>
      <c r="J17" s="16">
        <v>75</v>
      </c>
    </row>
    <row r="18" spans="1:10" x14ac:dyDescent="0.2">
      <c r="A18" s="624"/>
      <c r="B18" s="624"/>
      <c r="C18" s="624"/>
      <c r="D18" t="s">
        <v>11</v>
      </c>
      <c r="E18" s="16">
        <v>9.4</v>
      </c>
      <c r="F18" s="16">
        <v>41</v>
      </c>
      <c r="G18" s="16">
        <v>42</v>
      </c>
      <c r="H18" s="16">
        <v>30.8</v>
      </c>
      <c r="I18" s="16">
        <v>42</v>
      </c>
      <c r="J18" s="16">
        <v>126</v>
      </c>
    </row>
    <row r="19" spans="1:10" x14ac:dyDescent="0.2">
      <c r="A19" s="624"/>
      <c r="B19" s="624"/>
      <c r="C19" s="624"/>
      <c r="D19" t="s">
        <v>2</v>
      </c>
      <c r="E19" s="16">
        <v>0.89</v>
      </c>
      <c r="F19" s="16">
        <v>29</v>
      </c>
      <c r="G19" s="16">
        <v>44</v>
      </c>
      <c r="H19" s="16">
        <v>24.63</v>
      </c>
      <c r="I19" s="16">
        <v>60</v>
      </c>
      <c r="J19" s="16">
        <v>2</v>
      </c>
    </row>
    <row r="20" spans="1:10" x14ac:dyDescent="0.2">
      <c r="E20" t="s">
        <v>140</v>
      </c>
    </row>
    <row r="24" spans="1:10" ht="15" x14ac:dyDescent="0.25">
      <c r="E24" s="23" t="s">
        <v>206</v>
      </c>
    </row>
    <row r="25" spans="1:10" ht="18.75" x14ac:dyDescent="0.3">
      <c r="C25" s="19"/>
      <c r="D25" s="23" t="s">
        <v>139</v>
      </c>
    </row>
    <row r="26" spans="1:10" ht="38.25" x14ac:dyDescent="0.2">
      <c r="D26" s="45" t="s">
        <v>72</v>
      </c>
      <c r="E26" s="46">
        <v>42589</v>
      </c>
      <c r="F26" s="46">
        <v>42593</v>
      </c>
      <c r="G26" s="46">
        <v>42597</v>
      </c>
      <c r="H26" s="46" t="s">
        <v>153</v>
      </c>
      <c r="I26" s="37" t="s">
        <v>196</v>
      </c>
      <c r="J26" s="605" t="s">
        <v>154</v>
      </c>
    </row>
    <row r="27" spans="1:10" x14ac:dyDescent="0.2">
      <c r="A27" s="624" t="s">
        <v>207</v>
      </c>
      <c r="B27" s="624"/>
      <c r="C27" s="624"/>
      <c r="D27" t="s">
        <v>0</v>
      </c>
      <c r="E27" s="16">
        <f>E7/1000</f>
        <v>24</v>
      </c>
      <c r="F27" s="16">
        <f t="shared" ref="F27:J27" si="0">F7/1000</f>
        <v>33</v>
      </c>
      <c r="G27" s="16">
        <f t="shared" si="0"/>
        <v>34</v>
      </c>
      <c r="H27" s="16">
        <f t="shared" si="0"/>
        <v>30.333333333333332</v>
      </c>
      <c r="I27" s="16">
        <f t="shared" si="0"/>
        <v>33</v>
      </c>
      <c r="J27" s="16">
        <f t="shared" si="0"/>
        <v>89.5</v>
      </c>
    </row>
    <row r="28" spans="1:10" x14ac:dyDescent="0.2">
      <c r="A28" s="624"/>
      <c r="B28" s="624"/>
      <c r="C28" s="624"/>
      <c r="D28" t="s">
        <v>10</v>
      </c>
      <c r="E28" s="16">
        <f t="shared" ref="E28:J28" si="1">E8/1000</f>
        <v>83</v>
      </c>
      <c r="F28" s="16"/>
      <c r="G28" s="16">
        <f t="shared" si="1"/>
        <v>150</v>
      </c>
      <c r="H28" s="16">
        <f t="shared" si="1"/>
        <v>116.5</v>
      </c>
      <c r="I28" s="16">
        <f t="shared" si="1"/>
        <v>150</v>
      </c>
      <c r="J28" s="16">
        <f t="shared" si="1"/>
        <v>34.799999999999997</v>
      </c>
    </row>
    <row r="29" spans="1:10" x14ac:dyDescent="0.2">
      <c r="A29" s="624"/>
      <c r="B29" s="624"/>
      <c r="C29" s="624"/>
      <c r="D29" t="s">
        <v>13</v>
      </c>
      <c r="E29" s="16">
        <f t="shared" ref="E29:J29" si="2">E9/1000</f>
        <v>29</v>
      </c>
      <c r="F29" s="16">
        <f t="shared" si="2"/>
        <v>31</v>
      </c>
      <c r="G29" s="16">
        <f t="shared" si="2"/>
        <v>36</v>
      </c>
      <c r="H29" s="16">
        <f t="shared" si="2"/>
        <v>32</v>
      </c>
      <c r="I29" s="16">
        <f t="shared" si="2"/>
        <v>36</v>
      </c>
      <c r="J29" s="16">
        <f t="shared" si="2"/>
        <v>27.1</v>
      </c>
    </row>
    <row r="30" spans="1:10" ht="15" customHeight="1" x14ac:dyDescent="0.2">
      <c r="A30" s="624"/>
      <c r="B30" s="624"/>
      <c r="C30" s="624"/>
      <c r="D30" t="s">
        <v>23</v>
      </c>
      <c r="E30" s="16">
        <f t="shared" ref="E30:J30" si="3">E10/1000</f>
        <v>23</v>
      </c>
      <c r="F30" s="16">
        <f t="shared" si="3"/>
        <v>27</v>
      </c>
      <c r="G30" s="16">
        <f t="shared" si="3"/>
        <v>20</v>
      </c>
      <c r="H30" s="16">
        <f t="shared" si="3"/>
        <v>23.333333333333332</v>
      </c>
      <c r="I30" s="16">
        <f t="shared" si="3"/>
        <v>26</v>
      </c>
      <c r="J30" s="16">
        <f t="shared" si="3"/>
        <v>21.3</v>
      </c>
    </row>
    <row r="31" spans="1:10" x14ac:dyDescent="0.2">
      <c r="A31" s="624"/>
      <c r="B31" s="624"/>
      <c r="C31" s="624"/>
      <c r="D31" t="s">
        <v>9</v>
      </c>
      <c r="E31" s="16">
        <f t="shared" ref="E31:J31" si="4">E11/1000</f>
        <v>5.0999999999999996</v>
      </c>
      <c r="F31" s="16">
        <f t="shared" si="4"/>
        <v>8.1</v>
      </c>
      <c r="G31" s="16">
        <f t="shared" si="4"/>
        <v>4.5999999999999996</v>
      </c>
      <c r="H31" s="16">
        <f t="shared" si="4"/>
        <v>5.9333333333333327</v>
      </c>
      <c r="I31" s="16">
        <f t="shared" si="4"/>
        <v>7</v>
      </c>
      <c r="J31" s="16">
        <f t="shared" si="4"/>
        <v>10.3</v>
      </c>
    </row>
    <row r="32" spans="1:10" x14ac:dyDescent="0.2">
      <c r="A32" s="624"/>
      <c r="B32" s="624"/>
      <c r="C32" s="624"/>
    </row>
    <row r="33" spans="1:10" x14ac:dyDescent="0.2">
      <c r="A33" s="624"/>
      <c r="B33" s="624"/>
      <c r="C33" s="624"/>
    </row>
    <row r="34" spans="1:10" x14ac:dyDescent="0.2">
      <c r="A34" s="624"/>
      <c r="B34" s="624"/>
      <c r="C34" s="624"/>
    </row>
    <row r="35" spans="1:10" ht="38.25" x14ac:dyDescent="0.2">
      <c r="A35" s="624"/>
      <c r="B35" s="624"/>
      <c r="C35" s="624"/>
      <c r="D35" s="45" t="s">
        <v>72</v>
      </c>
      <c r="E35" s="46">
        <v>42589</v>
      </c>
      <c r="F35" s="46">
        <v>42593</v>
      </c>
      <c r="G35" s="46">
        <v>42597</v>
      </c>
      <c r="H35" s="46" t="s">
        <v>88</v>
      </c>
      <c r="I35" s="45" t="s">
        <v>138</v>
      </c>
      <c r="J35" s="605" t="s">
        <v>154</v>
      </c>
    </row>
    <row r="36" spans="1:10" x14ac:dyDescent="0.2">
      <c r="A36" s="624"/>
      <c r="B36" s="624"/>
      <c r="C36" s="624"/>
      <c r="D36" t="s">
        <v>5</v>
      </c>
      <c r="E36" s="45">
        <f>E16/1000</f>
        <v>8.8999999999999996E-2</v>
      </c>
      <c r="F36" s="45">
        <f t="shared" ref="F36:J36" si="5">F16/1000</f>
        <v>7.0999999999999994E-2</v>
      </c>
      <c r="G36" s="45">
        <f t="shared" si="5"/>
        <v>8.2000000000000003E-2</v>
      </c>
      <c r="H36" s="349">
        <f t="shared" si="5"/>
        <v>8.0666666666666678E-2</v>
      </c>
      <c r="I36" s="45">
        <f t="shared" si="5"/>
        <v>8.2000000000000003E-2</v>
      </c>
      <c r="J36" s="45">
        <f t="shared" si="5"/>
        <v>0.08</v>
      </c>
    </row>
    <row r="37" spans="1:10" x14ac:dyDescent="0.2">
      <c r="A37" s="624"/>
      <c r="B37" s="624"/>
      <c r="C37" s="624"/>
      <c r="D37" t="s">
        <v>16</v>
      </c>
      <c r="E37" s="45">
        <f t="shared" ref="E37:J37" si="6">E17/1000</f>
        <v>5.6000000000000001E-2</v>
      </c>
      <c r="F37" s="45">
        <f t="shared" si="6"/>
        <v>6.3E-2</v>
      </c>
      <c r="G37" s="45">
        <f t="shared" si="6"/>
        <v>6.9000000000000006E-2</v>
      </c>
      <c r="H37" s="349">
        <f t="shared" si="6"/>
        <v>6.2666666666666662E-2</v>
      </c>
      <c r="I37" s="45">
        <f t="shared" si="6"/>
        <v>6.9000000000000006E-2</v>
      </c>
      <c r="J37" s="45">
        <f t="shared" si="6"/>
        <v>7.4999999999999997E-2</v>
      </c>
    </row>
    <row r="38" spans="1:10" x14ac:dyDescent="0.2">
      <c r="A38" s="624"/>
      <c r="B38" s="624"/>
      <c r="C38" s="624"/>
      <c r="D38" t="s">
        <v>11</v>
      </c>
      <c r="E38" s="45">
        <f t="shared" ref="E38:J38" si="7">E18/1000</f>
        <v>9.4000000000000004E-3</v>
      </c>
      <c r="F38" s="45">
        <f t="shared" si="7"/>
        <v>4.1000000000000002E-2</v>
      </c>
      <c r="G38" s="45">
        <f t="shared" si="7"/>
        <v>4.2000000000000003E-2</v>
      </c>
      <c r="H38" s="349">
        <f t="shared" si="7"/>
        <v>3.0800000000000001E-2</v>
      </c>
      <c r="I38" s="45">
        <f t="shared" si="7"/>
        <v>4.2000000000000003E-2</v>
      </c>
      <c r="J38" s="45">
        <f t="shared" si="7"/>
        <v>0.126</v>
      </c>
    </row>
    <row r="39" spans="1:10" x14ac:dyDescent="0.2">
      <c r="A39" s="624"/>
      <c r="B39" s="624"/>
      <c r="C39" s="624"/>
      <c r="D39" t="s">
        <v>2</v>
      </c>
      <c r="E39" s="45">
        <f t="shared" ref="E39:J39" si="8">E19/1000</f>
        <v>8.9000000000000006E-4</v>
      </c>
      <c r="F39" s="45">
        <f t="shared" si="8"/>
        <v>2.9000000000000001E-2</v>
      </c>
      <c r="G39" s="45">
        <f t="shared" si="8"/>
        <v>4.3999999999999997E-2</v>
      </c>
      <c r="H39" s="349">
        <f t="shared" si="8"/>
        <v>2.4629999999999999E-2</v>
      </c>
      <c r="I39" s="45">
        <f t="shared" si="8"/>
        <v>0.06</v>
      </c>
      <c r="J39" s="45">
        <f t="shared" si="8"/>
        <v>2E-3</v>
      </c>
    </row>
  </sheetData>
  <sheetProtection algorithmName="SHA-512" hashValue="/FMtpTXBR54JUZqXY1ziSsoHxoZ2fa3o1HjFyw6AUjRONxnKQBQ1Pe0RPrs+D/V+qpVbOHmAQG/84ShUnHzb0w==" saltValue="96zZ9d+mJ4fvvZkUf9rITQ==" spinCount="100000" sheet="1" scenarios="1"/>
  <sortState ref="D72:J77">
    <sortCondition descending="1" ref="E72:E77"/>
  </sortState>
  <mergeCells count="2">
    <mergeCell ref="A27:C39"/>
    <mergeCell ref="A7:C19"/>
  </mergeCells>
  <pageMargins left="0.7" right="0.7" top="0.75" bottom="0.75" header="0.3" footer="0.3"/>
  <pageSetup scale="29" orientation="landscape" r:id="rId1"/>
  <headerFooter>
    <oddFooter>&amp;L&amp;Z&amp;F&amp;R&amp;D  &amp;T</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1"/>
  <sheetViews>
    <sheetView workbookViewId="0">
      <selection activeCell="J9" sqref="J9"/>
    </sheetView>
  </sheetViews>
  <sheetFormatPr defaultRowHeight="12.75" x14ac:dyDescent="0.2"/>
  <cols>
    <col min="1" max="1" width="19.5703125" customWidth="1"/>
    <col min="2" max="2" width="11.42578125" customWidth="1"/>
    <col min="3" max="3" width="13" customWidth="1"/>
    <col min="4" max="4" width="16.85546875" customWidth="1"/>
    <col min="5" max="5" width="12" customWidth="1"/>
    <col min="6" max="6" width="20.5703125" customWidth="1"/>
    <col min="7" max="7" width="14.28515625" customWidth="1"/>
    <col min="8" max="8" width="15.42578125" customWidth="1"/>
    <col min="9" max="9" width="16.28515625" customWidth="1"/>
    <col min="10" max="11" width="15" customWidth="1"/>
    <col min="13" max="13" width="10.140625" customWidth="1"/>
    <col min="15" max="15" width="14.42578125" customWidth="1"/>
    <col min="17" max="17" width="10.7109375" customWidth="1"/>
  </cols>
  <sheetData>
    <row r="1" spans="1:12" ht="18.75" x14ac:dyDescent="0.3">
      <c r="A1" s="19" t="s">
        <v>217</v>
      </c>
    </row>
    <row r="2" spans="1:12" ht="18.75" x14ac:dyDescent="0.3">
      <c r="B2" s="23" t="s">
        <v>213</v>
      </c>
      <c r="H2" s="165">
        <v>2993719</v>
      </c>
      <c r="I2" s="19" t="s">
        <v>60</v>
      </c>
    </row>
    <row r="3" spans="1:12" ht="24.75" customHeight="1" x14ac:dyDescent="0.3">
      <c r="H3" s="166">
        <f>H2*3.78541</f>
        <v>11332453.83979</v>
      </c>
      <c r="I3" s="19" t="s">
        <v>37</v>
      </c>
    </row>
    <row r="4" spans="1:12" ht="17.25" customHeight="1" x14ac:dyDescent="0.3">
      <c r="H4" s="166"/>
      <c r="I4" s="19"/>
    </row>
    <row r="5" spans="1:12" ht="30" customHeight="1" x14ac:dyDescent="0.35">
      <c r="A5" s="507"/>
      <c r="B5" s="628" t="s">
        <v>222</v>
      </c>
      <c r="C5" s="629"/>
      <c r="D5" s="630"/>
      <c r="G5" s="625" t="s">
        <v>223</v>
      </c>
      <c r="H5" s="626"/>
      <c r="I5" s="627"/>
    </row>
    <row r="6" spans="1:12" ht="84.75" customHeight="1" thickBot="1" x14ac:dyDescent="0.45">
      <c r="A6" s="65" t="s">
        <v>72</v>
      </c>
      <c r="B6" s="66">
        <v>42231</v>
      </c>
      <c r="C6" s="66">
        <v>42268</v>
      </c>
      <c r="D6" s="528" t="s">
        <v>90</v>
      </c>
      <c r="F6" s="65" t="s">
        <v>72</v>
      </c>
      <c r="G6" s="517">
        <v>42231</v>
      </c>
      <c r="H6" s="517">
        <v>42268</v>
      </c>
      <c r="I6" s="518" t="s">
        <v>212</v>
      </c>
      <c r="K6" s="37"/>
    </row>
    <row r="7" spans="1:12" ht="17.25" x14ac:dyDescent="0.35">
      <c r="A7" s="61" t="s">
        <v>0</v>
      </c>
      <c r="B7" s="63">
        <v>33</v>
      </c>
      <c r="C7" s="64">
        <v>32</v>
      </c>
      <c r="D7" s="501">
        <v>33</v>
      </c>
      <c r="F7" s="61" t="s">
        <v>0</v>
      </c>
      <c r="G7" s="100">
        <f t="shared" ref="G7:G20" si="0">(B7*$H$3)/1000000</f>
        <v>373.97097671307</v>
      </c>
      <c r="H7" s="100">
        <f t="shared" ref="H7:H20" si="1">(C7*$H$3)/1000000</f>
        <v>362.63852287328001</v>
      </c>
      <c r="I7" s="511">
        <f t="shared" ref="I7:I30" si="2">(D7*$H$3)/1000000</f>
        <v>373.97097671307</v>
      </c>
      <c r="L7" s="144"/>
    </row>
    <row r="8" spans="1:12" ht="17.25" x14ac:dyDescent="0.35">
      <c r="A8" s="47" t="s">
        <v>1</v>
      </c>
      <c r="B8" s="73">
        <v>3.7000000000000002E-3</v>
      </c>
      <c r="C8" s="53">
        <v>6.3E-3</v>
      </c>
      <c r="D8" s="504">
        <v>3.7000000000000002E-3</v>
      </c>
      <c r="F8" s="47" t="s">
        <v>1</v>
      </c>
      <c r="G8" s="100">
        <f t="shared" si="0"/>
        <v>4.1930079207223005E-2</v>
      </c>
      <c r="H8" s="100">
        <f t="shared" si="1"/>
        <v>7.1394459190676995E-2</v>
      </c>
      <c r="I8" s="511">
        <f t="shared" si="2"/>
        <v>4.1930079207223005E-2</v>
      </c>
    </row>
    <row r="9" spans="1:12" ht="17.25" x14ac:dyDescent="0.35">
      <c r="A9" s="47" t="s">
        <v>2</v>
      </c>
      <c r="B9" s="50">
        <v>4.3999999999999997E-2</v>
      </c>
      <c r="C9" s="51">
        <v>4.3999999999999997E-2</v>
      </c>
      <c r="D9" s="489">
        <v>0.06</v>
      </c>
      <c r="F9" s="47" t="s">
        <v>2</v>
      </c>
      <c r="G9" s="100">
        <f t="shared" si="0"/>
        <v>0.49862796895075995</v>
      </c>
      <c r="H9" s="100">
        <f t="shared" si="1"/>
        <v>0.49862796895075995</v>
      </c>
      <c r="I9" s="511">
        <f t="shared" si="2"/>
        <v>0.6799472303873999</v>
      </c>
    </row>
    <row r="10" spans="1:12" ht="17.25" x14ac:dyDescent="0.35">
      <c r="A10" s="47" t="s">
        <v>3</v>
      </c>
      <c r="B10" s="73">
        <v>8.6E-3</v>
      </c>
      <c r="C10" s="148">
        <v>1.6999999999999999E-3</v>
      </c>
      <c r="D10" s="504">
        <v>8.6E-3</v>
      </c>
      <c r="F10" s="47" t="s">
        <v>3</v>
      </c>
      <c r="G10" s="100">
        <f t="shared" si="0"/>
        <v>9.7459103022194002E-2</v>
      </c>
      <c r="H10" s="100">
        <f t="shared" si="1"/>
        <v>1.9265171527642996E-2</v>
      </c>
      <c r="I10" s="511">
        <f t="shared" si="2"/>
        <v>9.7459103022194002E-2</v>
      </c>
    </row>
    <row r="11" spans="1:12" ht="17.25" x14ac:dyDescent="0.35">
      <c r="A11" s="47" t="s">
        <v>4</v>
      </c>
      <c r="B11" s="48">
        <v>1.0999999999999999E-2</v>
      </c>
      <c r="C11" s="52">
        <v>1.2999999999999999E-2</v>
      </c>
      <c r="D11" s="489">
        <v>1.0999999999999999E-2</v>
      </c>
      <c r="F11" s="47" t="s">
        <v>4</v>
      </c>
      <c r="G11" s="100">
        <f t="shared" si="0"/>
        <v>0.12465699223768999</v>
      </c>
      <c r="H11" s="100">
        <f t="shared" si="1"/>
        <v>0.14732189991726999</v>
      </c>
      <c r="I11" s="511">
        <f t="shared" si="2"/>
        <v>0.12465699223768999</v>
      </c>
    </row>
    <row r="12" spans="1:12" ht="17.25" x14ac:dyDescent="0.35">
      <c r="A12" s="47" t="s">
        <v>5</v>
      </c>
      <c r="B12" s="90">
        <v>8.2000000000000003E-2</v>
      </c>
      <c r="C12" s="149">
        <v>8.4000000000000005E-2</v>
      </c>
      <c r="D12" s="489">
        <v>8.2000000000000003E-2</v>
      </c>
      <c r="F12" s="47" t="s">
        <v>5</v>
      </c>
      <c r="G12" s="100">
        <f t="shared" si="0"/>
        <v>0.92926121486278002</v>
      </c>
      <c r="H12" s="100">
        <f t="shared" si="1"/>
        <v>0.95192612254235998</v>
      </c>
      <c r="I12" s="511">
        <f t="shared" si="2"/>
        <v>0.92926121486278002</v>
      </c>
    </row>
    <row r="13" spans="1:12" ht="17.25" x14ac:dyDescent="0.35">
      <c r="A13" s="47" t="s">
        <v>6</v>
      </c>
      <c r="B13" s="48">
        <v>370</v>
      </c>
      <c r="C13" s="52">
        <v>460</v>
      </c>
      <c r="D13" s="490">
        <v>370</v>
      </c>
      <c r="F13" s="47" t="s">
        <v>6</v>
      </c>
      <c r="G13" s="151">
        <f t="shared" si="0"/>
        <v>4193.0079207222998</v>
      </c>
      <c r="H13" s="151">
        <f t="shared" si="1"/>
        <v>5212.9287663034002</v>
      </c>
      <c r="I13" s="512">
        <f t="shared" si="2"/>
        <v>4193.0079207222998</v>
      </c>
    </row>
    <row r="14" spans="1:12" ht="17.25" x14ac:dyDescent="0.35">
      <c r="A14" s="47" t="s">
        <v>7</v>
      </c>
      <c r="B14" s="73">
        <v>5.4999999999999997E-3</v>
      </c>
      <c r="C14" s="68">
        <v>1.6E-2</v>
      </c>
      <c r="D14" s="504">
        <v>1.44E-2</v>
      </c>
      <c r="F14" s="47" t="s">
        <v>7</v>
      </c>
      <c r="G14" s="100">
        <f t="shared" si="0"/>
        <v>6.2328496118844993E-2</v>
      </c>
      <c r="H14" s="100">
        <f t="shared" si="1"/>
        <v>0.18131926143663998</v>
      </c>
      <c r="I14" s="511">
        <f t="shared" si="2"/>
        <v>0.16318733529297599</v>
      </c>
    </row>
    <row r="15" spans="1:12" ht="17.25" x14ac:dyDescent="0.35">
      <c r="A15" s="47" t="s">
        <v>8</v>
      </c>
      <c r="B15" s="48">
        <v>0.11</v>
      </c>
      <c r="C15" s="76">
        <v>0.12</v>
      </c>
      <c r="D15" s="489">
        <v>0.11</v>
      </c>
      <c r="F15" s="47" t="s">
        <v>8</v>
      </c>
      <c r="G15" s="100">
        <f t="shared" si="0"/>
        <v>1.2465699223769</v>
      </c>
      <c r="H15" s="100">
        <f t="shared" si="1"/>
        <v>1.3598944607747998</v>
      </c>
      <c r="I15" s="511">
        <f t="shared" si="2"/>
        <v>1.2465699223769</v>
      </c>
    </row>
    <row r="16" spans="1:12" ht="17.25" x14ac:dyDescent="0.35">
      <c r="A16" s="47" t="s">
        <v>9</v>
      </c>
      <c r="B16" s="50">
        <v>4.5999999999999996</v>
      </c>
      <c r="C16" s="51">
        <v>7.8</v>
      </c>
      <c r="D16" s="490">
        <v>7</v>
      </c>
      <c r="F16" s="47" t="s">
        <v>9</v>
      </c>
      <c r="G16" s="100">
        <f t="shared" si="0"/>
        <v>52.129287663033992</v>
      </c>
      <c r="H16" s="100">
        <f t="shared" si="1"/>
        <v>88.393139950361999</v>
      </c>
      <c r="I16" s="511">
        <f t="shared" si="2"/>
        <v>79.327176878529997</v>
      </c>
    </row>
    <row r="17" spans="1:11" ht="17.25" x14ac:dyDescent="0.35">
      <c r="A17" s="47" t="s">
        <v>10</v>
      </c>
      <c r="B17" s="48">
        <v>150</v>
      </c>
      <c r="C17" s="52">
        <v>120</v>
      </c>
      <c r="D17" s="502">
        <v>150</v>
      </c>
      <c r="F17" s="47" t="s">
        <v>10</v>
      </c>
      <c r="G17" s="100">
        <f t="shared" si="0"/>
        <v>1699.8680759684999</v>
      </c>
      <c r="H17" s="100">
        <f t="shared" si="1"/>
        <v>1359.8944607748001</v>
      </c>
      <c r="I17" s="511">
        <f t="shared" si="2"/>
        <v>1699.8680759684999</v>
      </c>
    </row>
    <row r="18" spans="1:11" ht="17.25" x14ac:dyDescent="0.35">
      <c r="A18" s="47" t="s">
        <v>11</v>
      </c>
      <c r="B18" s="50">
        <v>4.2000000000000003E-2</v>
      </c>
      <c r="C18" s="51">
        <v>3.9E-2</v>
      </c>
      <c r="D18" s="489">
        <v>4.2000000000000003E-2</v>
      </c>
      <c r="F18" s="47" t="s">
        <v>11</v>
      </c>
      <c r="G18" s="100">
        <f t="shared" si="0"/>
        <v>0.47596306127117999</v>
      </c>
      <c r="H18" s="100">
        <f t="shared" si="1"/>
        <v>0.44196569975180999</v>
      </c>
      <c r="I18" s="511">
        <f t="shared" si="2"/>
        <v>0.47596306127117999</v>
      </c>
    </row>
    <row r="19" spans="1:11" ht="17.25" x14ac:dyDescent="0.35">
      <c r="A19" s="47" t="s">
        <v>12</v>
      </c>
      <c r="B19" s="48">
        <v>27</v>
      </c>
      <c r="C19" s="52">
        <v>31</v>
      </c>
      <c r="D19" s="502">
        <v>27</v>
      </c>
      <c r="F19" s="47" t="s">
        <v>12</v>
      </c>
      <c r="G19" s="100">
        <f t="shared" si="0"/>
        <v>305.97625367433</v>
      </c>
      <c r="H19" s="100">
        <f t="shared" si="1"/>
        <v>351.30606903349002</v>
      </c>
      <c r="I19" s="511">
        <f t="shared" si="2"/>
        <v>305.97625367433</v>
      </c>
    </row>
    <row r="20" spans="1:11" ht="17.25" x14ac:dyDescent="0.35">
      <c r="A20" s="47" t="s">
        <v>13</v>
      </c>
      <c r="B20" s="48">
        <v>36</v>
      </c>
      <c r="C20" s="52">
        <v>42</v>
      </c>
      <c r="D20" s="502">
        <v>36</v>
      </c>
      <c r="F20" s="47" t="s">
        <v>13</v>
      </c>
      <c r="G20" s="100">
        <f t="shared" si="0"/>
        <v>407.96833823243998</v>
      </c>
      <c r="H20" s="100">
        <f t="shared" si="1"/>
        <v>475.96306127117998</v>
      </c>
      <c r="I20" s="511">
        <f t="shared" si="2"/>
        <v>407.96833823243998</v>
      </c>
    </row>
    <row r="21" spans="1:11" ht="17.25" x14ac:dyDescent="0.35">
      <c r="A21" s="47" t="s">
        <v>14</v>
      </c>
      <c r="B21" s="48" t="s">
        <v>74</v>
      </c>
      <c r="C21" s="48" t="s">
        <v>74</v>
      </c>
      <c r="D21" s="491">
        <v>4.0000000000000003E-5</v>
      </c>
      <c r="F21" s="47" t="s">
        <v>14</v>
      </c>
      <c r="G21" s="100"/>
      <c r="H21" s="100"/>
      <c r="I21" s="513">
        <f t="shared" si="2"/>
        <v>4.5329815359159998E-4</v>
      </c>
    </row>
    <row r="22" spans="1:11" ht="17.25" x14ac:dyDescent="0.35">
      <c r="A22" s="47" t="s">
        <v>39</v>
      </c>
      <c r="B22" s="73">
        <v>4.2000000000000006E-3</v>
      </c>
      <c r="C22" s="53">
        <v>4.7999999999999996E-3</v>
      </c>
      <c r="D22" s="504">
        <v>4.2000000000000006E-3</v>
      </c>
      <c r="F22" s="47" t="s">
        <v>39</v>
      </c>
      <c r="G22" s="100">
        <f t="shared" ref="G22:G30" si="3">(B22*$H$3)/1000000</f>
        <v>4.7596306127118002E-2</v>
      </c>
      <c r="H22" s="100">
        <f t="shared" ref="H22:H30" si="4">(C22*$H$3)/1000000</f>
        <v>5.4395778430991998E-2</v>
      </c>
      <c r="I22" s="511">
        <f t="shared" si="2"/>
        <v>4.7596306127118002E-2</v>
      </c>
    </row>
    <row r="23" spans="1:11" ht="17.25" x14ac:dyDescent="0.35">
      <c r="A23" s="47" t="s">
        <v>16</v>
      </c>
      <c r="B23" s="69">
        <v>6.9000000000000006E-2</v>
      </c>
      <c r="C23" s="54">
        <v>6.4000000000000001E-2</v>
      </c>
      <c r="D23" s="504">
        <v>6.9000000000000006E-2</v>
      </c>
      <c r="F23" s="47" t="s">
        <v>16</v>
      </c>
      <c r="G23" s="100">
        <f t="shared" si="3"/>
        <v>0.78193931494551006</v>
      </c>
      <c r="H23" s="100">
        <f t="shared" si="4"/>
        <v>0.72527704574655993</v>
      </c>
      <c r="I23" s="511">
        <f t="shared" si="2"/>
        <v>0.78193931494551006</v>
      </c>
    </row>
    <row r="24" spans="1:11" ht="17.25" x14ac:dyDescent="0.35">
      <c r="A24" s="47" t="s">
        <v>17</v>
      </c>
      <c r="B24" s="48">
        <v>2.4</v>
      </c>
      <c r="C24" s="78">
        <v>3</v>
      </c>
      <c r="D24" s="503">
        <v>2.4</v>
      </c>
      <c r="F24" s="47" t="s">
        <v>17</v>
      </c>
      <c r="G24" s="100">
        <f t="shared" si="3"/>
        <v>27.197889215496001</v>
      </c>
      <c r="H24" s="100">
        <f t="shared" si="4"/>
        <v>33.997361519369996</v>
      </c>
      <c r="I24" s="511">
        <f t="shared" si="2"/>
        <v>27.197889215496001</v>
      </c>
    </row>
    <row r="25" spans="1:11" ht="17.25" x14ac:dyDescent="0.35">
      <c r="A25" s="47" t="s">
        <v>18</v>
      </c>
      <c r="B25" s="73">
        <v>4.7000000000000002E-3</v>
      </c>
      <c r="C25" s="53">
        <v>9.9000000000000008E-3</v>
      </c>
      <c r="D25" s="504">
        <v>4.7000000000000002E-3</v>
      </c>
      <c r="F25" s="47" t="s">
        <v>18</v>
      </c>
      <c r="G25" s="100">
        <f t="shared" si="3"/>
        <v>5.3262533047012998E-2</v>
      </c>
      <c r="H25" s="100">
        <f t="shared" si="4"/>
        <v>0.112191293013921</v>
      </c>
      <c r="I25" s="511">
        <f t="shared" si="2"/>
        <v>5.3262533047012998E-2</v>
      </c>
    </row>
    <row r="26" spans="1:11" ht="17.25" x14ac:dyDescent="0.35">
      <c r="A26" s="47" t="s">
        <v>19</v>
      </c>
      <c r="B26" s="73">
        <v>1E-4</v>
      </c>
      <c r="C26" s="74">
        <v>5.9999999999999995E-4</v>
      </c>
      <c r="D26" s="504">
        <v>1E-4</v>
      </c>
      <c r="F26" s="47" t="s">
        <v>19</v>
      </c>
      <c r="G26" s="100">
        <f t="shared" si="3"/>
        <v>1.133245383979E-3</v>
      </c>
      <c r="H26" s="100">
        <f t="shared" si="4"/>
        <v>6.7994723038739997E-3</v>
      </c>
      <c r="I26" s="511">
        <f t="shared" si="2"/>
        <v>1.133245383979E-3</v>
      </c>
    </row>
    <row r="27" spans="1:11" ht="17.25" x14ac:dyDescent="0.35">
      <c r="A27" s="47" t="s">
        <v>20</v>
      </c>
      <c r="B27" s="150">
        <v>5.3</v>
      </c>
      <c r="C27" s="78">
        <v>4.8</v>
      </c>
      <c r="D27" s="490">
        <v>5.3</v>
      </c>
      <c r="F27" s="47" t="s">
        <v>20</v>
      </c>
      <c r="G27" s="100">
        <f t="shared" si="3"/>
        <v>60.062005350886992</v>
      </c>
      <c r="H27" s="100">
        <f t="shared" si="4"/>
        <v>54.395778430992003</v>
      </c>
      <c r="I27" s="511">
        <f t="shared" si="2"/>
        <v>60.062005350886992</v>
      </c>
    </row>
    <row r="28" spans="1:11" ht="17.25" x14ac:dyDescent="0.35">
      <c r="A28" s="47" t="s">
        <v>21</v>
      </c>
      <c r="B28" s="73">
        <v>2.9E-4</v>
      </c>
      <c r="C28" s="74">
        <v>0.06</v>
      </c>
      <c r="D28" s="504">
        <v>2.9E-4</v>
      </c>
      <c r="F28" s="47" t="s">
        <v>21</v>
      </c>
      <c r="G28" s="100">
        <f t="shared" si="3"/>
        <v>3.2864116135391001E-3</v>
      </c>
      <c r="H28" s="100">
        <f t="shared" si="4"/>
        <v>0.6799472303873999</v>
      </c>
      <c r="I28" s="511">
        <f t="shared" si="2"/>
        <v>3.2864116135391001E-3</v>
      </c>
    </row>
    <row r="29" spans="1:11" ht="17.25" x14ac:dyDescent="0.35">
      <c r="A29" s="47" t="s">
        <v>22</v>
      </c>
      <c r="B29" s="48">
        <v>3.7999999999999999E-2</v>
      </c>
      <c r="C29" s="78">
        <v>3.3000000000000002E-2</v>
      </c>
      <c r="D29" s="489">
        <v>3.7999999999999999E-2</v>
      </c>
      <c r="F29" s="47" t="s">
        <v>22</v>
      </c>
      <c r="G29" s="100">
        <f t="shared" si="3"/>
        <v>0.43063324591201996</v>
      </c>
      <c r="H29" s="100">
        <f t="shared" si="4"/>
        <v>0.37397097671307</v>
      </c>
      <c r="I29" s="511">
        <f t="shared" si="2"/>
        <v>0.43063324591201996</v>
      </c>
    </row>
    <row r="30" spans="1:11" ht="17.25" x14ac:dyDescent="0.35">
      <c r="A30" s="47" t="s">
        <v>23</v>
      </c>
      <c r="B30" s="48">
        <v>20</v>
      </c>
      <c r="C30" s="78">
        <v>26</v>
      </c>
      <c r="D30" s="490">
        <v>27</v>
      </c>
      <c r="F30" s="47" t="s">
        <v>23</v>
      </c>
      <c r="G30" s="101">
        <f t="shared" si="3"/>
        <v>226.6490767958</v>
      </c>
      <c r="H30" s="101">
        <f t="shared" si="4"/>
        <v>294.64379983454</v>
      </c>
      <c r="I30" s="514">
        <f t="shared" si="2"/>
        <v>305.97625367433</v>
      </c>
    </row>
    <row r="31" spans="1:11" ht="24.75" customHeight="1" x14ac:dyDescent="0.35">
      <c r="A31" s="516" t="s">
        <v>174</v>
      </c>
      <c r="B31" s="476">
        <f t="shared" ref="B31:C31" si="5">SUM(B7:B30)</f>
        <v>648.72308999999984</v>
      </c>
      <c r="C31" s="476">
        <f t="shared" si="5"/>
        <v>727.09629999999993</v>
      </c>
      <c r="D31" s="505">
        <f t="shared" ref="D31" si="6">SUM(D7:D30)</f>
        <v>658.14802999999984</v>
      </c>
      <c r="F31" s="516" t="s">
        <v>174</v>
      </c>
      <c r="G31" s="519">
        <f t="shared" ref="G31:H31" si="7">SUM(G7:G30)</f>
        <v>7351.6244722309348</v>
      </c>
      <c r="H31" s="519">
        <f t="shared" si="7"/>
        <v>8239.7852568321014</v>
      </c>
      <c r="I31" s="520">
        <f t="shared" ref="I31" si="8">SUM(I7:I30)</f>
        <v>7458.4321697237247</v>
      </c>
      <c r="K31" s="13"/>
    </row>
    <row r="32" spans="1:11" ht="34.5" x14ac:dyDescent="0.35">
      <c r="A32" s="515" t="s">
        <v>92</v>
      </c>
      <c r="B32" s="476">
        <f t="shared" ref="B32:C32" si="9">B31-(B13+B19+B24+B27)</f>
        <v>244.02308999999985</v>
      </c>
      <c r="C32" s="476">
        <f t="shared" si="9"/>
        <v>228.29629999999992</v>
      </c>
      <c r="D32" s="506">
        <f t="shared" ref="D32" si="10">D31-(D13+D19+D24+D27)</f>
        <v>253.44802999999985</v>
      </c>
      <c r="F32" s="515" t="s">
        <v>216</v>
      </c>
      <c r="G32" s="519">
        <f t="shared" ref="G32:H32" si="11">G31-(G27+G24+G19+G13)</f>
        <v>2765.3804032679218</v>
      </c>
      <c r="H32" s="519">
        <f t="shared" si="11"/>
        <v>2587.157281544849</v>
      </c>
      <c r="I32" s="520">
        <f t="shared" ref="I32" si="12">I31-(I27+I24+I19+I13)</f>
        <v>2872.1881007607117</v>
      </c>
    </row>
    <row r="33" spans="2:11" ht="20.25" customHeight="1" x14ac:dyDescent="0.2"/>
    <row r="34" spans="2:11" ht="30" x14ac:dyDescent="0.25">
      <c r="B34" s="39"/>
      <c r="C34" s="79"/>
      <c r="H34" s="510" t="s">
        <v>214</v>
      </c>
      <c r="I34" s="510" t="s">
        <v>215</v>
      </c>
      <c r="J34" s="167" t="s">
        <v>101</v>
      </c>
    </row>
    <row r="35" spans="2:11" ht="15" x14ac:dyDescent="0.25">
      <c r="F35" s="168" t="s">
        <v>24</v>
      </c>
      <c r="G35" s="169" t="s">
        <v>50</v>
      </c>
      <c r="H35" s="170">
        <v>1600</v>
      </c>
      <c r="I35" s="171">
        <v>1600</v>
      </c>
      <c r="J35" s="508">
        <f>(I35*$H$3)/1000000</f>
        <v>18131.926143663997</v>
      </c>
    </row>
    <row r="36" spans="2:11" ht="15" x14ac:dyDescent="0.25">
      <c r="F36" s="172" t="s">
        <v>25</v>
      </c>
      <c r="G36" s="20" t="s">
        <v>50</v>
      </c>
      <c r="H36" s="21">
        <v>0.36</v>
      </c>
      <c r="I36" s="173">
        <v>0.36</v>
      </c>
      <c r="J36" s="509">
        <f t="shared" ref="J36:J41" si="13">(I36*$H$3)/1000000</f>
        <v>4.0796833823243999</v>
      </c>
      <c r="K36" s="13"/>
    </row>
    <row r="37" spans="2:11" ht="15" x14ac:dyDescent="0.25">
      <c r="F37" s="172" t="s">
        <v>26</v>
      </c>
      <c r="G37" s="20" t="s">
        <v>50</v>
      </c>
      <c r="H37" s="21">
        <v>10</v>
      </c>
      <c r="I37" s="173">
        <v>10</v>
      </c>
      <c r="J37" s="509">
        <f t="shared" si="13"/>
        <v>113.3245383979</v>
      </c>
    </row>
    <row r="38" spans="2:11" ht="15" x14ac:dyDescent="0.25">
      <c r="F38" s="172" t="s">
        <v>27</v>
      </c>
      <c r="G38" s="20" t="s">
        <v>50</v>
      </c>
      <c r="H38" s="21">
        <v>2.3E-2</v>
      </c>
      <c r="I38" s="173">
        <v>2.3E-2</v>
      </c>
      <c r="J38" s="509">
        <f t="shared" si="13"/>
        <v>0.26064643831516998</v>
      </c>
    </row>
    <row r="39" spans="2:11" ht="15" x14ac:dyDescent="0.25">
      <c r="F39" s="172" t="s">
        <v>30</v>
      </c>
      <c r="G39" s="20" t="s">
        <v>31</v>
      </c>
      <c r="H39" s="21">
        <v>5</v>
      </c>
      <c r="I39" s="173">
        <v>5</v>
      </c>
      <c r="J39" s="509">
        <f t="shared" si="13"/>
        <v>56.66226919895</v>
      </c>
    </row>
    <row r="40" spans="2:11" ht="15" x14ac:dyDescent="0.25">
      <c r="F40" s="172" t="s">
        <v>32</v>
      </c>
      <c r="G40" s="20" t="s">
        <v>31</v>
      </c>
      <c r="H40" s="22">
        <f>50*((3*H$25/55.85)+(3*H$15/26.98)+(2*H$28/54.94)+10^(3-H$14))</f>
        <v>32943.574358586266</v>
      </c>
      <c r="I40" s="174">
        <f>H40</f>
        <v>32943.574358586266</v>
      </c>
      <c r="J40" s="509">
        <f t="shared" si="13"/>
        <v>373331.53573636827</v>
      </c>
    </row>
    <row r="41" spans="2:11" ht="15" x14ac:dyDescent="0.25">
      <c r="F41" s="175" t="s">
        <v>33</v>
      </c>
      <c r="G41" s="176" t="s">
        <v>31</v>
      </c>
      <c r="H41" s="177">
        <f>50*((2*H$25/55.85)+(3*H$15/26.98)+(2*H$28/54.94)+10^(3-H$14))</f>
        <v>32943.473918753669</v>
      </c>
      <c r="I41" s="174">
        <f>H41</f>
        <v>32943.473918753669</v>
      </c>
      <c r="J41" s="509">
        <f t="shared" si="13"/>
        <v>373330.39750660176</v>
      </c>
    </row>
  </sheetData>
  <sheetProtection algorithmName="SHA-512" hashValue="C/em/NA0tQx6TGbZFyr0R+LXxwQ5wqJ/wZQe3BCi4X7xg4gsBS9YvY4kxRHwzjvnf3uvJzX1Q9is7FEzLlXj1A==" saltValue="zoI6HCCrZ0ZJOosq2GWllw==" spinCount="100000" sheet="1" scenarios="1"/>
  <mergeCells count="2">
    <mergeCell ref="G5:I5"/>
    <mergeCell ref="B5:D5"/>
  </mergeCells>
  <pageMargins left="0.7" right="0.7" top="0.75" bottom="0.75" header="0.3" footer="0.3"/>
  <pageSetup scale="65" orientation="landscape" r:id="rId1"/>
  <headerFooter>
    <oddFooter>&amp;L&amp;Z&amp;F&amp;R&amp;D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T93"/>
  <sheetViews>
    <sheetView zoomScale="90" zoomScaleNormal="90" workbookViewId="0">
      <selection activeCell="D11" sqref="D11"/>
    </sheetView>
  </sheetViews>
  <sheetFormatPr defaultRowHeight="12.75" x14ac:dyDescent="0.2"/>
  <cols>
    <col min="1" max="1" width="25.85546875" customWidth="1"/>
    <col min="2" max="2" width="13" customWidth="1"/>
    <col min="3" max="3" width="11.42578125" customWidth="1"/>
    <col min="4" max="4" width="14.85546875" customWidth="1"/>
    <col min="5" max="5" width="12.85546875" customWidth="1"/>
    <col min="6" max="6" width="12.42578125" customWidth="1"/>
    <col min="8" max="8" width="11.5703125" customWidth="1"/>
    <col min="16" max="16" width="16.140625" customWidth="1"/>
    <col min="17" max="17" width="12" customWidth="1"/>
    <col min="21" max="21" width="12.85546875" customWidth="1"/>
    <col min="22" max="22" width="11.85546875" customWidth="1"/>
    <col min="23" max="23" width="11" customWidth="1"/>
  </cols>
  <sheetData>
    <row r="1" spans="1:20" ht="28.5" customHeight="1" x14ac:dyDescent="0.35">
      <c r="A1" s="19" t="s">
        <v>219</v>
      </c>
      <c r="B1" s="28"/>
      <c r="C1" s="28"/>
      <c r="D1" s="19"/>
      <c r="I1" s="408" t="s">
        <v>103</v>
      </c>
      <c r="K1" s="94"/>
    </row>
    <row r="2" spans="1:20" ht="54" customHeight="1" x14ac:dyDescent="0.3">
      <c r="A2" s="631" t="s">
        <v>220</v>
      </c>
      <c r="B2" s="631"/>
      <c r="C2" s="631"/>
      <c r="F2" s="526" t="s">
        <v>65</v>
      </c>
      <c r="H2" s="604" t="s">
        <v>295</v>
      </c>
      <c r="R2" s="526" t="s">
        <v>65</v>
      </c>
    </row>
    <row r="3" spans="1:20" ht="26.25" x14ac:dyDescent="0.25">
      <c r="A3" s="401"/>
      <c r="B3" s="405" t="s">
        <v>61</v>
      </c>
      <c r="D3" s="521" t="s">
        <v>62</v>
      </c>
      <c r="E3" s="415" t="s">
        <v>101</v>
      </c>
      <c r="F3" s="415" t="s">
        <v>101</v>
      </c>
      <c r="P3" s="521" t="s">
        <v>63</v>
      </c>
      <c r="Q3" s="523" t="s">
        <v>101</v>
      </c>
      <c r="R3" s="523" t="s">
        <v>101</v>
      </c>
    </row>
    <row r="4" spans="1:20" ht="15.75" x14ac:dyDescent="0.25">
      <c r="A4" s="2" t="s">
        <v>0</v>
      </c>
      <c r="B4" s="356">
        <f>'Worksheet for Effluent Load'!I7</f>
        <v>373.97097671307</v>
      </c>
      <c r="D4" s="23" t="s">
        <v>174</v>
      </c>
      <c r="E4" s="522">
        <f>SUM(E5:E9)</f>
        <v>2867.1108214668698</v>
      </c>
      <c r="F4" s="527">
        <f>SUM(F5:F9)</f>
        <v>2875</v>
      </c>
      <c r="P4" s="79" t="s">
        <v>174</v>
      </c>
      <c r="Q4" s="524">
        <f>SUM(Q5:Q19)</f>
        <v>5.077279293841114</v>
      </c>
      <c r="R4" s="525">
        <f>SUM(R5:R19)</f>
        <v>5.2446419999999989</v>
      </c>
      <c r="T4" s="38"/>
    </row>
    <row r="5" spans="1:20" x14ac:dyDescent="0.2">
      <c r="A5" s="2" t="s">
        <v>1</v>
      </c>
      <c r="B5" s="356">
        <f>'Worksheet for Effluent Load'!I8</f>
        <v>4.1930079207223005E-2</v>
      </c>
      <c r="D5" s="2" t="s">
        <v>10</v>
      </c>
      <c r="E5" s="3">
        <f>B14</f>
        <v>1699.8680759684999</v>
      </c>
      <c r="F5" s="388">
        <v>1700</v>
      </c>
      <c r="P5" s="2" t="s">
        <v>8</v>
      </c>
      <c r="Q5" s="386">
        <f>B12</f>
        <v>1.2465699223769</v>
      </c>
      <c r="R5" s="388">
        <v>1.3</v>
      </c>
    </row>
    <row r="6" spans="1:20" x14ac:dyDescent="0.2">
      <c r="A6" s="2" t="s">
        <v>2</v>
      </c>
      <c r="B6" s="356">
        <f>'Worksheet for Effluent Load'!I9</f>
        <v>0.6799472303873999</v>
      </c>
      <c r="D6" s="2" t="s">
        <v>0</v>
      </c>
      <c r="E6" s="3">
        <f>B4</f>
        <v>373.97097671307</v>
      </c>
      <c r="F6" s="388">
        <v>375</v>
      </c>
      <c r="P6" s="2" t="s">
        <v>11</v>
      </c>
      <c r="Q6" s="387">
        <f>B15</f>
        <v>0.47596306127117999</v>
      </c>
      <c r="R6" s="388">
        <v>0.5</v>
      </c>
    </row>
    <row r="7" spans="1:20" x14ac:dyDescent="0.2">
      <c r="A7" s="2" t="s">
        <v>3</v>
      </c>
      <c r="B7" s="356">
        <f>'Worksheet for Effluent Load'!I10</f>
        <v>9.7459103022194002E-2</v>
      </c>
      <c r="D7" s="2" t="s">
        <v>13</v>
      </c>
      <c r="E7" s="3">
        <f>B17</f>
        <v>407.96833823243998</v>
      </c>
      <c r="F7" s="388">
        <v>410</v>
      </c>
      <c r="P7" s="2" t="s">
        <v>5</v>
      </c>
      <c r="Q7" s="386">
        <f>B9</f>
        <v>0.92926121486278002</v>
      </c>
      <c r="R7" s="388">
        <v>1</v>
      </c>
    </row>
    <row r="8" spans="1:20" x14ac:dyDescent="0.2">
      <c r="A8" s="2" t="s">
        <v>4</v>
      </c>
      <c r="B8" s="356">
        <f>'Worksheet for Effluent Load'!I11</f>
        <v>0.12465699223768999</v>
      </c>
      <c r="D8" s="2" t="s">
        <v>23</v>
      </c>
      <c r="E8" s="3">
        <f>B27</f>
        <v>305.97625367433</v>
      </c>
      <c r="F8" s="388">
        <v>310</v>
      </c>
      <c r="P8" s="2" t="s">
        <v>16</v>
      </c>
      <c r="Q8" s="386">
        <f>B20</f>
        <v>0.78193931494551006</v>
      </c>
      <c r="R8" s="388">
        <v>0.8</v>
      </c>
    </row>
    <row r="9" spans="1:20" x14ac:dyDescent="0.2">
      <c r="A9" s="2" t="s">
        <v>5</v>
      </c>
      <c r="B9" s="356">
        <f>'Worksheet for Effluent Load'!I12</f>
        <v>0.92926121486278002</v>
      </c>
      <c r="D9" s="2" t="s">
        <v>9</v>
      </c>
      <c r="E9" s="3">
        <f>B13</f>
        <v>79.327176878529997</v>
      </c>
      <c r="F9" s="388">
        <v>80</v>
      </c>
      <c r="P9" s="2" t="s">
        <v>2</v>
      </c>
      <c r="Q9" s="387">
        <f>B6</f>
        <v>0.6799472303873999</v>
      </c>
      <c r="R9" s="388">
        <v>0.7</v>
      </c>
    </row>
    <row r="10" spans="1:20" x14ac:dyDescent="0.2">
      <c r="A10" s="2" t="s">
        <v>6</v>
      </c>
      <c r="B10" s="356">
        <f>'Worksheet for Effluent Load'!I13</f>
        <v>4193.0079207222998</v>
      </c>
      <c r="P10" s="2" t="s">
        <v>22</v>
      </c>
      <c r="Q10" s="386">
        <f>B26</f>
        <v>0.43063324591201996</v>
      </c>
      <c r="R10" s="388">
        <v>0.4</v>
      </c>
    </row>
    <row r="11" spans="1:20" x14ac:dyDescent="0.2">
      <c r="A11" s="2" t="s">
        <v>7</v>
      </c>
      <c r="B11" s="356">
        <f>'Worksheet for Effluent Load'!I14</f>
        <v>0.16318733529297599</v>
      </c>
      <c r="E11" s="268"/>
      <c r="P11" s="2" t="s">
        <v>4</v>
      </c>
      <c r="Q11" s="386">
        <f>B8</f>
        <v>0.12465699223768999</v>
      </c>
      <c r="R11" s="388">
        <v>0.1</v>
      </c>
    </row>
    <row r="12" spans="1:20" x14ac:dyDescent="0.2">
      <c r="A12" s="2" t="s">
        <v>8</v>
      </c>
      <c r="B12" s="356">
        <f>'Worksheet for Effluent Load'!I15</f>
        <v>1.2465699223769</v>
      </c>
      <c r="P12" s="2" t="s">
        <v>3</v>
      </c>
      <c r="Q12" s="386">
        <f>B7</f>
        <v>9.7459103022194002E-2</v>
      </c>
      <c r="R12" s="388">
        <v>0.1</v>
      </c>
    </row>
    <row r="13" spans="1:20" x14ac:dyDescent="0.2">
      <c r="A13" s="2" t="s">
        <v>9</v>
      </c>
      <c r="B13" s="356">
        <f>'Worksheet for Effluent Load'!I16</f>
        <v>79.327176878529997</v>
      </c>
      <c r="P13" s="2" t="s">
        <v>7</v>
      </c>
      <c r="Q13" s="386">
        <f>B11</f>
        <v>0.16318733529297599</v>
      </c>
      <c r="R13" s="388">
        <v>0.2</v>
      </c>
    </row>
    <row r="14" spans="1:20" x14ac:dyDescent="0.2">
      <c r="A14" s="2" t="s">
        <v>10</v>
      </c>
      <c r="B14" s="356">
        <f>'Worksheet for Effluent Load'!I17</f>
        <v>1699.8680759684999</v>
      </c>
      <c r="P14" s="2" t="s">
        <v>15</v>
      </c>
      <c r="Q14" s="386">
        <f>B19</f>
        <v>4.7596306127118002E-2</v>
      </c>
      <c r="R14" s="388">
        <v>0.05</v>
      </c>
    </row>
    <row r="15" spans="1:20" x14ac:dyDescent="0.2">
      <c r="A15" s="2" t="s">
        <v>11</v>
      </c>
      <c r="B15" s="356">
        <f>'Worksheet for Effluent Load'!I18</f>
        <v>0.47596306127117999</v>
      </c>
      <c r="P15" s="2" t="s">
        <v>18</v>
      </c>
      <c r="Q15" s="386">
        <f>B22</f>
        <v>5.3262533047012998E-2</v>
      </c>
      <c r="R15" s="388">
        <v>0.05</v>
      </c>
    </row>
    <row r="16" spans="1:20" x14ac:dyDescent="0.2">
      <c r="A16" s="2" t="s">
        <v>12</v>
      </c>
      <c r="B16" s="356">
        <f>'Worksheet for Effluent Load'!I19</f>
        <v>305.97625367433</v>
      </c>
      <c r="P16" s="2" t="s">
        <v>1</v>
      </c>
      <c r="Q16" s="386">
        <f>B5</f>
        <v>4.1930079207223005E-2</v>
      </c>
      <c r="R16" s="388">
        <v>0.04</v>
      </c>
    </row>
    <row r="17" spans="1:18" x14ac:dyDescent="0.2">
      <c r="A17" s="2" t="s">
        <v>13</v>
      </c>
      <c r="B17" s="356">
        <f>'Worksheet for Effluent Load'!I20</f>
        <v>407.96833823243998</v>
      </c>
      <c r="P17" s="2" t="s">
        <v>21</v>
      </c>
      <c r="Q17" s="17">
        <f>B25</f>
        <v>3.2864116135391001E-3</v>
      </c>
      <c r="R17" s="384">
        <v>3.0000000000000001E-3</v>
      </c>
    </row>
    <row r="18" spans="1:18" x14ac:dyDescent="0.2">
      <c r="A18" s="2" t="s">
        <v>14</v>
      </c>
      <c r="B18" s="356">
        <f>'Worksheet for Effluent Load'!I21</f>
        <v>4.5329815359159998E-4</v>
      </c>
      <c r="P18" s="2" t="s">
        <v>19</v>
      </c>
      <c r="Q18" s="17">
        <f>B23</f>
        <v>1.133245383979E-3</v>
      </c>
      <c r="R18" s="384">
        <v>1.142E-3</v>
      </c>
    </row>
    <row r="19" spans="1:18" x14ac:dyDescent="0.2">
      <c r="A19" s="2" t="s">
        <v>15</v>
      </c>
      <c r="B19" s="356">
        <f>'Worksheet for Effluent Load'!I22</f>
        <v>4.7596306127118002E-2</v>
      </c>
      <c r="P19" s="2" t="s">
        <v>14</v>
      </c>
      <c r="Q19" s="30">
        <f>B18</f>
        <v>4.5329815359159998E-4</v>
      </c>
      <c r="R19" s="385">
        <v>5.0000000000000001E-4</v>
      </c>
    </row>
    <row r="20" spans="1:18" x14ac:dyDescent="0.2">
      <c r="A20" s="2" t="s">
        <v>16</v>
      </c>
      <c r="B20" s="356">
        <f>'Worksheet for Effluent Load'!I23</f>
        <v>0.78193931494551006</v>
      </c>
      <c r="Q20" s="34"/>
      <c r="R20" s="153"/>
    </row>
    <row r="21" spans="1:18" x14ac:dyDescent="0.2">
      <c r="A21" s="2" t="s">
        <v>17</v>
      </c>
      <c r="B21" s="356">
        <f>'Worksheet for Effluent Load'!I24</f>
        <v>27.197889215496001</v>
      </c>
    </row>
    <row r="22" spans="1:18" x14ac:dyDescent="0.2">
      <c r="A22" s="2" t="s">
        <v>18</v>
      </c>
      <c r="B22" s="356">
        <f>'Worksheet for Effluent Load'!I25</f>
        <v>5.3262533047012998E-2</v>
      </c>
    </row>
    <row r="23" spans="1:18" x14ac:dyDescent="0.2">
      <c r="A23" s="2" t="s">
        <v>19</v>
      </c>
      <c r="B23" s="356">
        <f>'Worksheet for Effluent Load'!I26</f>
        <v>1.133245383979E-3</v>
      </c>
    </row>
    <row r="24" spans="1:18" x14ac:dyDescent="0.2">
      <c r="A24" s="2" t="s">
        <v>20</v>
      </c>
      <c r="B24" s="356">
        <f>'Worksheet for Effluent Load'!I27</f>
        <v>60.062005350886992</v>
      </c>
    </row>
    <row r="25" spans="1:18" x14ac:dyDescent="0.2">
      <c r="A25" s="2" t="s">
        <v>21</v>
      </c>
      <c r="B25" s="356">
        <f>'Worksheet for Effluent Load'!I28</f>
        <v>3.2864116135391001E-3</v>
      </c>
    </row>
    <row r="26" spans="1:18" x14ac:dyDescent="0.2">
      <c r="A26" s="2" t="s">
        <v>22</v>
      </c>
      <c r="B26" s="356">
        <f>'Worksheet for Effluent Load'!I29</f>
        <v>0.43063324591201996</v>
      </c>
    </row>
    <row r="27" spans="1:18" x14ac:dyDescent="0.2">
      <c r="A27" s="2" t="s">
        <v>23</v>
      </c>
      <c r="B27" s="356">
        <f>'Worksheet for Effluent Load'!I30</f>
        <v>305.97625367433</v>
      </c>
    </row>
    <row r="28" spans="1:18" x14ac:dyDescent="0.2">
      <c r="A28" s="406"/>
      <c r="B28" s="407"/>
    </row>
    <row r="29" spans="1:18" x14ac:dyDescent="0.2">
      <c r="A29" s="401" t="s">
        <v>24</v>
      </c>
      <c r="B29" s="402">
        <v>18132</v>
      </c>
    </row>
    <row r="30" spans="1:18" x14ac:dyDescent="0.2">
      <c r="A30" s="401" t="s">
        <v>25</v>
      </c>
      <c r="B30" s="403">
        <v>4.08</v>
      </c>
      <c r="D30" s="14"/>
      <c r="E30" s="94"/>
    </row>
    <row r="31" spans="1:18" x14ac:dyDescent="0.2">
      <c r="A31" s="401" t="s">
        <v>26</v>
      </c>
      <c r="B31" s="402">
        <v>113.32</v>
      </c>
      <c r="D31" s="14"/>
    </row>
    <row r="32" spans="1:18" x14ac:dyDescent="0.2">
      <c r="A32" s="401" t="s">
        <v>27</v>
      </c>
      <c r="B32" s="403">
        <v>0.26266</v>
      </c>
      <c r="C32" s="14"/>
      <c r="D32" s="14"/>
    </row>
    <row r="33" spans="1:4" ht="15.75" x14ac:dyDescent="0.25">
      <c r="A33" s="147" t="s">
        <v>53</v>
      </c>
      <c r="B33" s="404">
        <f>SUM(B4:B32)</f>
        <v>25708.094829723726</v>
      </c>
      <c r="C33" s="32"/>
      <c r="D33" s="33"/>
    </row>
    <row r="34" spans="1:4" ht="25.5" x14ac:dyDescent="0.2">
      <c r="C34" s="394" t="s">
        <v>65</v>
      </c>
    </row>
    <row r="35" spans="1:4" x14ac:dyDescent="0.2">
      <c r="A35" s="398" t="s">
        <v>57</v>
      </c>
      <c r="B35" s="399">
        <f>B33-B29</f>
        <v>7576.0948297237264</v>
      </c>
      <c r="C35" s="388">
        <v>7600</v>
      </c>
    </row>
    <row r="36" spans="1:4" x14ac:dyDescent="0.2">
      <c r="A36" s="398" t="s">
        <v>51</v>
      </c>
      <c r="B36" s="399">
        <f>B10+B16+B21+B24</f>
        <v>4586.244068963013</v>
      </c>
      <c r="C36" s="388">
        <v>4600</v>
      </c>
    </row>
    <row r="37" spans="1:4" x14ac:dyDescent="0.2">
      <c r="A37" s="398" t="s">
        <v>55</v>
      </c>
      <c r="B37" s="399">
        <f>B4+B14</f>
        <v>2073.8390526815697</v>
      </c>
      <c r="C37" s="388">
        <v>2000</v>
      </c>
    </row>
    <row r="38" spans="1:4" x14ac:dyDescent="0.2">
      <c r="A38" s="398" t="s">
        <v>54</v>
      </c>
      <c r="B38" s="400">
        <f>B5+B6+B7+B8+B9+B11+B12+B15+B18+B19+B20+B22+B23+B25+B26</f>
        <v>5.0772792938411131</v>
      </c>
      <c r="C38" s="388">
        <v>5</v>
      </c>
    </row>
    <row r="39" spans="1:4" x14ac:dyDescent="0.2">
      <c r="A39" s="398" t="s">
        <v>56</v>
      </c>
      <c r="B39" s="399">
        <f>B27+B15</f>
        <v>306.45221673560116</v>
      </c>
      <c r="C39" s="388">
        <v>300</v>
      </c>
    </row>
    <row r="40" spans="1:4" x14ac:dyDescent="0.2">
      <c r="A40" s="398" t="s">
        <v>24</v>
      </c>
      <c r="B40" s="399">
        <f>B29</f>
        <v>18132</v>
      </c>
      <c r="C40" s="388">
        <v>18100</v>
      </c>
    </row>
    <row r="41" spans="1:4" x14ac:dyDescent="0.2">
      <c r="A41" s="409" t="s">
        <v>62</v>
      </c>
      <c r="B41" s="410">
        <f>B17+B27+B13+B14+B4</f>
        <v>2867.1108214668698</v>
      </c>
      <c r="C41" s="388">
        <v>2900</v>
      </c>
    </row>
    <row r="42" spans="1:4" x14ac:dyDescent="0.2">
      <c r="A42" s="38"/>
      <c r="B42" s="38"/>
      <c r="C42" s="388"/>
    </row>
    <row r="43" spans="1:4" ht="25.5" x14ac:dyDescent="0.2">
      <c r="A43" s="412" t="s">
        <v>59</v>
      </c>
      <c r="B43" s="411">
        <f>B33-B29-B30-B31-B32-B36</f>
        <v>2872.1881007607135</v>
      </c>
      <c r="C43" s="388">
        <v>2900</v>
      </c>
    </row>
    <row r="44" spans="1:4" x14ac:dyDescent="0.2">
      <c r="C44" s="388"/>
    </row>
    <row r="45" spans="1:4" x14ac:dyDescent="0.2">
      <c r="A45" s="2" t="s">
        <v>177</v>
      </c>
      <c r="B45" s="396">
        <f>B36</f>
        <v>4586.244068963013</v>
      </c>
      <c r="C45" s="388">
        <v>4600</v>
      </c>
    </row>
    <row r="46" spans="1:4" x14ac:dyDescent="0.2">
      <c r="A46" s="2" t="s">
        <v>24</v>
      </c>
      <c r="B46" s="396">
        <f>B29</f>
        <v>18132</v>
      </c>
      <c r="C46" s="397">
        <v>18000</v>
      </c>
    </row>
    <row r="47" spans="1:4" x14ac:dyDescent="0.2">
      <c r="A47" s="2" t="s">
        <v>58</v>
      </c>
      <c r="B47" s="396">
        <f>B30+B31+B32</f>
        <v>117.66265999999999</v>
      </c>
      <c r="C47" s="388">
        <v>120</v>
      </c>
    </row>
    <row r="48" spans="1:4" x14ac:dyDescent="0.2">
      <c r="B48" s="18">
        <f>SUM(B45:B47)</f>
        <v>22835.906728963015</v>
      </c>
      <c r="C48" s="395">
        <v>23000</v>
      </c>
    </row>
    <row r="49" spans="1:7" x14ac:dyDescent="0.2">
      <c r="C49" s="190"/>
    </row>
    <row r="50" spans="1:7" x14ac:dyDescent="0.2">
      <c r="A50" t="s">
        <v>218</v>
      </c>
      <c r="C50" s="190"/>
      <c r="D50" t="s">
        <v>176</v>
      </c>
    </row>
    <row r="51" spans="1:7" x14ac:dyDescent="0.2">
      <c r="A51" t="s">
        <v>62</v>
      </c>
      <c r="B51" s="380">
        <f>B41</f>
        <v>2867.1108214668698</v>
      </c>
      <c r="C51" s="388">
        <v>2900</v>
      </c>
      <c r="D51" s="38" t="s">
        <v>158</v>
      </c>
    </row>
    <row r="52" spans="1:7" x14ac:dyDescent="0.2">
      <c r="A52" t="s">
        <v>54</v>
      </c>
      <c r="B52" s="380">
        <f>B38</f>
        <v>5.0772792938411131</v>
      </c>
      <c r="C52" s="388">
        <v>5</v>
      </c>
      <c r="D52" s="38" t="s">
        <v>156</v>
      </c>
    </row>
    <row r="53" spans="1:7" x14ac:dyDescent="0.2">
      <c r="A53" t="s">
        <v>155</v>
      </c>
      <c r="B53" s="380">
        <f>B48</f>
        <v>22835.906728963015</v>
      </c>
      <c r="C53" s="388">
        <v>23000</v>
      </c>
      <c r="D53" s="38" t="s">
        <v>157</v>
      </c>
    </row>
    <row r="54" spans="1:7" x14ac:dyDescent="0.2">
      <c r="C54" s="38"/>
      <c r="D54" s="38"/>
    </row>
    <row r="55" spans="1:7" x14ac:dyDescent="0.2">
      <c r="C55" s="38"/>
      <c r="D55" s="38"/>
    </row>
    <row r="57" spans="1:7" x14ac:dyDescent="0.2">
      <c r="F57" s="14"/>
      <c r="G57" s="26"/>
    </row>
    <row r="58" spans="1:7" x14ac:dyDescent="0.2">
      <c r="F58" s="14"/>
      <c r="G58" s="25"/>
    </row>
    <row r="71" spans="9:9" x14ac:dyDescent="0.2">
      <c r="I71" s="25"/>
    </row>
    <row r="72" spans="9:9" x14ac:dyDescent="0.2">
      <c r="I72" s="25"/>
    </row>
    <row r="73" spans="9:9" x14ac:dyDescent="0.2">
      <c r="I73" s="25"/>
    </row>
    <row r="74" spans="9:9" x14ac:dyDescent="0.2">
      <c r="I74" s="25"/>
    </row>
    <row r="75" spans="9:9" x14ac:dyDescent="0.2">
      <c r="I75" s="25"/>
    </row>
    <row r="76" spans="9:9" x14ac:dyDescent="0.2">
      <c r="I76" s="25"/>
    </row>
    <row r="77" spans="9:9" x14ac:dyDescent="0.2">
      <c r="I77" s="25"/>
    </row>
    <row r="78" spans="9:9" x14ac:dyDescent="0.2">
      <c r="I78" s="25"/>
    </row>
    <row r="79" spans="9:9" x14ac:dyDescent="0.2">
      <c r="I79" s="26"/>
    </row>
    <row r="80" spans="9:9" x14ac:dyDescent="0.2">
      <c r="I80" s="25"/>
    </row>
    <row r="81" spans="9:9" x14ac:dyDescent="0.2">
      <c r="I81" s="26"/>
    </row>
    <row r="82" spans="9:9" x14ac:dyDescent="0.2">
      <c r="I82" s="26"/>
    </row>
    <row r="83" spans="9:9" x14ac:dyDescent="0.2">
      <c r="I83" s="25"/>
    </row>
    <row r="84" spans="9:9" x14ac:dyDescent="0.2">
      <c r="I84" s="26"/>
    </row>
    <row r="85" spans="9:9" x14ac:dyDescent="0.2">
      <c r="I85" s="25"/>
    </row>
    <row r="86" spans="9:9" x14ac:dyDescent="0.2">
      <c r="I86" s="25"/>
    </row>
    <row r="87" spans="9:9" x14ac:dyDescent="0.2">
      <c r="I87" s="26"/>
    </row>
    <row r="88" spans="9:9" x14ac:dyDescent="0.2">
      <c r="I88" s="26"/>
    </row>
    <row r="89" spans="9:9" x14ac:dyDescent="0.2">
      <c r="I89" s="26"/>
    </row>
    <row r="90" spans="9:9" x14ac:dyDescent="0.2">
      <c r="I90" s="26"/>
    </row>
    <row r="91" spans="9:9" x14ac:dyDescent="0.2">
      <c r="I91" s="27"/>
    </row>
    <row r="92" spans="9:9" x14ac:dyDescent="0.2">
      <c r="I92" s="27"/>
    </row>
    <row r="93" spans="9:9" x14ac:dyDescent="0.2">
      <c r="I93" s="4"/>
    </row>
  </sheetData>
  <sheetProtection algorithmName="SHA-512" hashValue="VXmtqOoTJjeo7CoMwXJRCczlxE2KT1SAR4T0SkEE4ygEeVCkWklVU7aKFaQdpkoGRN9Xivu8NFOWEvD861xFEg==" saltValue="5Ef+PqpgYQnkMCkQiGqOPg==" spinCount="100000" sheet="1" scenarios="1"/>
  <mergeCells count="1">
    <mergeCell ref="A2:C2"/>
  </mergeCells>
  <pageMargins left="0.7" right="0.7" top="0.75" bottom="0.75" header="0.3" footer="0.3"/>
  <pageSetup paperSize="3" scale="60" orientation="landscape" r:id="rId1"/>
  <headerFooter>
    <oddFooter>&amp;L&amp;Z&amp;F&amp;R&amp;D &amp;T</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README</vt:lpstr>
      <vt:lpstr>Table 3-1 Effluent Data</vt:lpstr>
      <vt:lpstr>Table 3-2 GKM Mass to Animas</vt:lpstr>
      <vt:lpstr>Worksheet For Effluent Conc</vt:lpstr>
      <vt:lpstr>Effluent Conc Fig 3-9</vt:lpstr>
      <vt:lpstr>Ratio Diss to Tot Fig 3-10 </vt:lpstr>
      <vt:lpstr>Effluent Conc Fig 3-11</vt:lpstr>
      <vt:lpstr>Worksheet for Effluent Load</vt:lpstr>
      <vt:lpstr>Graphics_Release Load Fig 3-12</vt:lpstr>
      <vt:lpstr>Compare GKM w Cement Fig 3-15 </vt:lpstr>
      <vt:lpstr>Cement Cr 1600 Hr Sample</vt:lpstr>
      <vt:lpstr>Cement Est 1245 Peak</vt:lpstr>
      <vt:lpstr>Fig 3_15 Compare Concentrations</vt:lpstr>
      <vt:lpstr>Fig 3-17 Est Added Dissolved CC</vt:lpstr>
      <vt:lpstr>Mass Delivered Figs 3-19, 3-20</vt:lpstr>
      <vt:lpstr>Cement CR Background Conc</vt:lpstr>
      <vt:lpstr>'Effluent Conc Fig 3-9'!_Toc461477098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 /ORD GKM Study</dc:title>
  <dc:creator>K Sullivan</dc:creator>
  <cp:keywords>Plume Analysis</cp:keywords>
  <cp:lastModifiedBy>K Sullivan</cp:lastModifiedBy>
  <cp:lastPrinted>2017-05-22T16:51:26Z</cp:lastPrinted>
  <dcterms:created xsi:type="dcterms:W3CDTF">2015-10-03T22:22:29Z</dcterms:created>
  <dcterms:modified xsi:type="dcterms:W3CDTF">2017-07-30T19:09:25Z</dcterms:modified>
  <cp:category>Release Mass</cp:category>
</cp:coreProperties>
</file>