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D:\HQ TSCA Work\1-BP Existing Chemicals\July 29 2020 Final RE Package Transmittal Docs\"/>
    </mc:Choice>
  </mc:AlternateContent>
  <xr:revisionPtr revIDLastSave="0" documentId="13_ncr:1_{FB495796-4050-4123-BA2D-8B37C2F8172E}" xr6:coauthVersionLast="45" xr6:coauthVersionMax="45" xr10:uidLastSave="{00000000-0000-0000-0000-000000000000}"/>
  <bookViews>
    <workbookView xWindow="-120" yWindow="-120" windowWidth="20730" windowHeight="11160" tabRatio="776" xr2:uid="{00000000-000D-0000-FFFF-FFFF00000000}"/>
  </bookViews>
  <sheets>
    <sheet name="Cover Page" sheetId="45" r:id="rId1"/>
    <sheet name="Table of Contents" sheetId="46" r:id="rId2"/>
    <sheet name="Dashboard" sheetId="31" r:id="rId3"/>
    <sheet name="Spray Adhesives" sheetId="38" r:id="rId4"/>
    <sheet name="Dry Cleaning Model" sheetId="39" r:id="rId5"/>
    <sheet name="Cancer Inhal Table" sheetId="43" r:id="rId6"/>
    <sheet name="RR" sheetId="41" r:id="rId7"/>
    <sheet name="Dermal" sheetId="40" r:id="rId8"/>
    <sheet name="Exposure Results" sheetId="37" state="hidden" r:id="rId9"/>
    <sheet name="Bridge Table" sheetId="44" state="hidden" r:id="rId10"/>
    <sheet name="Look-up Values" sheetId="29" state="veryHidden" r:id="rId11"/>
    <sheet name="ListValues" sheetId="35" state="veryHidden" r:id="rId12"/>
  </sheets>
  <externalReferences>
    <externalReference r:id="rId13"/>
    <externalReference r:id="rId14"/>
    <externalReference r:id="rId1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definedName>
    <definedName name="_AtRisk_SimSetting_ConvergenceTolerance" hidden="1">0.01</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15</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ff_50pct" localSheetId="5">#REF!</definedName>
    <definedName name="ACff_50pct" localSheetId="4">#REF!</definedName>
    <definedName name="ACff_50pct" localSheetId="3">#REF!</definedName>
    <definedName name="ACff_50pct">#REF!</definedName>
    <definedName name="ACff_5pct" localSheetId="5">#REF!</definedName>
    <definedName name="ACff_5pct" localSheetId="4">#REF!</definedName>
    <definedName name="ACff_5pct" localSheetId="3">#REF!</definedName>
    <definedName name="ACff_5pct">#REF!</definedName>
    <definedName name="ACff_95pct" localSheetId="5">#REF!</definedName>
    <definedName name="ACff_95pct" localSheetId="4">#REF!</definedName>
    <definedName name="ACff_95pct" localSheetId="3">#REF!</definedName>
    <definedName name="ACff_95pct">#REF!</definedName>
    <definedName name="ACff_99pct" localSheetId="5">#REF!</definedName>
    <definedName name="ACff_99pct" localSheetId="4">#REF!</definedName>
    <definedName name="ACff_99pct" localSheetId="3">#REF!</definedName>
    <definedName name="ACff_99pct">#REF!</definedName>
    <definedName name="ACff_max" localSheetId="5">#REF!</definedName>
    <definedName name="ACff_max" localSheetId="4">#REF!</definedName>
    <definedName name="ACff_max" localSheetId="3">#REF!</definedName>
    <definedName name="ACff_max">#REF!</definedName>
    <definedName name="ACff_mean" localSheetId="5">#REF!</definedName>
    <definedName name="ACff_mean" localSheetId="4">#REF!</definedName>
    <definedName name="ACff_mean" localSheetId="3">#REF!</definedName>
    <definedName name="ACff_mean">#REF!</definedName>
    <definedName name="ACff_min" localSheetId="5">#REF!</definedName>
    <definedName name="ACff_min" localSheetId="4">#REF!</definedName>
    <definedName name="ACff_min" localSheetId="3">#REF!</definedName>
    <definedName name="ACff_min">#REF!</definedName>
    <definedName name="ACnf_50pct" localSheetId="5">#REF!</definedName>
    <definedName name="ACnf_50pct" localSheetId="4">#REF!</definedName>
    <definedName name="ACnf_50pct" localSheetId="3">#REF!</definedName>
    <definedName name="ACnf_50pct">#REF!</definedName>
    <definedName name="ACnf_5pct" localSheetId="5">#REF!</definedName>
    <definedName name="ACnf_5pct" localSheetId="4">#REF!</definedName>
    <definedName name="ACnf_5pct" localSheetId="3">#REF!</definedName>
    <definedName name="ACnf_5pct">#REF!</definedName>
    <definedName name="ACnf_95pct" localSheetId="5">#REF!</definedName>
    <definedName name="ACnf_95pct" localSheetId="4">#REF!</definedName>
    <definedName name="ACnf_95pct" localSheetId="3">#REF!</definedName>
    <definedName name="ACnf_95pct">#REF!</definedName>
    <definedName name="ACnf_99pct" localSheetId="5">#REF!</definedName>
    <definedName name="ACnf_99pct" localSheetId="4">#REF!</definedName>
    <definedName name="ACnf_99pct" localSheetId="3">#REF!</definedName>
    <definedName name="ACnf_99pct">#REF!</definedName>
    <definedName name="ACnf_max" localSheetId="5">#REF!</definedName>
    <definedName name="ACnf_max" localSheetId="4">#REF!</definedName>
    <definedName name="ACnf_max" localSheetId="3">#REF!</definedName>
    <definedName name="ACnf_max">#REF!</definedName>
    <definedName name="ACnf_mean" localSheetId="5">#REF!</definedName>
    <definedName name="ACnf_mean" localSheetId="4">#REF!</definedName>
    <definedName name="ACnf_mean" localSheetId="3">#REF!</definedName>
    <definedName name="ACnf_mean">#REF!</definedName>
    <definedName name="ACnf_min" localSheetId="5">#REF!</definedName>
    <definedName name="ACnf_min" localSheetId="4">#REF!</definedName>
    <definedName name="ACnf_min" localSheetId="3">#REF!</definedName>
    <definedName name="ACnf_min">#REF!</definedName>
    <definedName name="ADCff_50pct" localSheetId="5">#REF!</definedName>
    <definedName name="ADCff_50pct" localSheetId="4">#REF!</definedName>
    <definedName name="ADCff_50pct" localSheetId="3">#REF!</definedName>
    <definedName name="ADCff_50pct">#REF!</definedName>
    <definedName name="ADCff_5pct" localSheetId="5">#REF!</definedName>
    <definedName name="ADCff_5pct" localSheetId="4">#REF!</definedName>
    <definedName name="ADCff_5pct" localSheetId="3">#REF!</definedName>
    <definedName name="ADCff_5pct">#REF!</definedName>
    <definedName name="ADCff_95pct" localSheetId="5">#REF!</definedName>
    <definedName name="ADCff_95pct" localSheetId="4">#REF!</definedName>
    <definedName name="ADCff_95pct" localSheetId="3">#REF!</definedName>
    <definedName name="ADCff_95pct">#REF!</definedName>
    <definedName name="ADCff_99pct" localSheetId="5">#REF!</definedName>
    <definedName name="ADCff_99pct" localSheetId="4">#REF!</definedName>
    <definedName name="ADCff_99pct" localSheetId="3">#REF!</definedName>
    <definedName name="ADCff_99pct">#REF!</definedName>
    <definedName name="ADCff_max" localSheetId="5">#REF!</definedName>
    <definedName name="ADCff_max" localSheetId="4">#REF!</definedName>
    <definedName name="ADCff_max" localSheetId="3">#REF!</definedName>
    <definedName name="ADCff_max">#REF!</definedName>
    <definedName name="ADCff_mean" localSheetId="5">#REF!</definedName>
    <definedName name="ADCff_mean" localSheetId="4">#REF!</definedName>
    <definedName name="ADCff_mean" localSheetId="3">#REF!</definedName>
    <definedName name="ADCff_mean">#REF!</definedName>
    <definedName name="ADCff_min" localSheetId="5">#REF!</definedName>
    <definedName name="ADCff_min" localSheetId="4">#REF!</definedName>
    <definedName name="ADCff_min" localSheetId="3">#REF!</definedName>
    <definedName name="ADCff_min">#REF!</definedName>
    <definedName name="ADCnf_50pct" localSheetId="5">#REF!</definedName>
    <definedName name="ADCnf_50pct" localSheetId="4">#REF!</definedName>
    <definedName name="ADCnf_50pct" localSheetId="3">#REF!</definedName>
    <definedName name="ADCnf_50pct">#REF!</definedName>
    <definedName name="ADCnf_5pct" localSheetId="5">#REF!</definedName>
    <definedName name="ADCnf_5pct" localSheetId="4">#REF!</definedName>
    <definedName name="ADCnf_5pct" localSheetId="3">#REF!</definedName>
    <definedName name="ADCnf_5pct">#REF!</definedName>
    <definedName name="ADCnf_95pct" localSheetId="5">#REF!</definedName>
    <definedName name="ADCnf_95pct" localSheetId="4">#REF!</definedName>
    <definedName name="ADCnf_95pct" localSheetId="3">#REF!</definedName>
    <definedName name="ADCnf_95pct">#REF!</definedName>
    <definedName name="ADCnf_99pct" localSheetId="5">#REF!</definedName>
    <definedName name="ADCnf_99pct" localSheetId="4">#REF!</definedName>
    <definedName name="ADCnf_99pct" localSheetId="3">#REF!</definedName>
    <definedName name="ADCnf_99pct">#REF!</definedName>
    <definedName name="ADCnf_max" localSheetId="5">#REF!</definedName>
    <definedName name="ADCnf_max" localSheetId="4">#REF!</definedName>
    <definedName name="ADCnf_max" localSheetId="3">#REF!</definedName>
    <definedName name="ADCnf_max">#REF!</definedName>
    <definedName name="ADCnf_mean" localSheetId="5">#REF!</definedName>
    <definedName name="ADCnf_mean" localSheetId="4">#REF!</definedName>
    <definedName name="ADCnf_mean" localSheetId="3">#REF!</definedName>
    <definedName name="ADCnf_mean">#REF!</definedName>
    <definedName name="ADCnf_min" localSheetId="5">#REF!</definedName>
    <definedName name="ADCnf_min" localSheetId="4">#REF!</definedName>
    <definedName name="ADCnf_min" localSheetId="3">#REF!</definedName>
    <definedName name="ADCnf_min">#REF!</definedName>
    <definedName name="AER_MC" localSheetId="5">#REF!</definedName>
    <definedName name="AER_MC" localSheetId="4">#REF!</definedName>
    <definedName name="AER_MC" localSheetId="3">#REF!</definedName>
    <definedName name="AER_MC">#REF!</definedName>
    <definedName name="Air_speed_MC" localSheetId="5">#REF!</definedName>
    <definedName name="Air_speed_MC" localSheetId="4">#REF!</definedName>
    <definedName name="Air_speed_MC" localSheetId="3">#REF!</definedName>
    <definedName name="Air_speed_MC">#REF!</definedName>
    <definedName name="AT_acute" localSheetId="5">#REF!</definedName>
    <definedName name="AT_acute" localSheetId="4">#REF!</definedName>
    <definedName name="AT_acute" localSheetId="3">#REF!</definedName>
    <definedName name="AT_acute">#REF!</definedName>
    <definedName name="AT_ADC_50">'Exposure Results'!$U$10</definedName>
    <definedName name="AT_ADC_95">'Exposure Results'!$T$10</definedName>
    <definedName name="AT_cancer" localSheetId="5">#REF!</definedName>
    <definedName name="AT_cancer" localSheetId="4">#REF!</definedName>
    <definedName name="AT_cancer" localSheetId="3">#REF!</definedName>
    <definedName name="AT_cancer">#REF!</definedName>
    <definedName name="AT_cancer_8hrTWA" localSheetId="5">#REF!</definedName>
    <definedName name="AT_cancer_8hrTWA" localSheetId="4">#REF!</definedName>
    <definedName name="AT_cancer_8hrTWA" localSheetId="3">#REF!</definedName>
    <definedName name="AT_cancer_8hrTWA">#REF!</definedName>
    <definedName name="AT_LADC_50">'Exposure Results'!$U$11</definedName>
    <definedName name="AT_LADC_95">'Exposure Results'!$T$11</definedName>
    <definedName name="AT_noncancer" localSheetId="5">#REF!</definedName>
    <definedName name="AT_noncancer" localSheetId="4">#REF!</definedName>
    <definedName name="AT_noncancer" localSheetId="3">#REF!</definedName>
    <definedName name="AT_noncancer">#REF!</definedName>
    <definedName name="AT_noncancer_8hrTWA" localSheetId="5">#REF!</definedName>
    <definedName name="AT_noncancer_8hrTWA" localSheetId="4">#REF!</definedName>
    <definedName name="AT_noncancer_8hrTWA" localSheetId="3">#REF!</definedName>
    <definedName name="AT_noncancer_8hrTWA">#REF!</definedName>
    <definedName name="Cff_mass" localSheetId="5">#REF!</definedName>
    <definedName name="Cff_mass" localSheetId="0">#REF!</definedName>
    <definedName name="Cff_mass" localSheetId="4">#REF!</definedName>
    <definedName name="Cff_mass" localSheetId="3">#REF!</definedName>
    <definedName name="Cff_mass" localSheetId="1">#REF!</definedName>
    <definedName name="Cff_mass">#REF!</definedName>
    <definedName name="Cff_ppm" localSheetId="5">#REF!</definedName>
    <definedName name="Cff_ppm" localSheetId="0">#REF!</definedName>
    <definedName name="Cff_ppm" localSheetId="4">#REF!</definedName>
    <definedName name="Cff_ppm" localSheetId="3">#REF!</definedName>
    <definedName name="Cff_ppm" localSheetId="1">#REF!</definedName>
    <definedName name="Cff_ppm">#REF!</definedName>
    <definedName name="Cff_ppm_50pct" localSheetId="5">#REF!</definedName>
    <definedName name="Cff_ppm_50pct" localSheetId="0">#REF!</definedName>
    <definedName name="Cff_ppm_50pct" localSheetId="4">#REF!</definedName>
    <definedName name="Cff_ppm_50pct" localSheetId="3">#REF!</definedName>
    <definedName name="Cff_ppm_50pct" localSheetId="1">#REF!</definedName>
    <definedName name="Cff_ppm_50pct">#REF!</definedName>
    <definedName name="Cff_ppm_5pct" localSheetId="5">#REF!</definedName>
    <definedName name="Cff_ppm_5pct" localSheetId="4">#REF!</definedName>
    <definedName name="Cff_ppm_5pct" localSheetId="3">#REF!</definedName>
    <definedName name="Cff_ppm_5pct">#REF!</definedName>
    <definedName name="Cff_ppm_95pct" localSheetId="5">#REF!</definedName>
    <definedName name="Cff_ppm_95pct" localSheetId="4">#REF!</definedName>
    <definedName name="Cff_ppm_95pct" localSheetId="3">#REF!</definedName>
    <definedName name="Cff_ppm_95pct">#REF!</definedName>
    <definedName name="Cff_ppm_99pct" localSheetId="5">#REF!</definedName>
    <definedName name="Cff_ppm_99pct" localSheetId="4">#REF!</definedName>
    <definedName name="Cff_ppm_99pct" localSheetId="3">#REF!</definedName>
    <definedName name="Cff_ppm_99pct">#REF!</definedName>
    <definedName name="Cff_ppm_max" localSheetId="5">#REF!</definedName>
    <definedName name="Cff_ppm_max" localSheetId="4">#REF!</definedName>
    <definedName name="Cff_ppm_max" localSheetId="3">#REF!</definedName>
    <definedName name="Cff_ppm_max">#REF!</definedName>
    <definedName name="Cff_ppm_mean" localSheetId="5">#REF!</definedName>
    <definedName name="Cff_ppm_mean" localSheetId="4">#REF!</definedName>
    <definedName name="Cff_ppm_mean" localSheetId="3">#REF!</definedName>
    <definedName name="Cff_ppm_mean">#REF!</definedName>
    <definedName name="Cff_ppm_min" localSheetId="5">#REF!</definedName>
    <definedName name="Cff_ppm_min" localSheetId="4">#REF!</definedName>
    <definedName name="Cff_ppm_min" localSheetId="3">#REF!</definedName>
    <definedName name="Cff_ppm_min">#REF!</definedName>
    <definedName name="Cnf_mass" localSheetId="5">#REF!</definedName>
    <definedName name="Cnf_mass" localSheetId="4">#REF!</definedName>
    <definedName name="Cnf_mass" localSheetId="3">#REF!</definedName>
    <definedName name="Cnf_mass">#REF!</definedName>
    <definedName name="Cnf_ppm" localSheetId="5">#REF!</definedName>
    <definedName name="Cnf_ppm" localSheetId="4">#REF!</definedName>
    <definedName name="Cnf_ppm" localSheetId="3">#REF!</definedName>
    <definedName name="Cnf_ppm">#REF!</definedName>
    <definedName name="Cnf_ppm_50pct" localSheetId="5">#REF!</definedName>
    <definedName name="Cnf_ppm_50pct" localSheetId="4">#REF!</definedName>
    <definedName name="Cnf_ppm_50pct" localSheetId="3">#REF!</definedName>
    <definedName name="Cnf_ppm_50pct">#REF!</definedName>
    <definedName name="Cnf_ppm_5pct" localSheetId="5">#REF!</definedName>
    <definedName name="Cnf_ppm_5pct" localSheetId="4">#REF!</definedName>
    <definedName name="Cnf_ppm_5pct" localSheetId="3">#REF!</definedName>
    <definedName name="Cnf_ppm_5pct">#REF!</definedName>
    <definedName name="Cnf_ppm_95pct" localSheetId="5">#REF!</definedName>
    <definedName name="Cnf_ppm_95pct" localSheetId="4">#REF!</definedName>
    <definedName name="Cnf_ppm_95pct" localSheetId="3">#REF!</definedName>
    <definedName name="Cnf_ppm_95pct">#REF!</definedName>
    <definedName name="Cnf_ppm_99pct" localSheetId="5">#REF!</definedName>
    <definedName name="Cnf_ppm_99pct" localSheetId="4">#REF!</definedName>
    <definedName name="Cnf_ppm_99pct" localSheetId="3">#REF!</definedName>
    <definedName name="Cnf_ppm_99pct">#REF!</definedName>
    <definedName name="Cnf_ppm_max" localSheetId="5">#REF!</definedName>
    <definedName name="Cnf_ppm_max" localSheetId="4">#REF!</definedName>
    <definedName name="Cnf_ppm_max" localSheetId="3">#REF!</definedName>
    <definedName name="Cnf_ppm_max">#REF!</definedName>
    <definedName name="Cnf_ppm_mean" localSheetId="5">#REF!</definedName>
    <definedName name="Cnf_ppm_mean" localSheetId="4">#REF!</definedName>
    <definedName name="Cnf_ppm_mean" localSheetId="3">#REF!</definedName>
    <definedName name="Cnf_ppm_mean">#REF!</definedName>
    <definedName name="Cnf_ppm_min" localSheetId="5">#REF!</definedName>
    <definedName name="Cnf_ppm_min" localSheetId="4">#REF!</definedName>
    <definedName name="Cnf_ppm_min" localSheetId="3">#REF!</definedName>
    <definedName name="Cnf_ppm_min">#REF!</definedName>
    <definedName name="Dermal_Abs">[1]Dashboard!$F$4</definedName>
    <definedName name="ED_50" localSheetId="9">'[2]Exposure Results'!#REF!</definedName>
    <definedName name="ED_50" localSheetId="0">'[3]Exposure Results'!#REF!</definedName>
    <definedName name="ED_50" localSheetId="1">'[3]Exposure Results'!#REF!</definedName>
    <definedName name="ED_50">'Exposure Results'!#REF!</definedName>
    <definedName name="ED_95" localSheetId="9">'[2]Exposure Results'!#REF!</definedName>
    <definedName name="ED_95" localSheetId="0">'[3]Exposure Results'!#REF!</definedName>
    <definedName name="ED_95" localSheetId="1">'[3]Exposure Results'!#REF!</definedName>
    <definedName name="ED_95">'Exposure Results'!#REF!</definedName>
    <definedName name="ED_acute" localSheetId="9">#REF!</definedName>
    <definedName name="ED_acute" localSheetId="5">#REF!</definedName>
    <definedName name="ED_acute" localSheetId="0">#REF!</definedName>
    <definedName name="ED_acute" localSheetId="4">#REF!</definedName>
    <definedName name="ED_acute" localSheetId="3">#REF!</definedName>
    <definedName name="ED_acute" localSheetId="1">#REF!</definedName>
    <definedName name="ED_acute">#REF!</definedName>
    <definedName name="ED_chronic" localSheetId="9">#REF!</definedName>
    <definedName name="ED_chronic" localSheetId="5">#REF!</definedName>
    <definedName name="ED_chronic" localSheetId="0">#REF!</definedName>
    <definedName name="ED_chronic" localSheetId="4">#REF!</definedName>
    <definedName name="ED_chronic" localSheetId="3">#REF!</definedName>
    <definedName name="ED_chronic" localSheetId="1">#REF!</definedName>
    <definedName name="ED_chronic">#REF!</definedName>
    <definedName name="EF_50">'Exposure Results'!$U$6</definedName>
    <definedName name="EF_95">'Exposure Results'!$T$6</definedName>
    <definedName name="EF_chronic" localSheetId="9">#REF!</definedName>
    <definedName name="EF_chronic" localSheetId="5">#REF!</definedName>
    <definedName name="EF_chronic" localSheetId="0">#REF!</definedName>
    <definedName name="EF_chronic" localSheetId="4">#REF!</definedName>
    <definedName name="EF_chronic" localSheetId="3">#REF!</definedName>
    <definedName name="EF_chronic" localSheetId="1">#REF!</definedName>
    <definedName name="EF_chronic">#REF!</definedName>
    <definedName name="Exposure_Drop_down">'Look-up Values'!$O$6:$O$12</definedName>
    <definedName name="FSA" localSheetId="5">#REF!</definedName>
    <definedName name="FSA" localSheetId="4">#REF!</definedName>
    <definedName name="FSA" localSheetId="3">#REF!</definedName>
    <definedName name="FSA">#REF!</definedName>
    <definedName name="ft_per_cm" localSheetId="5">#REF!</definedName>
    <definedName name="ft_per_cm" localSheetId="4">#REF!</definedName>
    <definedName name="ft_per_cm" localSheetId="3">#REF!</definedName>
    <definedName name="ft_per_cm">#REF!</definedName>
    <definedName name="ft_per_m" localSheetId="5">#REF!</definedName>
    <definedName name="ft_per_m" localSheetId="4">#REF!</definedName>
    <definedName name="ft_per_m" localSheetId="3">#REF!</definedName>
    <definedName name="ft_per_m">#REF!</definedName>
    <definedName name="G_MC" localSheetId="5">#REF!</definedName>
    <definedName name="G_MC" localSheetId="4">#REF!</definedName>
    <definedName name="G_MC" localSheetId="3">#REF!</definedName>
    <definedName name="G_MC">#REF!</definedName>
    <definedName name="g_per_kg" localSheetId="5">#REF!</definedName>
    <definedName name="g_per_kg" localSheetId="4">#REF!</definedName>
    <definedName name="g_per_kg" localSheetId="3">#REF!</definedName>
    <definedName name="g_per_kg">#REF!</definedName>
    <definedName name="HEC_Drop_down">'Look-up Values'!$N$6:$N$8</definedName>
    <definedName name="Hnf_MC" localSheetId="5">#REF!</definedName>
    <definedName name="Hnf_MC" localSheetId="4">#REF!</definedName>
    <definedName name="Hnf_MC" localSheetId="3">#REF!</definedName>
    <definedName name="Hnf_MC">#REF!</definedName>
    <definedName name="Inhal_Abs">[1]Dashboard!$E$4</definedName>
    <definedName name="kcoef1" localSheetId="5">#REF!</definedName>
    <definedName name="kcoef1" localSheetId="0">#REF!</definedName>
    <definedName name="kcoef1" localSheetId="4">#REF!</definedName>
    <definedName name="kcoef1" localSheetId="3">#REF!</definedName>
    <definedName name="kcoef1" localSheetId="1">#REF!</definedName>
    <definedName name="kcoef1">#REF!</definedName>
    <definedName name="kcoef2" localSheetId="5">#REF!</definedName>
    <definedName name="kcoef2" localSheetId="0">#REF!</definedName>
    <definedName name="kcoef2" localSheetId="4">#REF!</definedName>
    <definedName name="kcoef2" localSheetId="3">#REF!</definedName>
    <definedName name="kcoef2" localSheetId="1">#REF!</definedName>
    <definedName name="kcoef2">#REF!</definedName>
    <definedName name="kcoef3" localSheetId="5">#REF!</definedName>
    <definedName name="kcoef3" localSheetId="0">#REF!</definedName>
    <definedName name="kcoef3" localSheetId="4">#REF!</definedName>
    <definedName name="kcoef3" localSheetId="3">#REF!</definedName>
    <definedName name="kcoef3" localSheetId="1">#REF!</definedName>
    <definedName name="kcoef3">#REF!</definedName>
    <definedName name="kcoef4" localSheetId="5">#REF!</definedName>
    <definedName name="kcoef4" localSheetId="4">#REF!</definedName>
    <definedName name="kcoef4" localSheetId="3">#REF!</definedName>
    <definedName name="kcoef4">#REF!</definedName>
    <definedName name="kcoef5" localSheetId="5">#REF!</definedName>
    <definedName name="kcoef5" localSheetId="4">#REF!</definedName>
    <definedName name="kcoef5" localSheetId="3">#REF!</definedName>
    <definedName name="kcoef5">#REF!</definedName>
    <definedName name="LADCff_50pct" localSheetId="5">#REF!</definedName>
    <definedName name="LADCff_50pct" localSheetId="4">#REF!</definedName>
    <definedName name="LADCff_50pct" localSheetId="3">#REF!</definedName>
    <definedName name="LADCff_50pct">#REF!</definedName>
    <definedName name="LADCff_5pct" localSheetId="5">#REF!</definedName>
    <definedName name="LADCff_5pct" localSheetId="4">#REF!</definedName>
    <definedName name="LADCff_5pct" localSheetId="3">#REF!</definedName>
    <definedName name="LADCff_5pct">#REF!</definedName>
    <definedName name="LADCff_95pct" localSheetId="5">#REF!</definedName>
    <definedName name="LADCff_95pct" localSheetId="4">#REF!</definedName>
    <definedName name="LADCff_95pct" localSheetId="3">#REF!</definedName>
    <definedName name="LADCff_95pct">#REF!</definedName>
    <definedName name="LADCff_99pct" localSheetId="5">#REF!</definedName>
    <definedName name="LADCff_99pct" localSheetId="4">#REF!</definedName>
    <definedName name="LADCff_99pct" localSheetId="3">#REF!</definedName>
    <definedName name="LADCff_99pct">#REF!</definedName>
    <definedName name="LADCff_max" localSheetId="5">#REF!</definedName>
    <definedName name="LADCff_max" localSheetId="4">#REF!</definedName>
    <definedName name="LADCff_max" localSheetId="3">#REF!</definedName>
    <definedName name="LADCff_max">#REF!</definedName>
    <definedName name="LADCff_mean" localSheetId="5">#REF!</definedName>
    <definedName name="LADCff_mean" localSheetId="4">#REF!</definedName>
    <definedName name="LADCff_mean" localSheetId="3">#REF!</definedName>
    <definedName name="LADCff_mean">#REF!</definedName>
    <definedName name="LADCff_min" localSheetId="5">#REF!</definedName>
    <definedName name="LADCff_min" localSheetId="4">#REF!</definedName>
    <definedName name="LADCff_min" localSheetId="3">#REF!</definedName>
    <definedName name="LADCff_min">#REF!</definedName>
    <definedName name="LADCnf_50pct" localSheetId="5">#REF!</definedName>
    <definedName name="LADCnf_50pct" localSheetId="4">#REF!</definedName>
    <definedName name="LADCnf_50pct" localSheetId="3">#REF!</definedName>
    <definedName name="LADCnf_50pct">#REF!</definedName>
    <definedName name="LADCnf_5pct" localSheetId="5">#REF!</definedName>
    <definedName name="LADCnf_5pct" localSheetId="4">#REF!</definedName>
    <definedName name="LADCnf_5pct" localSheetId="3">#REF!</definedName>
    <definedName name="LADCnf_5pct">#REF!</definedName>
    <definedName name="LADCnf_95pct" localSheetId="5">#REF!</definedName>
    <definedName name="LADCnf_95pct" localSheetId="4">#REF!</definedName>
    <definedName name="LADCnf_95pct" localSheetId="3">#REF!</definedName>
    <definedName name="LADCnf_95pct">#REF!</definedName>
    <definedName name="LADCnf_99pct" localSheetId="5">#REF!</definedName>
    <definedName name="LADCnf_99pct" localSheetId="4">#REF!</definedName>
    <definedName name="LADCnf_99pct" localSheetId="3">#REF!</definedName>
    <definedName name="LADCnf_99pct">#REF!</definedName>
    <definedName name="LADCnf_max" localSheetId="5">#REF!</definedName>
    <definedName name="LADCnf_max" localSheetId="4">#REF!</definedName>
    <definedName name="LADCnf_max" localSheetId="3">#REF!</definedName>
    <definedName name="LADCnf_max">#REF!</definedName>
    <definedName name="LADCnf_mean" localSheetId="5">#REF!</definedName>
    <definedName name="LADCnf_mean" localSheetId="4">#REF!</definedName>
    <definedName name="LADCnf_mean" localSheetId="3">#REF!</definedName>
    <definedName name="LADCnf_mean">#REF!</definedName>
    <definedName name="LADCnf_min" localSheetId="5">#REF!</definedName>
    <definedName name="LADCnf_min" localSheetId="4">#REF!</definedName>
    <definedName name="LADCnf_min" localSheetId="3">#REF!</definedName>
    <definedName name="LADCnf_min">#REF!</definedName>
    <definedName name="lambda1" localSheetId="5">#REF!</definedName>
    <definedName name="lambda1" localSheetId="4">#REF!</definedName>
    <definedName name="lambda1" localSheetId="3">#REF!</definedName>
    <definedName name="lambda1">#REF!</definedName>
    <definedName name="lambda2" localSheetId="5">#REF!</definedName>
    <definedName name="lambda2" localSheetId="4">#REF!</definedName>
    <definedName name="lambda2" localSheetId="3">#REF!</definedName>
    <definedName name="lambda2">#REF!</definedName>
    <definedName name="large_EF" localSheetId="5">#REF!</definedName>
    <definedName name="large_EF" localSheetId="4">#REF!</definedName>
    <definedName name="large_EF" localSheetId="3">#REF!</definedName>
    <definedName name="large_EF">#REF!</definedName>
    <definedName name="large_OH" localSheetId="5">#REF!</definedName>
    <definedName name="large_OH" localSheetId="4">#REF!</definedName>
    <definedName name="large_OH" localSheetId="3">#REF!</definedName>
    <definedName name="large_OH">#REF!</definedName>
    <definedName name="large_SAI" localSheetId="5">#REF!</definedName>
    <definedName name="large_SAI" localSheetId="4">#REF!</definedName>
    <definedName name="large_SAI" localSheetId="3">#REF!</definedName>
    <definedName name="large_SAI">#REF!</definedName>
    <definedName name="Lnf_MC" localSheetId="5">#REF!</definedName>
    <definedName name="Lnf_MC" localSheetId="4">#REF!</definedName>
    <definedName name="Lnf_MC" localSheetId="3">#REF!</definedName>
    <definedName name="Lnf_MC">#REF!</definedName>
    <definedName name="LT_cancer" localSheetId="5">#REF!</definedName>
    <definedName name="LT_cancer" localSheetId="4">#REF!</definedName>
    <definedName name="LT_cancer" localSheetId="3">#REF!</definedName>
    <definedName name="LT_cancer">#REF!</definedName>
    <definedName name="LT_noncancer" localSheetId="5">#REF!</definedName>
    <definedName name="LT_noncancer" localSheetId="4">#REF!</definedName>
    <definedName name="LT_noncancer" localSheetId="3">#REF!</definedName>
    <definedName name="LT_noncancer">#REF!</definedName>
    <definedName name="MC_On_Off" localSheetId="5">#REF!</definedName>
    <definedName name="MC_On_Off" localSheetId="4">#REF!</definedName>
    <definedName name="MC_On_Off" localSheetId="3">#REF!</definedName>
    <definedName name="MC_On_Off">#REF!</definedName>
    <definedName name="medium_EF" localSheetId="5">#REF!</definedName>
    <definedName name="medium_EF" localSheetId="4">#REF!</definedName>
    <definedName name="medium_EF" localSheetId="3">#REF!</definedName>
    <definedName name="medium_EF">#REF!</definedName>
    <definedName name="medium_OH" localSheetId="5">#REF!</definedName>
    <definedName name="medium_OH" localSheetId="4">#REF!</definedName>
    <definedName name="medium_OH" localSheetId="3">#REF!</definedName>
    <definedName name="medium_OH">#REF!</definedName>
    <definedName name="medium_SAI_high" localSheetId="5">#REF!</definedName>
    <definedName name="medium_SAI_high" localSheetId="4">#REF!</definedName>
    <definedName name="medium_SAI_high" localSheetId="3">#REF!</definedName>
    <definedName name="medium_SAI_high">#REF!</definedName>
    <definedName name="medium_SAI_low" localSheetId="5">#REF!</definedName>
    <definedName name="medium_SAI_low" localSheetId="4">#REF!</definedName>
    <definedName name="medium_SAI_low" localSheetId="3">#REF!</definedName>
    <definedName name="medium_SAI_low">#REF!</definedName>
    <definedName name="mg_per_gram" localSheetId="5">#REF!</definedName>
    <definedName name="mg_per_gram" localSheetId="4">#REF!</definedName>
    <definedName name="mg_per_gram" localSheetId="3">#REF!</definedName>
    <definedName name="mg_per_gram">#REF!</definedName>
    <definedName name="min_per_hr" localSheetId="5">#REF!</definedName>
    <definedName name="min_per_hr" localSheetId="4">#REF!</definedName>
    <definedName name="min_per_hr" localSheetId="3">#REF!</definedName>
    <definedName name="min_per_hr">#REF!</definedName>
    <definedName name="month_per_yr" localSheetId="5">#REF!</definedName>
    <definedName name="month_per_yr" localSheetId="4">#REF!</definedName>
    <definedName name="month_per_yr" localSheetId="3">#REF!</definedName>
    <definedName name="month_per_yr">#REF!</definedName>
    <definedName name="MW" localSheetId="5">#REF!</definedName>
    <definedName name="MW" localSheetId="4">#REF!</definedName>
    <definedName name="MW" localSheetId="3">#REF!</definedName>
    <definedName name="MW">#REF!</definedName>
    <definedName name="NESHAP" localSheetId="5">#REF!</definedName>
    <definedName name="NESHAP" localSheetId="4">#REF!</definedName>
    <definedName name="NESHAP" localSheetId="3">#REF!</definedName>
    <definedName name="NESHAP">#REF!</definedName>
    <definedName name="OD_MC" localSheetId="5">#REF!</definedName>
    <definedName name="OD_MC" localSheetId="4">#REF!</definedName>
    <definedName name="OD_MC" localSheetId="3">#REF!</definedName>
    <definedName name="OD_MC">#REF!</definedName>
    <definedName name="OH_MC" localSheetId="5">#REF!</definedName>
    <definedName name="OH_MC" localSheetId="4">#REF!</definedName>
    <definedName name="OH_MC" localSheetId="3">#REF!</definedName>
    <definedName name="OH_MC">#REF!</definedName>
    <definedName name="Pal_Workbook_GUID" hidden="1">"QFFA8IQU6YFGRFCXE7L4LIWR"</definedName>
    <definedName name="Press" localSheetId="9">#REF!</definedName>
    <definedName name="Press" localSheetId="5">#REF!</definedName>
    <definedName name="Press" localSheetId="0">#REF!</definedName>
    <definedName name="Press" localSheetId="4">#REF!</definedName>
    <definedName name="Press" localSheetId="3">#REF!</definedName>
    <definedName name="Press" localSheetId="1">#REF!</definedName>
    <definedName name="Press">#REF!</definedName>
    <definedName name="_xlnm.Print_Area" localSheetId="7">Dermal!$A$1:$S$133</definedName>
    <definedName name="Qff" localSheetId="9">#REF!</definedName>
    <definedName name="Qff" localSheetId="5">#REF!</definedName>
    <definedName name="Qff" localSheetId="0">#REF!</definedName>
    <definedName name="Qff" localSheetId="4">#REF!</definedName>
    <definedName name="Qff" localSheetId="3">#REF!</definedName>
    <definedName name="Qff" localSheetId="1">#REF!</definedName>
    <definedName name="Qff">#REF!</definedName>
    <definedName name="Qnf" localSheetId="9">#REF!</definedName>
    <definedName name="Qnf" localSheetId="5">#REF!</definedName>
    <definedName name="Qnf" localSheetId="0">#REF!</definedName>
    <definedName name="Qnf" localSheetId="4">#REF!</definedName>
    <definedName name="Qnf" localSheetId="3">#REF!</definedName>
    <definedName name="Qnf" localSheetId="1">#REF!</definedName>
    <definedName name="Qnf">#REF!</definedName>
    <definedName name="Rgas" localSheetId="5">#REF!</definedName>
    <definedName name="Rgas" localSheetId="4">#REF!</definedName>
    <definedName name="Rgas" localSheetId="3">#REF!</definedName>
    <definedName name="Rgas">#REF!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M_Drop_down" localSheetId="9">#REF!</definedName>
    <definedName name="RM_Drop_down" localSheetId="5">#REF!</definedName>
    <definedName name="RM_Drop_down" localSheetId="0">#REF!</definedName>
    <definedName name="RM_Drop_down" localSheetId="4">#REF!</definedName>
    <definedName name="RM_Drop_down" localSheetId="3">#REF!</definedName>
    <definedName name="RM_Drop_down" localSheetId="1">#REF!</definedName>
    <definedName name="RM_Drop_down">#REF!</definedName>
    <definedName name="s_per_hr" localSheetId="9">#REF!</definedName>
    <definedName name="s_per_hr" localSheetId="5">#REF!</definedName>
    <definedName name="s_per_hr" localSheetId="0">#REF!</definedName>
    <definedName name="s_per_hr" localSheetId="4">#REF!</definedName>
    <definedName name="s_per_hr" localSheetId="3">#REF!</definedName>
    <definedName name="s_per_hr" localSheetId="1">#REF!</definedName>
    <definedName name="s_per_hr">#REF!</definedName>
    <definedName name="small_EF" localSheetId="9">#REF!</definedName>
    <definedName name="small_EF" localSheetId="5">#REF!</definedName>
    <definedName name="small_EF" localSheetId="0">#REF!</definedName>
    <definedName name="small_EF" localSheetId="4">#REF!</definedName>
    <definedName name="small_EF" localSheetId="3">#REF!</definedName>
    <definedName name="small_EF" localSheetId="1">#REF!</definedName>
    <definedName name="small_EF">#REF!</definedName>
    <definedName name="small_OH" localSheetId="5">#REF!</definedName>
    <definedName name="small_OH" localSheetId="4">#REF!</definedName>
    <definedName name="small_OH" localSheetId="3">#REF!</definedName>
    <definedName name="small_OH">#REF!</definedName>
    <definedName name="small_SAI_high" localSheetId="5">#REF!</definedName>
    <definedName name="small_SAI_high" localSheetId="4">#REF!</definedName>
    <definedName name="small_SAI_high" localSheetId="3">#REF!</definedName>
    <definedName name="small_SAI_high">#REF!</definedName>
    <definedName name="small_SAI_low" localSheetId="5">#REF!</definedName>
    <definedName name="small_SAI_low" localSheetId="4">#REF!</definedName>
    <definedName name="small_SAI_low" localSheetId="3">#REF!</definedName>
    <definedName name="small_SAI_low">#REF!</definedName>
    <definedName name="t1_MC" localSheetId="5">#REF!</definedName>
    <definedName name="t1_MC" localSheetId="4">#REF!</definedName>
    <definedName name="t1_MC" localSheetId="3">#REF!</definedName>
    <definedName name="t1_MC">#REF!</definedName>
    <definedName name="t2_MC" localSheetId="5">#REF!</definedName>
    <definedName name="t2_MC" localSheetId="4">#REF!</definedName>
    <definedName name="t2_MC" localSheetId="3">#REF!</definedName>
    <definedName name="t2_MC">#REF!</definedName>
    <definedName name="Target_Cancer_Drop_down">'Look-up Values'!$P$6:$P$8</definedName>
    <definedName name="tavg_MC" localSheetId="5">#REF!</definedName>
    <definedName name="tavg_MC" localSheetId="4">#REF!</definedName>
    <definedName name="tavg_MC" localSheetId="3">#REF!</definedName>
    <definedName name="tavg_MC">#REF!</definedName>
    <definedName name="Temp" localSheetId="5">#REF!</definedName>
    <definedName name="Temp" localSheetId="4">#REF!</definedName>
    <definedName name="Temp" localSheetId="3">#REF!</definedName>
    <definedName name="Temp">#REF!</definedName>
    <definedName name="Vff_conv" localSheetId="5">#REF!</definedName>
    <definedName name="Vff_conv" localSheetId="0">#REF!</definedName>
    <definedName name="Vff_conv" localSheetId="4">#REF!</definedName>
    <definedName name="Vff_conv" localSheetId="3">#REF!</definedName>
    <definedName name="Vff_conv" localSheetId="1">#REF!</definedName>
    <definedName name="Vff_conv">#REF!</definedName>
    <definedName name="Vff_MC" localSheetId="5">#REF!</definedName>
    <definedName name="Vff_MC" localSheetId="0">#REF!</definedName>
    <definedName name="Vff_MC" localSheetId="4">#REF!</definedName>
    <definedName name="Vff_MC" localSheetId="3">#REF!</definedName>
    <definedName name="Vff_MC" localSheetId="1">#REF!</definedName>
    <definedName name="Vff_MC">#REF!</definedName>
    <definedName name="Vnf" localSheetId="5">#REF!</definedName>
    <definedName name="Vnf" localSheetId="0">#REF!</definedName>
    <definedName name="Vnf" localSheetId="4">#REF!</definedName>
    <definedName name="Vnf" localSheetId="3">#REF!</definedName>
    <definedName name="Vnf" localSheetId="1">#REF!</definedName>
    <definedName name="Vnf">#REF!</definedName>
    <definedName name="Wnf_MC" localSheetId="5">#REF!</definedName>
    <definedName name="Wnf_MC" localSheetId="4">#REF!</definedName>
    <definedName name="Wnf_MC" localSheetId="3">#REF!</definedName>
    <definedName name="Wnf_MC">#REF!</definedName>
    <definedName name="WY_50">'Exposure Results'!$U$9</definedName>
    <definedName name="WY_95">'Exposure Results'!$T$9</definedName>
    <definedName name="WY_chronic" localSheetId="5">#REF!</definedName>
    <definedName name="WY_chronic" localSheetId="4">#REF!</definedName>
    <definedName name="WY_chronic" localSheetId="3">#REF!</definedName>
    <definedName name="WY_chronic">#REF!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5" i="38" l="1"/>
  <c r="R14" i="38"/>
  <c r="R13" i="38"/>
  <c r="R12" i="38"/>
  <c r="R11" i="38"/>
  <c r="R10" i="38"/>
  <c r="Q15" i="38"/>
  <c r="Q14" i="38"/>
  <c r="Q13" i="38"/>
  <c r="Q12" i="38"/>
  <c r="Q11" i="38"/>
  <c r="Q10" i="38"/>
  <c r="P15" i="38"/>
  <c r="P14" i="38"/>
  <c r="P13" i="38"/>
  <c r="P12" i="38"/>
  <c r="P11" i="38"/>
  <c r="P10" i="38"/>
  <c r="O15" i="38"/>
  <c r="O14" i="38"/>
  <c r="O13" i="38"/>
  <c r="O12" i="38"/>
  <c r="O11" i="38"/>
  <c r="O10" i="38"/>
  <c r="H15" i="38"/>
  <c r="H14" i="38"/>
  <c r="H13" i="38"/>
  <c r="H12" i="38"/>
  <c r="H11" i="38"/>
  <c r="H10" i="38"/>
  <c r="G15" i="38"/>
  <c r="G14" i="38"/>
  <c r="G13" i="38"/>
  <c r="G12" i="38"/>
  <c r="G11" i="38"/>
  <c r="G10" i="38"/>
  <c r="F15" i="38"/>
  <c r="F14" i="38"/>
  <c r="F13" i="38"/>
  <c r="F12" i="38"/>
  <c r="F11" i="38"/>
  <c r="F10" i="38"/>
  <c r="E15" i="38"/>
  <c r="E14" i="38"/>
  <c r="E13" i="38"/>
  <c r="E12" i="38"/>
  <c r="E11" i="38"/>
  <c r="E10" i="38"/>
  <c r="N36" i="38" l="1"/>
  <c r="D36" i="38"/>
  <c r="C60" i="40"/>
  <c r="C58" i="40"/>
  <c r="C41" i="40"/>
  <c r="C39" i="40"/>
  <c r="P15" i="40"/>
  <c r="Q13" i="31" l="1"/>
  <c r="O13" i="31"/>
  <c r="Q12" i="31"/>
  <c r="O12" i="31"/>
  <c r="I13" i="31"/>
  <c r="G13" i="31"/>
  <c r="G12" i="31"/>
  <c r="Q11" i="31"/>
  <c r="O11" i="31"/>
  <c r="Q10" i="31"/>
  <c r="O10" i="31"/>
  <c r="I11" i="31"/>
  <c r="G11" i="31"/>
  <c r="G10" i="31"/>
  <c r="G14" i="29"/>
  <c r="G10" i="29"/>
  <c r="D34" i="38" s="1"/>
  <c r="M40" i="37"/>
  <c r="M41" i="37"/>
  <c r="M39" i="37"/>
  <c r="M36" i="37"/>
  <c r="M37" i="37"/>
  <c r="M35" i="37"/>
  <c r="N36" i="37"/>
  <c r="N37" i="37"/>
  <c r="N39" i="37"/>
  <c r="N40" i="37"/>
  <c r="N41" i="37"/>
  <c r="N35" i="37"/>
  <c r="N21" i="37"/>
  <c r="N20" i="37"/>
  <c r="M21" i="37"/>
  <c r="M20" i="37"/>
  <c r="N6" i="37" l="1"/>
  <c r="N7" i="37"/>
  <c r="N8" i="37"/>
  <c r="N9" i="37"/>
  <c r="N10" i="37"/>
  <c r="N11" i="37"/>
  <c r="N12" i="37"/>
  <c r="N13" i="37"/>
  <c r="N14" i="37"/>
  <c r="I13" i="38" s="1"/>
  <c r="N15" i="37"/>
  <c r="S13" i="38" s="1"/>
  <c r="P36" i="38" s="1"/>
  <c r="N16" i="37"/>
  <c r="I14" i="38" s="1"/>
  <c r="N17" i="37"/>
  <c r="S14" i="38" s="1"/>
  <c r="Q36" i="38" s="1"/>
  <c r="N18" i="37"/>
  <c r="I15" i="38" s="1"/>
  <c r="N19" i="37"/>
  <c r="S15" i="38" s="1"/>
  <c r="R36" i="38" s="1"/>
  <c r="N22" i="37"/>
  <c r="N23" i="37"/>
  <c r="N24" i="37"/>
  <c r="N25" i="37"/>
  <c r="N27" i="37"/>
  <c r="N31" i="37"/>
  <c r="N32" i="37"/>
  <c r="N33" i="37"/>
  <c r="N34" i="37"/>
  <c r="N43" i="37"/>
  <c r="N44" i="37"/>
  <c r="N5" i="37"/>
  <c r="I12" i="31" s="1"/>
  <c r="M8" i="37"/>
  <c r="M9" i="37"/>
  <c r="M10" i="37"/>
  <c r="M11" i="37"/>
  <c r="M12" i="37"/>
  <c r="M13" i="37"/>
  <c r="M14" i="37"/>
  <c r="I10" i="38" s="1"/>
  <c r="M15" i="37"/>
  <c r="S10" i="38" s="1"/>
  <c r="P37" i="38" s="1"/>
  <c r="M16" i="37"/>
  <c r="I11" i="38" s="1"/>
  <c r="M17" i="37"/>
  <c r="S11" i="38" s="1"/>
  <c r="Q37" i="38" s="1"/>
  <c r="M18" i="37"/>
  <c r="I12" i="38" s="1"/>
  <c r="M19" i="37"/>
  <c r="S12" i="38" s="1"/>
  <c r="R37" i="38" s="1"/>
  <c r="M22" i="37"/>
  <c r="M23" i="37"/>
  <c r="M24" i="37"/>
  <c r="M25" i="37"/>
  <c r="M27" i="37"/>
  <c r="M31" i="37"/>
  <c r="M32" i="37"/>
  <c r="M33" i="37"/>
  <c r="M34" i="37"/>
  <c r="M43" i="37"/>
  <c r="M44" i="37"/>
  <c r="M7" i="37"/>
  <c r="M5" i="37"/>
  <c r="I10" i="31" s="1"/>
  <c r="H35" i="38" l="1"/>
  <c r="H37" i="38"/>
  <c r="G37" i="38"/>
  <c r="G35" i="38"/>
  <c r="F37" i="38"/>
  <c r="F35" i="38"/>
  <c r="H36" i="38"/>
  <c r="H34" i="38"/>
  <c r="G34" i="38"/>
  <c r="G36" i="38"/>
  <c r="J36" i="38" s="1"/>
  <c r="F36" i="38"/>
  <c r="F34" i="38"/>
  <c r="D30" i="44" l="1"/>
  <c r="D29" i="44"/>
  <c r="M29" i="44" l="1"/>
  <c r="L29" i="44"/>
  <c r="M30" i="44"/>
  <c r="L30" i="44"/>
  <c r="D93" i="44"/>
  <c r="D92" i="44"/>
  <c r="D78" i="44"/>
  <c r="D77" i="44"/>
  <c r="D74" i="44"/>
  <c r="D73" i="44"/>
  <c r="D72" i="44"/>
  <c r="D71" i="44"/>
  <c r="D68" i="44"/>
  <c r="D67" i="44"/>
  <c r="D65" i="44"/>
  <c r="D66" i="44"/>
  <c r="D64" i="44"/>
  <c r="D63" i="44"/>
  <c r="D60" i="44"/>
  <c r="D59" i="44"/>
  <c r="D58" i="44"/>
  <c r="D57" i="44"/>
  <c r="D54" i="44"/>
  <c r="D53" i="44"/>
  <c r="D52" i="44"/>
  <c r="D51" i="44"/>
  <c r="D48" i="44"/>
  <c r="D47" i="44"/>
  <c r="D45" i="44"/>
  <c r="D44" i="44"/>
  <c r="D41" i="44"/>
  <c r="D40" i="44"/>
  <c r="D39" i="44"/>
  <c r="D38" i="44"/>
  <c r="D35" i="44"/>
  <c r="D34" i="44"/>
  <c r="D26" i="44"/>
  <c r="D25" i="44"/>
  <c r="D22" i="44"/>
  <c r="D21" i="44"/>
  <c r="D20" i="44"/>
  <c r="D19" i="44"/>
  <c r="D16" i="44"/>
  <c r="D15" i="44"/>
  <c r="D12" i="44"/>
  <c r="D11" i="44"/>
  <c r="D8" i="44"/>
  <c r="D7" i="44"/>
  <c r="D4" i="44"/>
  <c r="D3" i="44"/>
  <c r="M3" i="44" l="1"/>
  <c r="P3" i="44" s="1"/>
  <c r="L3" i="44"/>
  <c r="M4" i="44"/>
  <c r="L4" i="44"/>
  <c r="M7" i="44"/>
  <c r="L7" i="44"/>
  <c r="M8" i="44"/>
  <c r="L8" i="44"/>
  <c r="M11" i="44"/>
  <c r="L11" i="44"/>
  <c r="M12" i="44"/>
  <c r="L12" i="44"/>
  <c r="M15" i="44"/>
  <c r="L15" i="44"/>
  <c r="M19" i="44"/>
  <c r="L19" i="44"/>
  <c r="M20" i="44"/>
  <c r="L20" i="44"/>
  <c r="M21" i="44"/>
  <c r="L21" i="44"/>
  <c r="M22" i="44"/>
  <c r="L22" i="44"/>
  <c r="M25" i="44"/>
  <c r="L25" i="44"/>
  <c r="M26" i="44"/>
  <c r="L26" i="44"/>
  <c r="M34" i="44"/>
  <c r="L34" i="44"/>
  <c r="M35" i="44"/>
  <c r="L35" i="44"/>
  <c r="M38" i="44"/>
  <c r="L38" i="44"/>
  <c r="M39" i="44"/>
  <c r="L39" i="44"/>
  <c r="M47" i="44"/>
  <c r="L47" i="44"/>
  <c r="M48" i="44"/>
  <c r="L48" i="44"/>
  <c r="M51" i="44"/>
  <c r="L51" i="44"/>
  <c r="M52" i="44"/>
  <c r="L52" i="44"/>
  <c r="M53" i="44"/>
  <c r="L53" i="44"/>
  <c r="M54" i="44"/>
  <c r="L54" i="44"/>
  <c r="M57" i="44"/>
  <c r="L57" i="44"/>
  <c r="M58" i="44"/>
  <c r="L58" i="44"/>
  <c r="M59" i="44"/>
  <c r="S59" i="44" s="1"/>
  <c r="L59" i="44"/>
  <c r="M60" i="44"/>
  <c r="L60" i="44"/>
  <c r="L63" i="44"/>
  <c r="M63" i="44"/>
  <c r="L64" i="44"/>
  <c r="M64" i="44"/>
  <c r="L66" i="44"/>
  <c r="M66" i="44"/>
  <c r="L65" i="44"/>
  <c r="M65" i="44"/>
  <c r="M67" i="44"/>
  <c r="L67" i="44"/>
  <c r="M68" i="44"/>
  <c r="L68" i="44"/>
  <c r="M71" i="44"/>
  <c r="L71" i="44"/>
  <c r="M72" i="44"/>
  <c r="L72" i="44"/>
  <c r="M73" i="44"/>
  <c r="L73" i="44"/>
  <c r="M74" i="44"/>
  <c r="L74" i="44"/>
  <c r="M77" i="44"/>
  <c r="L77" i="44"/>
  <c r="M78" i="44"/>
  <c r="L78" i="44"/>
  <c r="M92" i="44"/>
  <c r="L92" i="44"/>
  <c r="M93" i="44"/>
  <c r="L93" i="44"/>
  <c r="Q79" i="44"/>
  <c r="Q80" i="44"/>
  <c r="Q81" i="44"/>
  <c r="Q82" i="44"/>
  <c r="Q83" i="44"/>
  <c r="Q84" i="44"/>
  <c r="Q85" i="44"/>
  <c r="Q86" i="44"/>
  <c r="Q87" i="44"/>
  <c r="Q88" i="44"/>
  <c r="Q89" i="44"/>
  <c r="Q90" i="44"/>
  <c r="Q91" i="44"/>
  <c r="Q46" i="44"/>
  <c r="Q16" i="44"/>
  <c r="R34" i="44" l="1"/>
  <c r="O34" i="44"/>
  <c r="R64" i="44"/>
  <c r="O64" i="44"/>
  <c r="R60" i="44"/>
  <c r="O60" i="44"/>
  <c r="R63" i="44"/>
  <c r="O63" i="44"/>
  <c r="P48" i="44"/>
  <c r="S48" i="44"/>
  <c r="P64" i="44"/>
  <c r="S64" i="44"/>
  <c r="R47" i="44"/>
  <c r="O47" i="44"/>
  <c r="P35" i="44"/>
  <c r="S35" i="44"/>
  <c r="R4" i="44"/>
  <c r="O4" i="44"/>
  <c r="R35" i="44"/>
  <c r="O35" i="44"/>
  <c r="R59" i="44"/>
  <c r="O59" i="44"/>
  <c r="S3" i="44"/>
  <c r="P15" i="44"/>
  <c r="S15" i="44"/>
  <c r="P60" i="44"/>
  <c r="S60" i="44"/>
  <c r="P63" i="44"/>
  <c r="S63" i="44"/>
  <c r="R3" i="44"/>
  <c r="O3" i="44"/>
  <c r="R15" i="44"/>
  <c r="O15" i="44"/>
  <c r="R48" i="44"/>
  <c r="O48" i="44"/>
  <c r="P4" i="44"/>
  <c r="S4" i="44"/>
  <c r="P34" i="44"/>
  <c r="S34" i="44"/>
  <c r="P47" i="44"/>
  <c r="S47" i="44"/>
  <c r="P59" i="44"/>
  <c r="G17" i="40" l="1"/>
  <c r="G18" i="40"/>
  <c r="G19" i="40"/>
  <c r="G20" i="40"/>
  <c r="G21" i="40"/>
  <c r="G22" i="40"/>
  <c r="G23" i="40"/>
  <c r="G24" i="40"/>
  <c r="G16" i="40"/>
  <c r="F18" i="40"/>
  <c r="F19" i="40"/>
  <c r="F20" i="40"/>
  <c r="F21" i="40"/>
  <c r="F22" i="40"/>
  <c r="F23" i="40"/>
  <c r="F24" i="40"/>
  <c r="F16" i="40"/>
  <c r="F17" i="40"/>
  <c r="F15" i="40"/>
  <c r="I18" i="40"/>
  <c r="I19" i="40"/>
  <c r="I20" i="40"/>
  <c r="I21" i="40"/>
  <c r="I100" i="40" s="1"/>
  <c r="I22" i="40"/>
  <c r="H16" i="40"/>
  <c r="H17" i="40"/>
  <c r="H18" i="40"/>
  <c r="J16" i="40"/>
  <c r="J17" i="40"/>
  <c r="J18" i="40"/>
  <c r="J19" i="40"/>
  <c r="J20" i="40"/>
  <c r="J21" i="40"/>
  <c r="J22" i="40"/>
  <c r="J23" i="40"/>
  <c r="E19" i="40"/>
  <c r="E20" i="40"/>
  <c r="E21" i="40"/>
  <c r="E22" i="40"/>
  <c r="E23" i="40"/>
  <c r="E24" i="40"/>
  <c r="E16" i="40"/>
  <c r="E17" i="40"/>
  <c r="E18" i="40"/>
  <c r="E15" i="40"/>
  <c r="M94" i="44" l="1"/>
  <c r="M23" i="44"/>
  <c r="M27" i="44"/>
  <c r="M31" i="44"/>
  <c r="M17" i="44"/>
  <c r="M5" i="44"/>
  <c r="M9" i="44"/>
  <c r="M13" i="44"/>
  <c r="E43" i="40"/>
  <c r="E39" i="40"/>
  <c r="E41" i="40"/>
  <c r="L94" i="44"/>
  <c r="L31" i="44"/>
  <c r="L23" i="44"/>
  <c r="L27" i="44"/>
  <c r="L17" i="44"/>
  <c r="L5" i="44"/>
  <c r="L9" i="44"/>
  <c r="L13" i="44"/>
  <c r="E124" i="40"/>
  <c r="M50" i="44"/>
  <c r="M37" i="44"/>
  <c r="M43" i="44"/>
  <c r="E63" i="40"/>
  <c r="E59" i="40"/>
  <c r="E61" i="40"/>
  <c r="L50" i="44"/>
  <c r="L43" i="44"/>
  <c r="L37" i="44"/>
  <c r="E127" i="40"/>
  <c r="E48" i="40"/>
  <c r="M49" i="44"/>
  <c r="M36" i="44"/>
  <c r="M42" i="44"/>
  <c r="E62" i="40"/>
  <c r="E58" i="40"/>
  <c r="E60" i="40"/>
  <c r="L49" i="44"/>
  <c r="L42" i="44"/>
  <c r="L36" i="44"/>
  <c r="E126" i="40"/>
  <c r="M95" i="44"/>
  <c r="M18" i="44"/>
  <c r="M24" i="44"/>
  <c r="M28" i="44"/>
  <c r="M32" i="44"/>
  <c r="M6" i="44"/>
  <c r="M10" i="44"/>
  <c r="M14" i="44"/>
  <c r="E44" i="40"/>
  <c r="E40" i="40"/>
  <c r="E42" i="40"/>
  <c r="L95" i="44"/>
  <c r="L32" i="44"/>
  <c r="L18" i="44"/>
  <c r="L24" i="44"/>
  <c r="L28" i="44"/>
  <c r="L6" i="44"/>
  <c r="L10" i="44"/>
  <c r="L14" i="44"/>
  <c r="E125" i="40"/>
  <c r="M56" i="44"/>
  <c r="E118" i="40"/>
  <c r="E116" i="40"/>
  <c r="M55" i="44"/>
  <c r="E117" i="40"/>
  <c r="E115" i="40"/>
  <c r="L55" i="44"/>
  <c r="E132" i="40"/>
  <c r="N55" i="44" s="1"/>
  <c r="Q55" i="44" s="1"/>
  <c r="M70" i="44"/>
  <c r="M76" i="44"/>
  <c r="E99" i="40"/>
  <c r="E101" i="40"/>
  <c r="E97" i="40"/>
  <c r="L76" i="44"/>
  <c r="L70" i="44"/>
  <c r="E131" i="40"/>
  <c r="M69" i="44"/>
  <c r="M75" i="44"/>
  <c r="E98" i="40"/>
  <c r="E100" i="40"/>
  <c r="E96" i="40"/>
  <c r="L75" i="44"/>
  <c r="L69" i="44"/>
  <c r="E130" i="40"/>
  <c r="M62" i="44"/>
  <c r="E80" i="40"/>
  <c r="E82" i="40"/>
  <c r="E78" i="40"/>
  <c r="E74" i="40"/>
  <c r="L62" i="44"/>
  <c r="E129" i="40"/>
  <c r="N62" i="44" s="1"/>
  <c r="M61" i="44"/>
  <c r="E81" i="40"/>
  <c r="E79" i="40"/>
  <c r="E77" i="40"/>
  <c r="L61" i="44"/>
  <c r="E128" i="40"/>
  <c r="N61" i="44" s="1"/>
  <c r="Q61" i="44" s="1"/>
  <c r="H59" i="40"/>
  <c r="H61" i="40"/>
  <c r="H127" i="40"/>
  <c r="H58" i="40"/>
  <c r="H60" i="40"/>
  <c r="H126" i="40"/>
  <c r="H40" i="40"/>
  <c r="H42" i="40"/>
  <c r="H125" i="40"/>
  <c r="F39" i="40"/>
  <c r="F41" i="40"/>
  <c r="F124" i="40"/>
  <c r="F58" i="40"/>
  <c r="F60" i="40"/>
  <c r="F126" i="40"/>
  <c r="F40" i="40"/>
  <c r="F42" i="40"/>
  <c r="F125" i="40"/>
  <c r="F133" i="40"/>
  <c r="F118" i="40"/>
  <c r="F116" i="40"/>
  <c r="F117" i="40"/>
  <c r="F115" i="40"/>
  <c r="F132" i="40"/>
  <c r="F99" i="40"/>
  <c r="F97" i="40"/>
  <c r="F131" i="40"/>
  <c r="F100" i="40"/>
  <c r="F98" i="40"/>
  <c r="F96" i="40"/>
  <c r="F130" i="40"/>
  <c r="F80" i="40"/>
  <c r="F78" i="40"/>
  <c r="F129" i="40"/>
  <c r="F79" i="40"/>
  <c r="F77" i="40"/>
  <c r="F128" i="40"/>
  <c r="F59" i="40"/>
  <c r="F61" i="40"/>
  <c r="F127" i="40"/>
  <c r="G40" i="40"/>
  <c r="G42" i="40"/>
  <c r="G125" i="40"/>
  <c r="G133" i="40"/>
  <c r="G118" i="40"/>
  <c r="G116" i="40"/>
  <c r="G117" i="40"/>
  <c r="G115" i="40"/>
  <c r="G132" i="40"/>
  <c r="G99" i="40"/>
  <c r="G97" i="40"/>
  <c r="G131" i="40"/>
  <c r="G100" i="40"/>
  <c r="G98" i="40"/>
  <c r="G96" i="40"/>
  <c r="G130" i="40"/>
  <c r="G80" i="40"/>
  <c r="G78" i="40"/>
  <c r="G129" i="40"/>
  <c r="G79" i="40"/>
  <c r="G77" i="40"/>
  <c r="G128" i="40"/>
  <c r="G59" i="40"/>
  <c r="G61" i="40"/>
  <c r="G127" i="40"/>
  <c r="G58" i="40"/>
  <c r="G60" i="40"/>
  <c r="G126" i="40"/>
  <c r="L56" i="44"/>
  <c r="E133" i="40"/>
  <c r="N56" i="44" s="1"/>
  <c r="F107" i="40"/>
  <c r="F105" i="40"/>
  <c r="F119" i="40"/>
  <c r="F113" i="40"/>
  <c r="F109" i="40"/>
  <c r="F111" i="40"/>
  <c r="G119" i="40"/>
  <c r="G111" i="40"/>
  <c r="G109" i="40"/>
  <c r="G107" i="40"/>
  <c r="G105" i="40"/>
  <c r="G113" i="40"/>
  <c r="E30" i="40"/>
  <c r="I129" i="40"/>
  <c r="I76" i="40"/>
  <c r="I68" i="40"/>
  <c r="I82" i="40"/>
  <c r="I74" i="40"/>
  <c r="I70" i="40"/>
  <c r="I80" i="40"/>
  <c r="I72" i="40"/>
  <c r="I78" i="40"/>
  <c r="F101" i="40"/>
  <c r="F95" i="40"/>
  <c r="F93" i="40"/>
  <c r="F91" i="40"/>
  <c r="F89" i="40"/>
  <c r="F87" i="40"/>
  <c r="F55" i="40"/>
  <c r="F49" i="40"/>
  <c r="F63" i="40"/>
  <c r="F53" i="40"/>
  <c r="F51" i="40"/>
  <c r="F57" i="40"/>
  <c r="G101" i="40"/>
  <c r="G93" i="40"/>
  <c r="G89" i="40"/>
  <c r="G95" i="40"/>
  <c r="G91" i="40"/>
  <c r="G87" i="40"/>
  <c r="G57" i="40"/>
  <c r="G53" i="40"/>
  <c r="G55" i="40"/>
  <c r="G49" i="40"/>
  <c r="G63" i="40"/>
  <c r="G51" i="40"/>
  <c r="E114" i="40"/>
  <c r="E110" i="40"/>
  <c r="E108" i="40"/>
  <c r="E120" i="40"/>
  <c r="E112" i="40"/>
  <c r="E106" i="40"/>
  <c r="H44" i="40"/>
  <c r="F38" i="40"/>
  <c r="E93" i="40"/>
  <c r="E89" i="40"/>
  <c r="E95" i="40"/>
  <c r="E91" i="40"/>
  <c r="E87" i="40"/>
  <c r="H63" i="40"/>
  <c r="H51" i="40"/>
  <c r="H49" i="40"/>
  <c r="H57" i="40"/>
  <c r="H55" i="40"/>
  <c r="H53" i="40"/>
  <c r="E31" i="40"/>
  <c r="E70" i="40"/>
  <c r="E68" i="40"/>
  <c r="E72" i="40"/>
  <c r="E76" i="40"/>
  <c r="E55" i="40"/>
  <c r="E57" i="40"/>
  <c r="E53" i="40"/>
  <c r="E51" i="40"/>
  <c r="E49" i="40"/>
  <c r="E113" i="40"/>
  <c r="E105" i="40"/>
  <c r="E119" i="40"/>
  <c r="E111" i="40"/>
  <c r="E107" i="40"/>
  <c r="E109" i="40"/>
  <c r="I131" i="40"/>
  <c r="I101" i="40"/>
  <c r="I95" i="40"/>
  <c r="I93" i="40"/>
  <c r="I91" i="40"/>
  <c r="I89" i="40"/>
  <c r="I87" i="40"/>
  <c r="I97" i="40"/>
  <c r="I99" i="40"/>
  <c r="I127" i="40"/>
  <c r="I61" i="40"/>
  <c r="I53" i="40"/>
  <c r="I49" i="40"/>
  <c r="I59" i="40"/>
  <c r="I51" i="40"/>
  <c r="I57" i="40"/>
  <c r="I63" i="40"/>
  <c r="I55" i="40"/>
  <c r="F120" i="40"/>
  <c r="F112" i="40"/>
  <c r="F114" i="40"/>
  <c r="F106" i="40"/>
  <c r="F110" i="40"/>
  <c r="F108" i="40"/>
  <c r="F82" i="40"/>
  <c r="F74" i="40"/>
  <c r="F72" i="40"/>
  <c r="F76" i="40"/>
  <c r="F68" i="40"/>
  <c r="F70" i="40"/>
  <c r="G110" i="40"/>
  <c r="G108" i="40"/>
  <c r="G120" i="40"/>
  <c r="G112" i="40"/>
  <c r="G114" i="40"/>
  <c r="G106" i="40"/>
  <c r="G72" i="40"/>
  <c r="G82" i="40"/>
  <c r="G74" i="40"/>
  <c r="G70" i="40"/>
  <c r="G76" i="40"/>
  <c r="G68" i="40"/>
  <c r="G30" i="40"/>
  <c r="E34" i="40"/>
  <c r="F44" i="40"/>
  <c r="E32" i="40"/>
  <c r="E36" i="40"/>
  <c r="E38" i="40"/>
  <c r="F30" i="40"/>
  <c r="G32" i="40"/>
  <c r="H34" i="40"/>
  <c r="H36" i="40"/>
  <c r="H38" i="40"/>
  <c r="G44" i="40"/>
  <c r="E29" i="40"/>
  <c r="H30" i="40"/>
  <c r="F32" i="40"/>
  <c r="G34" i="40"/>
  <c r="G36" i="40"/>
  <c r="G38" i="40"/>
  <c r="H32" i="40"/>
  <c r="F34" i="40"/>
  <c r="F36" i="40"/>
  <c r="Q62" i="44" l="1"/>
  <c r="T62" i="44"/>
  <c r="N75" i="44"/>
  <c r="Q75" i="44" s="1"/>
  <c r="N69" i="44"/>
  <c r="Q69" i="44" s="1"/>
  <c r="N76" i="44"/>
  <c r="Q76" i="44" s="1"/>
  <c r="N70" i="44"/>
  <c r="Q70" i="44" s="1"/>
  <c r="N32" i="44"/>
  <c r="N24" i="44"/>
  <c r="N28" i="44"/>
  <c r="N6" i="44"/>
  <c r="N10" i="44"/>
  <c r="N14" i="44"/>
  <c r="N18" i="44"/>
  <c r="N95" i="44"/>
  <c r="N42" i="44"/>
  <c r="Q42" i="44" s="1"/>
  <c r="N49" i="44"/>
  <c r="Q49" i="44" s="1"/>
  <c r="N36" i="44"/>
  <c r="Q36" i="44" s="1"/>
  <c r="N37" i="44"/>
  <c r="N43" i="44"/>
  <c r="N50" i="44"/>
  <c r="N23" i="44"/>
  <c r="Q23" i="44" s="1"/>
  <c r="N27" i="44"/>
  <c r="Q27" i="44" s="1"/>
  <c r="N9" i="44"/>
  <c r="Q9" i="44" s="1"/>
  <c r="N31" i="44"/>
  <c r="Q31" i="44" s="1"/>
  <c r="N94" i="44"/>
  <c r="Q94" i="44" s="1"/>
  <c r="N17" i="44"/>
  <c r="Q17" i="44" s="1"/>
  <c r="N5" i="44"/>
  <c r="Q5" i="44" s="1"/>
  <c r="N13" i="44"/>
  <c r="Q13" i="44" s="1"/>
  <c r="T56" i="44"/>
  <c r="Q56" i="44"/>
  <c r="I9" i="43"/>
  <c r="H9" i="43"/>
  <c r="I8" i="43"/>
  <c r="H8" i="43"/>
  <c r="T50" i="44" l="1"/>
  <c r="Q50" i="44"/>
  <c r="Q43" i="44"/>
  <c r="T43" i="44"/>
  <c r="T37" i="44"/>
  <c r="Q37" i="44"/>
  <c r="Q95" i="44"/>
  <c r="T95" i="44"/>
  <c r="Q18" i="44"/>
  <c r="T18" i="44"/>
  <c r="Q14" i="44"/>
  <c r="T14" i="44"/>
  <c r="Q10" i="44"/>
  <c r="T10" i="44"/>
  <c r="T6" i="44"/>
  <c r="Q6" i="44"/>
  <c r="Q28" i="44"/>
  <c r="T28" i="44"/>
  <c r="T24" i="44"/>
  <c r="Q24" i="44"/>
  <c r="T32" i="44"/>
  <c r="Q32" i="44"/>
  <c r="I41" i="43"/>
  <c r="H41" i="43"/>
  <c r="I149" i="41" l="1"/>
  <c r="I148" i="41"/>
  <c r="I139" i="41"/>
  <c r="I138" i="41"/>
  <c r="I131" i="41"/>
  <c r="I130" i="41"/>
  <c r="I121" i="41"/>
  <c r="I120" i="41"/>
  <c r="I113" i="41"/>
  <c r="I112" i="41"/>
  <c r="I103" i="41"/>
  <c r="I102" i="41"/>
  <c r="I95" i="41"/>
  <c r="I94" i="41"/>
  <c r="I85" i="41"/>
  <c r="I84" i="41"/>
  <c r="I77" i="41"/>
  <c r="I76" i="41"/>
  <c r="I67" i="41"/>
  <c r="I66" i="41"/>
  <c r="I59" i="41"/>
  <c r="I58" i="41"/>
  <c r="I49" i="41"/>
  <c r="I48" i="41"/>
  <c r="I40" i="41"/>
  <c r="I39" i="41"/>
  <c r="I30" i="41"/>
  <c r="I29" i="41"/>
  <c r="I22" i="41"/>
  <c r="I21" i="41"/>
  <c r="I12" i="41"/>
  <c r="I11" i="41"/>
  <c r="I10" i="41"/>
  <c r="S26" i="38"/>
  <c r="S18" i="38"/>
  <c r="I26" i="38"/>
  <c r="I18" i="38"/>
  <c r="P25" i="31"/>
  <c r="P17" i="31"/>
  <c r="H25" i="31"/>
  <c r="H17" i="31"/>
  <c r="I128" i="40" l="1"/>
  <c r="I130" i="40"/>
  <c r="I17" i="40"/>
  <c r="I126" i="40" s="1"/>
  <c r="G15" i="40"/>
  <c r="H15" i="40"/>
  <c r="H39" i="40" l="1"/>
  <c r="H41" i="40"/>
  <c r="H124" i="40"/>
  <c r="G39" i="40"/>
  <c r="G41" i="40"/>
  <c r="G124" i="40"/>
  <c r="E33" i="40"/>
  <c r="J24" i="40" l="1"/>
  <c r="J15" i="40"/>
  <c r="I37" i="31" l="1"/>
  <c r="K12" i="29" l="1"/>
  <c r="N59" i="44" l="1"/>
  <c r="N52" i="44"/>
  <c r="Q52" i="44" s="1"/>
  <c r="N51" i="44"/>
  <c r="Q51" i="44" s="1"/>
  <c r="N93" i="44"/>
  <c r="N92" i="44"/>
  <c r="Q92" i="44" s="1"/>
  <c r="N67" i="44"/>
  <c r="Q67" i="44" s="1"/>
  <c r="N68" i="44"/>
  <c r="Q68" i="44" s="1"/>
  <c r="N71" i="44"/>
  <c r="Q71" i="44" s="1"/>
  <c r="N72" i="44"/>
  <c r="Q72" i="44" s="1"/>
  <c r="N73" i="44"/>
  <c r="Q73" i="44" s="1"/>
  <c r="N74" i="44"/>
  <c r="Q74" i="44" s="1"/>
  <c r="N77" i="44"/>
  <c r="Q77" i="44" s="1"/>
  <c r="N78" i="44"/>
  <c r="Q78" i="44" s="1"/>
  <c r="N63" i="44"/>
  <c r="N64" i="44"/>
  <c r="N65" i="44"/>
  <c r="Q65" i="44" s="1"/>
  <c r="N66" i="44"/>
  <c r="Q66" i="44" s="1"/>
  <c r="N53" i="44"/>
  <c r="Q53" i="44" s="1"/>
  <c r="N54" i="44"/>
  <c r="Q54" i="44" s="1"/>
  <c r="N57" i="44"/>
  <c r="Q57" i="44" s="1"/>
  <c r="N58" i="44"/>
  <c r="Q58" i="44" s="1"/>
  <c r="N60" i="44"/>
  <c r="N48" i="44"/>
  <c r="N47" i="44"/>
  <c r="N38" i="44"/>
  <c r="Q38" i="44" s="1"/>
  <c r="N39" i="44"/>
  <c r="Q39" i="44" s="1"/>
  <c r="N35" i="44"/>
  <c r="N34" i="44"/>
  <c r="N30" i="44"/>
  <c r="N19" i="44"/>
  <c r="Q19" i="44" s="1"/>
  <c r="N20" i="44"/>
  <c r="Q20" i="44" s="1"/>
  <c r="N21" i="44"/>
  <c r="Q21" i="44" s="1"/>
  <c r="N22" i="44"/>
  <c r="N25" i="44"/>
  <c r="Q25" i="44" s="1"/>
  <c r="N26" i="44"/>
  <c r="N29" i="44"/>
  <c r="Q29" i="44" s="1"/>
  <c r="N7" i="44"/>
  <c r="Q7" i="44" s="1"/>
  <c r="N8" i="44"/>
  <c r="N11" i="44"/>
  <c r="Q11" i="44" s="1"/>
  <c r="N12" i="44"/>
  <c r="N15" i="44"/>
  <c r="N4" i="44"/>
  <c r="N3" i="44"/>
  <c r="J6" i="43"/>
  <c r="J7" i="43"/>
  <c r="L7" i="43" s="1"/>
  <c r="J8" i="43"/>
  <c r="L8" i="43" s="1"/>
  <c r="O8" i="43" s="1"/>
  <c r="J9" i="43"/>
  <c r="L9" i="43" s="1"/>
  <c r="J16" i="43"/>
  <c r="L16" i="43" s="1"/>
  <c r="O16" i="43" s="1"/>
  <c r="J17" i="43"/>
  <c r="L17" i="43" s="1"/>
  <c r="J20" i="43"/>
  <c r="L20" i="43" s="1"/>
  <c r="J21" i="43"/>
  <c r="L21" i="43" s="1"/>
  <c r="J24" i="43"/>
  <c r="L24" i="43" s="1"/>
  <c r="O24" i="43" s="1"/>
  <c r="J25" i="43"/>
  <c r="K25" i="43" s="1"/>
  <c r="N25" i="43" s="1"/>
  <c r="J26" i="43"/>
  <c r="L26" i="43" s="1"/>
  <c r="O26" i="43" s="1"/>
  <c r="J27" i="43"/>
  <c r="L27" i="43" s="1"/>
  <c r="O27" i="43" s="1"/>
  <c r="J28" i="43"/>
  <c r="L28" i="43" s="1"/>
  <c r="J29" i="43"/>
  <c r="K29" i="43" s="1"/>
  <c r="J30" i="43"/>
  <c r="L30" i="43" s="1"/>
  <c r="J31" i="43"/>
  <c r="L31" i="43" s="1"/>
  <c r="J38" i="43"/>
  <c r="L38" i="43" s="1"/>
  <c r="J5" i="43"/>
  <c r="J41" i="43"/>
  <c r="J10" i="43"/>
  <c r="L10" i="43" s="1"/>
  <c r="O10" i="43" s="1"/>
  <c r="J11" i="43"/>
  <c r="J12" i="43"/>
  <c r="L12" i="43" s="1"/>
  <c r="J13" i="43"/>
  <c r="J14" i="43"/>
  <c r="J15" i="43"/>
  <c r="J18" i="43"/>
  <c r="K18" i="43" s="1"/>
  <c r="N18" i="43" s="1"/>
  <c r="J19" i="43"/>
  <c r="L19" i="43" s="1"/>
  <c r="J22" i="43"/>
  <c r="L22" i="43" s="1"/>
  <c r="J23" i="43"/>
  <c r="L23" i="43" s="1"/>
  <c r="J32" i="43"/>
  <c r="K32" i="43" s="1"/>
  <c r="J33" i="43"/>
  <c r="L33" i="43" s="1"/>
  <c r="J34" i="43"/>
  <c r="L34" i="43" s="1"/>
  <c r="J35" i="43"/>
  <c r="L35" i="43" s="1"/>
  <c r="J36" i="43"/>
  <c r="L36" i="43" s="1"/>
  <c r="J37" i="43"/>
  <c r="L37" i="43" s="1"/>
  <c r="J39" i="43"/>
  <c r="L39" i="43" s="1"/>
  <c r="J40" i="43"/>
  <c r="L40" i="43" s="1"/>
  <c r="J4" i="43"/>
  <c r="H15" i="43"/>
  <c r="I15" i="43"/>
  <c r="H14" i="43"/>
  <c r="I14" i="43"/>
  <c r="H13" i="43"/>
  <c r="I13" i="43"/>
  <c r="H11" i="43"/>
  <c r="I11" i="43"/>
  <c r="Q3" i="44" l="1"/>
  <c r="T3" i="44"/>
  <c r="Q4" i="44"/>
  <c r="T4" i="44"/>
  <c r="Q15" i="44"/>
  <c r="T15" i="44"/>
  <c r="Q12" i="44"/>
  <c r="T12" i="44"/>
  <c r="Q8" i="44"/>
  <c r="T8" i="44"/>
  <c r="Q26" i="44"/>
  <c r="T26" i="44"/>
  <c r="Q22" i="44"/>
  <c r="T22" i="44"/>
  <c r="Q30" i="44"/>
  <c r="T30" i="44"/>
  <c r="Q34" i="44"/>
  <c r="T34" i="44"/>
  <c r="Q35" i="44"/>
  <c r="T35" i="44"/>
  <c r="Q47" i="44"/>
  <c r="T47" i="44"/>
  <c r="Q48" i="44"/>
  <c r="T48" i="44"/>
  <c r="Q60" i="44"/>
  <c r="T60" i="44"/>
  <c r="Q64" i="44"/>
  <c r="T64" i="44"/>
  <c r="Q63" i="44"/>
  <c r="T63" i="44"/>
  <c r="Q93" i="44"/>
  <c r="T93" i="44"/>
  <c r="Q59" i="44"/>
  <c r="T59" i="44"/>
  <c r="L41" i="43"/>
  <c r="O41" i="43" s="1"/>
  <c r="J42" i="43"/>
  <c r="L42" i="43" s="1"/>
  <c r="L4" i="43"/>
  <c r="O4" i="43" s="1"/>
  <c r="K4" i="43"/>
  <c r="N4" i="43" s="1"/>
  <c r="L5" i="43"/>
  <c r="O5" i="43" s="1"/>
  <c r="K5" i="43"/>
  <c r="N5" i="43" s="1"/>
  <c r="L11" i="43"/>
  <c r="O11" i="43" s="1"/>
  <c r="L14" i="43"/>
  <c r="O14" i="43" s="1"/>
  <c r="L15" i="43"/>
  <c r="L13" i="43"/>
  <c r="K39" i="43"/>
  <c r="L29" i="43"/>
  <c r="K14" i="43"/>
  <c r="N14" i="43" s="1"/>
  <c r="L32" i="43"/>
  <c r="K12" i="43"/>
  <c r="K15" i="43"/>
  <c r="K11" i="43"/>
  <c r="N11" i="43" s="1"/>
  <c r="K17" i="43"/>
  <c r="K35" i="43"/>
  <c r="K7" i="43"/>
  <c r="L18" i="43"/>
  <c r="O18" i="43" s="1"/>
  <c r="L25" i="43"/>
  <c r="O25" i="43" s="1"/>
  <c r="K40" i="43"/>
  <c r="K36" i="43"/>
  <c r="K33" i="43"/>
  <c r="K19" i="43"/>
  <c r="K13" i="43"/>
  <c r="K41" i="43"/>
  <c r="N41" i="43" s="1"/>
  <c r="K30" i="43"/>
  <c r="K26" i="43"/>
  <c r="N26" i="43" s="1"/>
  <c r="K20" i="43"/>
  <c r="K8" i="43"/>
  <c r="N8" i="43" s="1"/>
  <c r="K23" i="43"/>
  <c r="K38" i="43"/>
  <c r="K28" i="43"/>
  <c r="K24" i="43"/>
  <c r="N24" i="43" s="1"/>
  <c r="K16" i="43"/>
  <c r="N16" i="43" s="1"/>
  <c r="K6" i="43"/>
  <c r="N6" i="43" s="1"/>
  <c r="K37" i="43"/>
  <c r="K34" i="43"/>
  <c r="K22" i="43"/>
  <c r="K10" i="43"/>
  <c r="N10" i="43" s="1"/>
  <c r="K31" i="43"/>
  <c r="K27" i="43"/>
  <c r="N27" i="43" s="1"/>
  <c r="K21" i="43"/>
  <c r="K9" i="43"/>
  <c r="Q35" i="31" l="1"/>
  <c r="I35" i="31"/>
  <c r="Q21" i="31"/>
  <c r="I21" i="31"/>
  <c r="L21" i="31"/>
  <c r="L35" i="31"/>
  <c r="L33" i="31"/>
  <c r="D35" i="31"/>
  <c r="D21" i="31"/>
  <c r="G36" i="31" l="1"/>
  <c r="G35" i="31"/>
  <c r="F36" i="31"/>
  <c r="F35" i="31"/>
  <c r="N33" i="31"/>
  <c r="O33" i="31"/>
  <c r="N34" i="31"/>
  <c r="O34" i="31"/>
  <c r="N36" i="31"/>
  <c r="O36" i="31"/>
  <c r="N35" i="31"/>
  <c r="P35" i="31" s="1"/>
  <c r="O35" i="31"/>
  <c r="G37" i="40"/>
  <c r="G31" i="40"/>
  <c r="F29" i="40"/>
  <c r="F31" i="40"/>
  <c r="G56" i="40"/>
  <c r="G50" i="40"/>
  <c r="G43" i="40"/>
  <c r="G52" i="40"/>
  <c r="G29" i="40"/>
  <c r="G35" i="40"/>
  <c r="G48" i="40"/>
  <c r="G62" i="40"/>
  <c r="G54" i="40"/>
  <c r="G33" i="40"/>
  <c r="H42" i="37"/>
  <c r="G42" i="37"/>
  <c r="H38" i="37"/>
  <c r="G38" i="37"/>
  <c r="L30" i="37"/>
  <c r="N44" i="44" s="1"/>
  <c r="Q44" i="44" s="1"/>
  <c r="K30" i="37"/>
  <c r="N45" i="44" s="1"/>
  <c r="Q45" i="44" s="1"/>
  <c r="J30" i="37"/>
  <c r="N30" i="37" s="1"/>
  <c r="M44" i="44" s="1"/>
  <c r="I30" i="37"/>
  <c r="M30" i="37" s="1"/>
  <c r="M45" i="44" s="1"/>
  <c r="H30" i="37"/>
  <c r="L44" i="44" s="1"/>
  <c r="G30" i="37"/>
  <c r="L45" i="44" s="1"/>
  <c r="F30" i="37"/>
  <c r="E30" i="37"/>
  <c r="L29" i="37"/>
  <c r="N40" i="44" s="1"/>
  <c r="K29" i="37"/>
  <c r="N41" i="44" s="1"/>
  <c r="J29" i="37"/>
  <c r="N29" i="37" s="1"/>
  <c r="M40" i="44" s="1"/>
  <c r="I29" i="37"/>
  <c r="M29" i="37" s="1"/>
  <c r="M41" i="44" s="1"/>
  <c r="H29" i="37"/>
  <c r="L40" i="44" s="1"/>
  <c r="G29" i="37"/>
  <c r="L41" i="44" s="1"/>
  <c r="F29" i="37"/>
  <c r="E29" i="37"/>
  <c r="L28" i="37"/>
  <c r="K28" i="37"/>
  <c r="J28" i="37"/>
  <c r="N28" i="37" s="1"/>
  <c r="I28" i="37"/>
  <c r="M28" i="37" s="1"/>
  <c r="H28" i="37"/>
  <c r="G28" i="37"/>
  <c r="F28" i="37"/>
  <c r="E28" i="37"/>
  <c r="L26" i="37"/>
  <c r="K26" i="37"/>
  <c r="J26" i="37"/>
  <c r="N26" i="37" s="1"/>
  <c r="I26" i="37"/>
  <c r="M26" i="37" s="1"/>
  <c r="H26" i="37"/>
  <c r="G26" i="37"/>
  <c r="F26" i="37"/>
  <c r="E26" i="37"/>
  <c r="R41" i="44" l="1"/>
  <c r="O41" i="44"/>
  <c r="R40" i="44"/>
  <c r="O40" i="44"/>
  <c r="P41" i="44"/>
  <c r="S41" i="44"/>
  <c r="P40" i="44"/>
  <c r="S40" i="44"/>
  <c r="Q41" i="44"/>
  <c r="T41" i="44"/>
  <c r="Q40" i="44"/>
  <c r="T40" i="44"/>
  <c r="C9" i="41"/>
  <c r="C27" i="41"/>
  <c r="B27" i="41"/>
  <c r="B9" i="41"/>
  <c r="H3" i="41"/>
  <c r="G3" i="41"/>
  <c r="I153" i="41"/>
  <c r="I152" i="41"/>
  <c r="I151" i="41"/>
  <c r="I150" i="41"/>
  <c r="I147" i="41"/>
  <c r="I146" i="41"/>
  <c r="I145" i="41"/>
  <c r="I144" i="41"/>
  <c r="I143" i="41"/>
  <c r="I142" i="41"/>
  <c r="I141" i="41"/>
  <c r="I140" i="41"/>
  <c r="I137" i="41"/>
  <c r="I136" i="41"/>
  <c r="I135" i="41"/>
  <c r="I134" i="41"/>
  <c r="I133" i="41"/>
  <c r="I132" i="41"/>
  <c r="I129" i="41"/>
  <c r="I128" i="41"/>
  <c r="I127" i="41"/>
  <c r="I126" i="41"/>
  <c r="I125" i="41"/>
  <c r="I124" i="41"/>
  <c r="I123" i="41"/>
  <c r="I122" i="41"/>
  <c r="I119" i="41"/>
  <c r="I118" i="41"/>
  <c r="I117" i="41"/>
  <c r="I116" i="41"/>
  <c r="I115" i="41"/>
  <c r="I114" i="41"/>
  <c r="I111" i="41"/>
  <c r="I110" i="41"/>
  <c r="I109" i="41"/>
  <c r="I108" i="41"/>
  <c r="I107" i="41"/>
  <c r="I106" i="41"/>
  <c r="I105" i="41"/>
  <c r="I104" i="41"/>
  <c r="I101" i="41"/>
  <c r="I100" i="41"/>
  <c r="I99" i="41"/>
  <c r="I98" i="41"/>
  <c r="I97" i="41"/>
  <c r="I96" i="41"/>
  <c r="I93" i="41"/>
  <c r="I92" i="41"/>
  <c r="I91" i="41"/>
  <c r="I90" i="41"/>
  <c r="I89" i="41"/>
  <c r="I88" i="41"/>
  <c r="I87" i="41"/>
  <c r="I86" i="41"/>
  <c r="I83" i="41"/>
  <c r="I82" i="41"/>
  <c r="I81" i="41"/>
  <c r="I80" i="41"/>
  <c r="I79" i="41"/>
  <c r="I78" i="41"/>
  <c r="I75" i="41"/>
  <c r="I74" i="41"/>
  <c r="I73" i="41"/>
  <c r="I72" i="41"/>
  <c r="I71" i="41"/>
  <c r="I70" i="41"/>
  <c r="I69" i="41"/>
  <c r="I68" i="41"/>
  <c r="I65" i="41"/>
  <c r="I64" i="41"/>
  <c r="I63" i="41"/>
  <c r="I62" i="41"/>
  <c r="I61" i="41"/>
  <c r="I60" i="41"/>
  <c r="I57" i="41"/>
  <c r="I56" i="41"/>
  <c r="I55" i="41"/>
  <c r="I54" i="41"/>
  <c r="I53" i="41"/>
  <c r="I52" i="41"/>
  <c r="I51" i="41"/>
  <c r="I50" i="41"/>
  <c r="I47" i="41"/>
  <c r="I46" i="41"/>
  <c r="I44" i="41"/>
  <c r="I43" i="41"/>
  <c r="I42" i="41"/>
  <c r="I41" i="41"/>
  <c r="I38" i="41"/>
  <c r="I37" i="41"/>
  <c r="I36" i="41"/>
  <c r="I35" i="41"/>
  <c r="I34" i="41"/>
  <c r="I33" i="41"/>
  <c r="I32" i="41"/>
  <c r="I31" i="41"/>
  <c r="I28" i="41"/>
  <c r="I27" i="41"/>
  <c r="I13" i="41"/>
  <c r="I14" i="41"/>
  <c r="I15" i="41"/>
  <c r="I16" i="41"/>
  <c r="I17" i="41"/>
  <c r="I18" i="41"/>
  <c r="I19" i="41"/>
  <c r="I20" i="41"/>
  <c r="I23" i="41"/>
  <c r="I24" i="41"/>
  <c r="I9" i="41"/>
  <c r="I26" i="41"/>
  <c r="I25" i="41"/>
  <c r="F50" i="40" l="1"/>
  <c r="E90" i="40"/>
  <c r="E88" i="40"/>
  <c r="E69" i="40"/>
  <c r="G90" i="40"/>
  <c r="G88" i="40"/>
  <c r="I79" i="40"/>
  <c r="I69" i="40"/>
  <c r="H31" i="40"/>
  <c r="H50" i="40"/>
  <c r="I90" i="40"/>
  <c r="I98" i="40"/>
  <c r="I88" i="40"/>
  <c r="F90" i="40"/>
  <c r="F88" i="40"/>
  <c r="E50" i="40"/>
  <c r="F69" i="40"/>
  <c r="G69" i="40"/>
  <c r="I62" i="40"/>
  <c r="I60" i="40"/>
  <c r="I50" i="40"/>
  <c r="E52" i="40"/>
  <c r="E54" i="40"/>
  <c r="E56" i="40"/>
  <c r="E94" i="40"/>
  <c r="E86" i="40"/>
  <c r="E92" i="40"/>
  <c r="F67" i="40"/>
  <c r="F75" i="40"/>
  <c r="F81" i="40"/>
  <c r="F71" i="40"/>
  <c r="F73" i="40"/>
  <c r="G92" i="40"/>
  <c r="G86" i="40"/>
  <c r="G94" i="40"/>
  <c r="I81" i="40"/>
  <c r="I71" i="40"/>
  <c r="I67" i="40"/>
  <c r="I73" i="40"/>
  <c r="I75" i="40"/>
  <c r="I77" i="40"/>
  <c r="H48" i="40"/>
  <c r="H54" i="40"/>
  <c r="H52" i="40"/>
  <c r="H56" i="40"/>
  <c r="H62" i="40"/>
  <c r="F86" i="40"/>
  <c r="F94" i="40"/>
  <c r="F92" i="40"/>
  <c r="I96" i="40"/>
  <c r="I94" i="40"/>
  <c r="I92" i="40"/>
  <c r="I86" i="40"/>
  <c r="E75" i="40"/>
  <c r="E67" i="40"/>
  <c r="E73" i="40"/>
  <c r="E71" i="40"/>
  <c r="F56" i="40"/>
  <c r="F52" i="40"/>
  <c r="F62" i="40"/>
  <c r="F48" i="40"/>
  <c r="F54" i="40"/>
  <c r="G73" i="40"/>
  <c r="G75" i="40"/>
  <c r="G67" i="40"/>
  <c r="G81" i="40"/>
  <c r="G71" i="40"/>
  <c r="I56" i="40"/>
  <c r="I48" i="40"/>
  <c r="I54" i="40"/>
  <c r="I58" i="40"/>
  <c r="I52" i="40"/>
  <c r="E37" i="40"/>
  <c r="E35" i="40"/>
  <c r="F33" i="40"/>
  <c r="F43" i="40"/>
  <c r="F35" i="40"/>
  <c r="F37" i="40"/>
  <c r="H33" i="40"/>
  <c r="H43" i="40"/>
  <c r="H35" i="40"/>
  <c r="H29" i="40"/>
  <c r="H37" i="40"/>
  <c r="L30" i="39" l="1"/>
  <c r="L32" i="39"/>
  <c r="L34" i="39"/>
  <c r="L38" i="39"/>
  <c r="L28" i="39"/>
  <c r="L20" i="39"/>
  <c r="P15" i="39" l="1"/>
  <c r="O15" i="39"/>
  <c r="N15" i="39"/>
  <c r="P22" i="39" s="1"/>
  <c r="P139" i="41" s="1"/>
  <c r="M15" i="39"/>
  <c r="P14" i="39"/>
  <c r="O14" i="39"/>
  <c r="O36" i="39" s="1"/>
  <c r="P131" i="41" s="1"/>
  <c r="N14" i="39"/>
  <c r="M14" i="39"/>
  <c r="P13" i="39"/>
  <c r="O13" i="39"/>
  <c r="N36" i="39" s="1"/>
  <c r="P113" i="41" s="1"/>
  <c r="N13" i="39"/>
  <c r="N22" i="39" s="1"/>
  <c r="P103" i="41" s="1"/>
  <c r="M13" i="39"/>
  <c r="P11" i="39"/>
  <c r="O11" i="39"/>
  <c r="O37" i="39" s="1"/>
  <c r="P130" i="41" s="1"/>
  <c r="N11" i="39"/>
  <c r="M11" i="39"/>
  <c r="P12" i="39"/>
  <c r="O12" i="39"/>
  <c r="N12" i="39"/>
  <c r="P23" i="39" s="1"/>
  <c r="P138" i="41" s="1"/>
  <c r="M12" i="39"/>
  <c r="P10" i="39"/>
  <c r="O10" i="39"/>
  <c r="N37" i="39" s="1"/>
  <c r="P112" i="41" s="1"/>
  <c r="N10" i="39"/>
  <c r="N23" i="39" s="1"/>
  <c r="P102" i="41" s="1"/>
  <c r="M10" i="39"/>
  <c r="H14" i="39"/>
  <c r="G14" i="39"/>
  <c r="G36" i="39" s="1"/>
  <c r="J131" i="41" s="1"/>
  <c r="F14" i="39"/>
  <c r="E14" i="39"/>
  <c r="H11" i="39"/>
  <c r="G11" i="39"/>
  <c r="G37" i="39" s="1"/>
  <c r="J130" i="41" s="1"/>
  <c r="F11" i="39"/>
  <c r="E11" i="39"/>
  <c r="H15" i="39"/>
  <c r="G15" i="39"/>
  <c r="H36" i="39" s="1"/>
  <c r="J149" i="41" s="1"/>
  <c r="F15" i="39"/>
  <c r="H22" i="39" s="1"/>
  <c r="J139" i="41" s="1"/>
  <c r="E15" i="39"/>
  <c r="H13" i="39"/>
  <c r="G13" i="39"/>
  <c r="F36" i="39" s="1"/>
  <c r="J113" i="41" s="1"/>
  <c r="F13" i="39"/>
  <c r="E13" i="39"/>
  <c r="H12" i="39"/>
  <c r="G12" i="39"/>
  <c r="H37" i="39" s="1"/>
  <c r="J148" i="41" s="1"/>
  <c r="F12" i="39"/>
  <c r="E12" i="39"/>
  <c r="H10" i="39"/>
  <c r="G10" i="39"/>
  <c r="F37" i="39" s="1"/>
  <c r="J112" i="41" s="1"/>
  <c r="F10" i="39"/>
  <c r="F23" i="39" s="1"/>
  <c r="J102" i="41" s="1"/>
  <c r="E10" i="39"/>
  <c r="Q38" i="39"/>
  <c r="I38" i="39"/>
  <c r="Q34" i="39"/>
  <c r="I34" i="39"/>
  <c r="Q32" i="39"/>
  <c r="I32" i="39"/>
  <c r="Q30" i="39"/>
  <c r="I30" i="39"/>
  <c r="Q28" i="39"/>
  <c r="I28" i="39"/>
  <c r="Q20" i="39"/>
  <c r="I20" i="39"/>
  <c r="U103" i="41" l="1"/>
  <c r="R103" i="41"/>
  <c r="T103" i="41"/>
  <c r="Q103" i="41"/>
  <c r="S103" i="41"/>
  <c r="S139" i="41"/>
  <c r="T139" i="41"/>
  <c r="R139" i="41"/>
  <c r="U139" i="41"/>
  <c r="Q139" i="41"/>
  <c r="U131" i="41"/>
  <c r="T131" i="41"/>
  <c r="R131" i="41"/>
  <c r="S131" i="41"/>
  <c r="Q131" i="41"/>
  <c r="N139" i="41"/>
  <c r="O139" i="41"/>
  <c r="K139" i="41"/>
  <c r="L139" i="41"/>
  <c r="M139" i="41"/>
  <c r="O113" i="41"/>
  <c r="N113" i="41"/>
  <c r="L113" i="41"/>
  <c r="M113" i="41"/>
  <c r="K113" i="41"/>
  <c r="N149" i="41"/>
  <c r="M149" i="41"/>
  <c r="L149" i="41"/>
  <c r="O149" i="41"/>
  <c r="K149" i="41"/>
  <c r="N131" i="41"/>
  <c r="L131" i="41"/>
  <c r="M131" i="41"/>
  <c r="K131" i="41"/>
  <c r="O131" i="41"/>
  <c r="U113" i="41"/>
  <c r="T113" i="41"/>
  <c r="R113" i="41"/>
  <c r="S113" i="41"/>
  <c r="Q113" i="41"/>
  <c r="O148" i="41"/>
  <c r="N148" i="41"/>
  <c r="L148" i="41"/>
  <c r="K148" i="41"/>
  <c r="M148" i="41"/>
  <c r="U112" i="41"/>
  <c r="T112" i="41"/>
  <c r="S112" i="41"/>
  <c r="R112" i="41"/>
  <c r="Q112" i="41"/>
  <c r="O112" i="41"/>
  <c r="N112" i="41"/>
  <c r="M112" i="41"/>
  <c r="L112" i="41"/>
  <c r="K112" i="41"/>
  <c r="U130" i="41"/>
  <c r="T130" i="41"/>
  <c r="S130" i="41"/>
  <c r="R130" i="41"/>
  <c r="Q130" i="41"/>
  <c r="M130" i="41"/>
  <c r="L130" i="41"/>
  <c r="O130" i="41"/>
  <c r="K130" i="41"/>
  <c r="N130" i="41"/>
  <c r="U138" i="41"/>
  <c r="Q138" i="41"/>
  <c r="T138" i="41"/>
  <c r="S138" i="41"/>
  <c r="R138" i="41"/>
  <c r="U102" i="41"/>
  <c r="Q102" i="41"/>
  <c r="T102" i="41"/>
  <c r="S102" i="41"/>
  <c r="R102" i="41"/>
  <c r="O102" i="41"/>
  <c r="M102" i="41"/>
  <c r="N102" i="41"/>
  <c r="K102" i="41"/>
  <c r="L102" i="41"/>
  <c r="H21" i="39"/>
  <c r="J136" i="41" s="1"/>
  <c r="H23" i="39"/>
  <c r="J138" i="41" s="1"/>
  <c r="F20" i="39"/>
  <c r="J101" i="41" s="1"/>
  <c r="F22" i="39"/>
  <c r="J103" i="41" s="1"/>
  <c r="G21" i="39"/>
  <c r="J118" i="41" s="1"/>
  <c r="G23" i="39"/>
  <c r="J120" i="41" s="1"/>
  <c r="G20" i="39"/>
  <c r="J119" i="41" s="1"/>
  <c r="G22" i="39"/>
  <c r="J121" i="41" s="1"/>
  <c r="O21" i="39"/>
  <c r="P118" i="41" s="1"/>
  <c r="O23" i="39"/>
  <c r="P120" i="41" s="1"/>
  <c r="O20" i="39"/>
  <c r="P119" i="41" s="1"/>
  <c r="O22" i="39"/>
  <c r="P121" i="41" s="1"/>
  <c r="P39" i="39"/>
  <c r="P150" i="41" s="1"/>
  <c r="P37" i="39"/>
  <c r="P148" i="41" s="1"/>
  <c r="P32" i="39"/>
  <c r="P145" i="41" s="1"/>
  <c r="P36" i="39"/>
  <c r="P149" i="41" s="1"/>
  <c r="G35" i="39"/>
  <c r="J128" i="41" s="1"/>
  <c r="G31" i="39"/>
  <c r="J124" i="41" s="1"/>
  <c r="G39" i="39"/>
  <c r="J132" i="41" s="1"/>
  <c r="G33" i="39"/>
  <c r="J126" i="41" s="1"/>
  <c r="G29" i="39"/>
  <c r="J122" i="41" s="1"/>
  <c r="G38" i="39"/>
  <c r="J133" i="41" s="1"/>
  <c r="G32" i="39"/>
  <c r="J127" i="41" s="1"/>
  <c r="G28" i="39"/>
  <c r="J123" i="41" s="1"/>
  <c r="G30" i="39"/>
  <c r="J125" i="41" s="1"/>
  <c r="G34" i="39"/>
  <c r="J129" i="41" s="1"/>
  <c r="O35" i="39"/>
  <c r="P128" i="41" s="1"/>
  <c r="O31" i="39"/>
  <c r="P124" i="41" s="1"/>
  <c r="O39" i="39"/>
  <c r="P132" i="41" s="1"/>
  <c r="O33" i="39"/>
  <c r="P126" i="41" s="1"/>
  <c r="O29" i="39"/>
  <c r="P122" i="41" s="1"/>
  <c r="O34" i="39"/>
  <c r="P129" i="41" s="1"/>
  <c r="O30" i="39"/>
  <c r="P125" i="41" s="1"/>
  <c r="O38" i="39"/>
  <c r="P133" i="41" s="1"/>
  <c r="O32" i="39"/>
  <c r="P127" i="41" s="1"/>
  <c r="O28" i="39"/>
  <c r="P123" i="41" s="1"/>
  <c r="P20" i="39"/>
  <c r="P137" i="41" s="1"/>
  <c r="H20" i="39"/>
  <c r="J137" i="41" s="1"/>
  <c r="H34" i="39"/>
  <c r="J147" i="41" s="1"/>
  <c r="P34" i="39"/>
  <c r="P147" i="41" s="1"/>
  <c r="N31" i="39"/>
  <c r="P106" i="41" s="1"/>
  <c r="H28" i="39"/>
  <c r="J141" i="41" s="1"/>
  <c r="P28" i="39"/>
  <c r="P141" i="41" s="1"/>
  <c r="N33" i="39"/>
  <c r="P108" i="41" s="1"/>
  <c r="H38" i="39"/>
  <c r="J151" i="41" s="1"/>
  <c r="P38" i="39"/>
  <c r="P151" i="41" s="1"/>
  <c r="N21" i="39"/>
  <c r="P100" i="41" s="1"/>
  <c r="H30" i="39"/>
  <c r="J143" i="41" s="1"/>
  <c r="P30" i="39"/>
  <c r="P143" i="41" s="1"/>
  <c r="N35" i="39"/>
  <c r="P110" i="41" s="1"/>
  <c r="N29" i="39"/>
  <c r="P104" i="41" s="1"/>
  <c r="H32" i="39"/>
  <c r="J145" i="41" s="1"/>
  <c r="N39" i="39"/>
  <c r="P114" i="41" s="1"/>
  <c r="P21" i="39"/>
  <c r="P136" i="41" s="1"/>
  <c r="N20" i="39"/>
  <c r="P101" i="41" s="1"/>
  <c r="H29" i="39"/>
  <c r="J140" i="41" s="1"/>
  <c r="P29" i="39"/>
  <c r="P140" i="41" s="1"/>
  <c r="N28" i="39"/>
  <c r="P105" i="41" s="1"/>
  <c r="H31" i="39"/>
  <c r="J142" i="41" s="1"/>
  <c r="P31" i="39"/>
  <c r="P142" i="41" s="1"/>
  <c r="N30" i="39"/>
  <c r="P107" i="41" s="1"/>
  <c r="H33" i="39"/>
  <c r="J144" i="41" s="1"/>
  <c r="P33" i="39"/>
  <c r="P144" i="41" s="1"/>
  <c r="N32" i="39"/>
  <c r="P109" i="41" s="1"/>
  <c r="H35" i="39"/>
  <c r="J146" i="41" s="1"/>
  <c r="P35" i="39"/>
  <c r="P146" i="41" s="1"/>
  <c r="N34" i="39"/>
  <c r="P111" i="41" s="1"/>
  <c r="H39" i="39"/>
  <c r="J150" i="41" s="1"/>
  <c r="N38" i="39"/>
  <c r="P115" i="41" s="1"/>
  <c r="F38" i="39"/>
  <c r="J115" i="41" s="1"/>
  <c r="F28" i="39"/>
  <c r="J105" i="41" s="1"/>
  <c r="F30" i="39"/>
  <c r="J107" i="41" s="1"/>
  <c r="F32" i="39"/>
  <c r="J109" i="41" s="1"/>
  <c r="F34" i="39"/>
  <c r="J111" i="41" s="1"/>
  <c r="F21" i="39"/>
  <c r="J100" i="41" s="1"/>
  <c r="F29" i="39"/>
  <c r="J104" i="41" s="1"/>
  <c r="F31" i="39"/>
  <c r="J106" i="41" s="1"/>
  <c r="F33" i="39"/>
  <c r="J108" i="41" s="1"/>
  <c r="F35" i="39"/>
  <c r="J110" i="41" s="1"/>
  <c r="F39" i="39"/>
  <c r="J114" i="41" s="1"/>
  <c r="P95" i="41"/>
  <c r="P94" i="41"/>
  <c r="R22" i="38"/>
  <c r="P85" i="41" s="1"/>
  <c r="R23" i="38"/>
  <c r="P84" i="41" s="1"/>
  <c r="Q22" i="38"/>
  <c r="Q23" i="38"/>
  <c r="P22" i="38"/>
  <c r="P23" i="38"/>
  <c r="J95" i="41"/>
  <c r="J94" i="41"/>
  <c r="H22" i="38"/>
  <c r="J85" i="41" s="1"/>
  <c r="H23" i="38"/>
  <c r="J84" i="41" s="1"/>
  <c r="G22" i="38"/>
  <c r="G23" i="38"/>
  <c r="F22" i="38"/>
  <c r="F23" i="38"/>
  <c r="U147" i="41" l="1"/>
  <c r="S147" i="41"/>
  <c r="T147" i="41"/>
  <c r="Q147" i="41"/>
  <c r="R147" i="41"/>
  <c r="U123" i="41"/>
  <c r="R123" i="41"/>
  <c r="T123" i="41"/>
  <c r="Q123" i="41"/>
  <c r="S123" i="41"/>
  <c r="T129" i="41"/>
  <c r="R129" i="41"/>
  <c r="Q129" i="41"/>
  <c r="U129" i="41"/>
  <c r="S129" i="41"/>
  <c r="N123" i="41"/>
  <c r="K123" i="41"/>
  <c r="L123" i="41"/>
  <c r="M123" i="41"/>
  <c r="O123" i="41"/>
  <c r="U149" i="41"/>
  <c r="R149" i="41"/>
  <c r="T149" i="41"/>
  <c r="S149" i="41"/>
  <c r="Q149" i="41"/>
  <c r="T121" i="41"/>
  <c r="U121" i="41"/>
  <c r="Q121" i="41"/>
  <c r="S121" i="41"/>
  <c r="R121" i="41"/>
  <c r="K121" i="41"/>
  <c r="O121" i="41"/>
  <c r="N121" i="41"/>
  <c r="L121" i="41"/>
  <c r="M121" i="41"/>
  <c r="O103" i="41"/>
  <c r="K103" i="41"/>
  <c r="M103" i="41"/>
  <c r="L103" i="41"/>
  <c r="N103" i="41"/>
  <c r="O85" i="41"/>
  <c r="K85" i="41"/>
  <c r="M85" i="41"/>
  <c r="L85" i="41"/>
  <c r="N85" i="41"/>
  <c r="U85" i="41"/>
  <c r="Q85" i="41"/>
  <c r="T85" i="41"/>
  <c r="R85" i="41"/>
  <c r="S85" i="41"/>
  <c r="U107" i="41"/>
  <c r="Q107" i="41"/>
  <c r="S107" i="41"/>
  <c r="T107" i="41"/>
  <c r="R107" i="41"/>
  <c r="U125" i="41"/>
  <c r="R125" i="41"/>
  <c r="T125" i="41"/>
  <c r="S125" i="41"/>
  <c r="Q125" i="41"/>
  <c r="K125" i="41"/>
  <c r="O125" i="41"/>
  <c r="L125" i="41"/>
  <c r="N125" i="41"/>
  <c r="M125" i="41"/>
  <c r="O107" i="41"/>
  <c r="N107" i="41"/>
  <c r="L107" i="41"/>
  <c r="M107" i="41"/>
  <c r="K107" i="41"/>
  <c r="U109" i="41"/>
  <c r="Q109" i="41"/>
  <c r="S109" i="41"/>
  <c r="T109" i="41"/>
  <c r="R109" i="41"/>
  <c r="O145" i="41"/>
  <c r="N145" i="41"/>
  <c r="M145" i="41"/>
  <c r="L145" i="41"/>
  <c r="M143" i="41"/>
  <c r="L143" i="41"/>
  <c r="N143" i="41"/>
  <c r="O143" i="41"/>
  <c r="J22" i="38"/>
  <c r="J67" i="41"/>
  <c r="I36" i="38"/>
  <c r="J59" i="41"/>
  <c r="N95" i="41"/>
  <c r="L95" i="41"/>
  <c r="O95" i="41"/>
  <c r="M95" i="41"/>
  <c r="K95" i="41"/>
  <c r="T22" i="38"/>
  <c r="P67" i="41"/>
  <c r="S36" i="38"/>
  <c r="P59" i="41"/>
  <c r="Q95" i="41"/>
  <c r="S95" i="41"/>
  <c r="T95" i="41"/>
  <c r="U95" i="41"/>
  <c r="R95" i="41"/>
  <c r="O105" i="41"/>
  <c r="L105" i="41"/>
  <c r="N105" i="41"/>
  <c r="K105" i="41"/>
  <c r="M105" i="41"/>
  <c r="U111" i="41"/>
  <c r="T111" i="41"/>
  <c r="R111" i="41"/>
  <c r="S111" i="41"/>
  <c r="Q111" i="41"/>
  <c r="S141" i="41"/>
  <c r="Q141" i="41"/>
  <c r="R141" i="41"/>
  <c r="U141" i="41"/>
  <c r="T141" i="41"/>
  <c r="O147" i="41"/>
  <c r="M147" i="41"/>
  <c r="L147" i="41"/>
  <c r="N147" i="41"/>
  <c r="U127" i="41"/>
  <c r="Q127" i="41"/>
  <c r="S127" i="41"/>
  <c r="T127" i="41"/>
  <c r="R127" i="41"/>
  <c r="K127" i="41"/>
  <c r="N127" i="41"/>
  <c r="L127" i="41"/>
  <c r="M127" i="41"/>
  <c r="O127" i="41"/>
  <c r="R145" i="41"/>
  <c r="S145" i="41"/>
  <c r="T145" i="41"/>
  <c r="U145" i="41"/>
  <c r="Q145" i="41"/>
  <c r="I22" i="38"/>
  <c r="J49" i="41"/>
  <c r="J77" i="41"/>
  <c r="S22" i="38"/>
  <c r="P49" i="41"/>
  <c r="T36" i="38"/>
  <c r="P77" i="41"/>
  <c r="O109" i="41"/>
  <c r="K109" i="41"/>
  <c r="M109" i="41"/>
  <c r="N109" i="41"/>
  <c r="L109" i="41"/>
  <c r="R143" i="41"/>
  <c r="Q143" i="41"/>
  <c r="S143" i="41"/>
  <c r="U143" i="41"/>
  <c r="T143" i="41"/>
  <c r="O111" i="41"/>
  <c r="K111" i="41"/>
  <c r="M111" i="41"/>
  <c r="N111" i="41"/>
  <c r="L111" i="41"/>
  <c r="U105" i="41"/>
  <c r="R105" i="41"/>
  <c r="T105" i="41"/>
  <c r="Q105" i="41"/>
  <c r="S105" i="41"/>
  <c r="L141" i="41"/>
  <c r="N141" i="41"/>
  <c r="M141" i="41"/>
  <c r="O141" i="41"/>
  <c r="K129" i="41"/>
  <c r="L129" i="41"/>
  <c r="O129" i="41"/>
  <c r="M129" i="41"/>
  <c r="N129" i="41"/>
  <c r="J37" i="38"/>
  <c r="J76" i="41"/>
  <c r="L146" i="41"/>
  <c r="O146" i="41"/>
  <c r="N146" i="41"/>
  <c r="M146" i="41"/>
  <c r="I37" i="38"/>
  <c r="J58" i="41"/>
  <c r="U94" i="41"/>
  <c r="R94" i="41"/>
  <c r="S94" i="41"/>
  <c r="T94" i="41"/>
  <c r="Q94" i="41"/>
  <c r="O104" i="41"/>
  <c r="L104" i="41"/>
  <c r="K104" i="41"/>
  <c r="N104" i="41"/>
  <c r="M104" i="41"/>
  <c r="U142" i="41"/>
  <c r="Q142" i="41"/>
  <c r="S142" i="41"/>
  <c r="R142" i="41"/>
  <c r="T142" i="41"/>
  <c r="M140" i="41"/>
  <c r="O140" i="41"/>
  <c r="N140" i="41"/>
  <c r="L140" i="41"/>
  <c r="U108" i="41"/>
  <c r="Q108" i="41"/>
  <c r="T108" i="41"/>
  <c r="S108" i="41"/>
  <c r="R108" i="41"/>
  <c r="U124" i="41"/>
  <c r="R124" i="41"/>
  <c r="Q124" i="41"/>
  <c r="T124" i="41"/>
  <c r="S124" i="41"/>
  <c r="K126" i="41"/>
  <c r="M126" i="41"/>
  <c r="L126" i="41"/>
  <c r="O126" i="41"/>
  <c r="N126" i="41"/>
  <c r="L94" i="41"/>
  <c r="K94" i="41"/>
  <c r="M94" i="41"/>
  <c r="N94" i="41"/>
  <c r="O94" i="41"/>
  <c r="S37" i="38"/>
  <c r="P58" i="41"/>
  <c r="O110" i="41"/>
  <c r="K110" i="41"/>
  <c r="N110" i="41"/>
  <c r="M110" i="41"/>
  <c r="L110" i="41"/>
  <c r="S144" i="41"/>
  <c r="T144" i="41"/>
  <c r="Q144" i="41"/>
  <c r="R144" i="41"/>
  <c r="U144" i="41"/>
  <c r="O142" i="41"/>
  <c r="N142" i="41"/>
  <c r="M142" i="41"/>
  <c r="L142" i="41"/>
  <c r="U104" i="41"/>
  <c r="R104" i="41"/>
  <c r="T104" i="41"/>
  <c r="Q104" i="41"/>
  <c r="S104" i="41"/>
  <c r="U122" i="41"/>
  <c r="R122" i="41"/>
  <c r="Q122" i="41"/>
  <c r="T122" i="41"/>
  <c r="S122" i="41"/>
  <c r="T128" i="41"/>
  <c r="S128" i="41"/>
  <c r="Q128" i="41"/>
  <c r="R128" i="41"/>
  <c r="U128" i="41"/>
  <c r="T37" i="38"/>
  <c r="P76" i="41"/>
  <c r="O108" i="41"/>
  <c r="K108" i="41"/>
  <c r="N108" i="41"/>
  <c r="M108" i="41"/>
  <c r="L108" i="41"/>
  <c r="U146" i="41"/>
  <c r="R146" i="41"/>
  <c r="T146" i="41"/>
  <c r="S146" i="41"/>
  <c r="Q146" i="41"/>
  <c r="L144" i="41"/>
  <c r="N144" i="41"/>
  <c r="M144" i="41"/>
  <c r="O144" i="41"/>
  <c r="U110" i="41"/>
  <c r="R110" i="41"/>
  <c r="T110" i="41"/>
  <c r="Q110" i="41"/>
  <c r="S110" i="41"/>
  <c r="U126" i="41"/>
  <c r="Q126" i="41"/>
  <c r="T126" i="41"/>
  <c r="S126" i="41"/>
  <c r="R126" i="41"/>
  <c r="K124" i="41"/>
  <c r="O124" i="41"/>
  <c r="N124" i="41"/>
  <c r="M124" i="41"/>
  <c r="L124" i="41"/>
  <c r="R148" i="41"/>
  <c r="S148" i="41"/>
  <c r="T148" i="41"/>
  <c r="U148" i="41"/>
  <c r="Q148" i="41"/>
  <c r="L106" i="41"/>
  <c r="N106" i="41"/>
  <c r="O106" i="41"/>
  <c r="K106" i="41"/>
  <c r="M106" i="41"/>
  <c r="T140" i="41"/>
  <c r="S140" i="41"/>
  <c r="U140" i="41"/>
  <c r="Q140" i="41"/>
  <c r="R140" i="41"/>
  <c r="U106" i="41"/>
  <c r="Q106" i="41"/>
  <c r="S106" i="41"/>
  <c r="R106" i="41"/>
  <c r="T106" i="41"/>
  <c r="M122" i="41"/>
  <c r="L122" i="41"/>
  <c r="O122" i="41"/>
  <c r="K122" i="41"/>
  <c r="N122" i="41"/>
  <c r="K128" i="41"/>
  <c r="M128" i="41"/>
  <c r="O128" i="41"/>
  <c r="L128" i="41"/>
  <c r="N128" i="41"/>
  <c r="I23" i="38"/>
  <c r="J48" i="41"/>
  <c r="S23" i="38"/>
  <c r="P48" i="41"/>
  <c r="J23" i="38"/>
  <c r="J66" i="41"/>
  <c r="T23" i="38"/>
  <c r="P66" i="41"/>
  <c r="U84" i="41"/>
  <c r="Q84" i="41"/>
  <c r="R84" i="41"/>
  <c r="T84" i="41"/>
  <c r="S84" i="41"/>
  <c r="O84" i="41"/>
  <c r="K84" i="41"/>
  <c r="M84" i="41"/>
  <c r="N84" i="41"/>
  <c r="L84" i="41"/>
  <c r="T120" i="41"/>
  <c r="R120" i="41"/>
  <c r="S120" i="41"/>
  <c r="Q120" i="41"/>
  <c r="U120" i="41"/>
  <c r="K120" i="41"/>
  <c r="L120" i="41"/>
  <c r="M120" i="41"/>
  <c r="N120" i="41"/>
  <c r="O120" i="41"/>
  <c r="K138" i="41"/>
  <c r="M138" i="41"/>
  <c r="L138" i="41"/>
  <c r="O138" i="41"/>
  <c r="N138" i="41"/>
  <c r="K150" i="41"/>
  <c r="L114" i="41"/>
  <c r="O115" i="41"/>
  <c r="K142" i="41"/>
  <c r="K147" i="41"/>
  <c r="L132" i="41"/>
  <c r="R115" i="41"/>
  <c r="Q151" i="41"/>
  <c r="K141" i="41"/>
  <c r="T133" i="41"/>
  <c r="M133" i="41"/>
  <c r="S114" i="41"/>
  <c r="L151" i="41"/>
  <c r="U132" i="41"/>
  <c r="N100" i="41"/>
  <c r="U101" i="41"/>
  <c r="T100" i="41"/>
  <c r="U119" i="41"/>
  <c r="O119" i="41"/>
  <c r="K101" i="41"/>
  <c r="Q136" i="41"/>
  <c r="M137" i="41"/>
  <c r="S137" i="41"/>
  <c r="R118" i="41"/>
  <c r="L118" i="41"/>
  <c r="M136" i="41"/>
  <c r="Q150" i="41"/>
  <c r="T150" i="41"/>
  <c r="U150" i="41"/>
  <c r="R150" i="41"/>
  <c r="S150" i="41"/>
  <c r="P12" i="31"/>
  <c r="P13" i="31"/>
  <c r="P11" i="31"/>
  <c r="P10" i="31"/>
  <c r="P40" i="41"/>
  <c r="P39" i="41"/>
  <c r="M13" i="31"/>
  <c r="M12" i="31"/>
  <c r="N13" i="31"/>
  <c r="O21" i="31" s="1"/>
  <c r="P30" i="41" s="1"/>
  <c r="N11" i="31"/>
  <c r="O22" i="31" s="1"/>
  <c r="P29" i="41" s="1"/>
  <c r="N12" i="31"/>
  <c r="N21" i="31" s="1"/>
  <c r="N10" i="31"/>
  <c r="N22" i="31" s="1"/>
  <c r="M11" i="31"/>
  <c r="M10" i="31"/>
  <c r="S59" i="41" l="1"/>
  <c r="R59" i="41"/>
  <c r="T59" i="41"/>
  <c r="Q59" i="41"/>
  <c r="U59" i="41"/>
  <c r="T77" i="41"/>
  <c r="S77" i="41"/>
  <c r="R77" i="41"/>
  <c r="U77" i="41"/>
  <c r="Q77" i="41"/>
  <c r="O59" i="41"/>
  <c r="M59" i="41"/>
  <c r="N59" i="41"/>
  <c r="K59" i="41"/>
  <c r="L59" i="41"/>
  <c r="O77" i="41"/>
  <c r="M77" i="41"/>
  <c r="N77" i="41"/>
  <c r="K77" i="41"/>
  <c r="L77" i="41"/>
  <c r="U67" i="41"/>
  <c r="T67" i="41"/>
  <c r="R67" i="41"/>
  <c r="Q67" i="41"/>
  <c r="S67" i="41"/>
  <c r="U49" i="41"/>
  <c r="S49" i="41"/>
  <c r="R49" i="41"/>
  <c r="T49" i="41"/>
  <c r="Q49" i="41"/>
  <c r="O49" i="41"/>
  <c r="K49" i="41"/>
  <c r="M49" i="41"/>
  <c r="N49" i="41"/>
  <c r="L49" i="41"/>
  <c r="O67" i="41"/>
  <c r="N67" i="41"/>
  <c r="K67" i="41"/>
  <c r="L67" i="41"/>
  <c r="M67" i="41"/>
  <c r="U76" i="41"/>
  <c r="S76" i="41"/>
  <c r="R76" i="41"/>
  <c r="T76" i="41"/>
  <c r="Q76" i="41"/>
  <c r="O58" i="41"/>
  <c r="M58" i="41"/>
  <c r="L58" i="41"/>
  <c r="K58" i="41"/>
  <c r="N58" i="41"/>
  <c r="M76" i="41"/>
  <c r="L76" i="41"/>
  <c r="N76" i="41"/>
  <c r="K76" i="41"/>
  <c r="O76" i="41"/>
  <c r="U58" i="41"/>
  <c r="S58" i="41"/>
  <c r="R58" i="41"/>
  <c r="T58" i="41"/>
  <c r="Q58" i="41"/>
  <c r="U66" i="41"/>
  <c r="S66" i="41"/>
  <c r="R66" i="41"/>
  <c r="Q66" i="41"/>
  <c r="T66" i="41"/>
  <c r="U48" i="41"/>
  <c r="S48" i="41"/>
  <c r="R48" i="41"/>
  <c r="Q48" i="41"/>
  <c r="T48" i="41"/>
  <c r="L66" i="41"/>
  <c r="O66" i="41"/>
  <c r="K66" i="41"/>
  <c r="N66" i="41"/>
  <c r="M66" i="41"/>
  <c r="O48" i="41"/>
  <c r="M48" i="41"/>
  <c r="K48" i="41"/>
  <c r="N48" i="41"/>
  <c r="L48" i="41"/>
  <c r="P22" i="31"/>
  <c r="P11" i="41"/>
  <c r="P21" i="31"/>
  <c r="P12" i="41"/>
  <c r="U29" i="41"/>
  <c r="Q29" i="41"/>
  <c r="T29" i="41"/>
  <c r="S29" i="41"/>
  <c r="R29" i="41"/>
  <c r="P36" i="31"/>
  <c r="P21" i="41"/>
  <c r="S40" i="41"/>
  <c r="R40" i="41"/>
  <c r="Q40" i="41"/>
  <c r="U40" i="41"/>
  <c r="T40" i="41"/>
  <c r="U30" i="41"/>
  <c r="Q30" i="41"/>
  <c r="T30" i="41"/>
  <c r="S30" i="41"/>
  <c r="R30" i="41"/>
  <c r="P22" i="41"/>
  <c r="U39" i="41"/>
  <c r="Q39" i="41"/>
  <c r="T39" i="41"/>
  <c r="S39" i="41"/>
  <c r="R39" i="41"/>
  <c r="K100" i="41"/>
  <c r="L150" i="41"/>
  <c r="T132" i="41"/>
  <c r="N150" i="41"/>
  <c r="M150" i="41"/>
  <c r="K132" i="41"/>
  <c r="Q115" i="41"/>
  <c r="O150" i="41"/>
  <c r="K144" i="41"/>
  <c r="K143" i="41"/>
  <c r="T151" i="41"/>
  <c r="R133" i="41"/>
  <c r="S115" i="41"/>
  <c r="M132" i="41"/>
  <c r="R114" i="41"/>
  <c r="M114" i="41"/>
  <c r="K145" i="41"/>
  <c r="M151" i="41"/>
  <c r="N133" i="41"/>
  <c r="L115" i="41"/>
  <c r="O133" i="41"/>
  <c r="N115" i="41"/>
  <c r="K146" i="41"/>
  <c r="O114" i="41"/>
  <c r="K140" i="41"/>
  <c r="K151" i="41"/>
  <c r="K133" i="41"/>
  <c r="U133" i="41"/>
  <c r="U151" i="41"/>
  <c r="S132" i="41"/>
  <c r="Q114" i="41"/>
  <c r="O132" i="41"/>
  <c r="K114" i="41"/>
  <c r="L133" i="41"/>
  <c r="S133" i="41"/>
  <c r="Q133" i="41"/>
  <c r="R151" i="41"/>
  <c r="U136" i="41"/>
  <c r="U115" i="41"/>
  <c r="T115" i="41"/>
  <c r="R132" i="41"/>
  <c r="Q132" i="41"/>
  <c r="U114" i="41"/>
  <c r="N132" i="41"/>
  <c r="M115" i="41"/>
  <c r="N114" i="41"/>
  <c r="N151" i="41"/>
  <c r="S151" i="41"/>
  <c r="T114" i="41"/>
  <c r="K115" i="41"/>
  <c r="O100" i="41"/>
  <c r="O151" i="41"/>
  <c r="L100" i="41"/>
  <c r="M100" i="41"/>
  <c r="L137" i="41"/>
  <c r="T119" i="41"/>
  <c r="T137" i="41"/>
  <c r="O101" i="41"/>
  <c r="U100" i="41"/>
  <c r="U137" i="41"/>
  <c r="R136" i="41"/>
  <c r="N119" i="41"/>
  <c r="S136" i="41"/>
  <c r="Q100" i="41"/>
  <c r="T136" i="41"/>
  <c r="R100" i="41"/>
  <c r="Q137" i="41"/>
  <c r="T101" i="41"/>
  <c r="N137" i="41"/>
  <c r="S101" i="41"/>
  <c r="Q101" i="41"/>
  <c r="R101" i="41"/>
  <c r="U118" i="41"/>
  <c r="O136" i="41"/>
  <c r="K137" i="41"/>
  <c r="O137" i="41"/>
  <c r="K136" i="41"/>
  <c r="T118" i="41"/>
  <c r="R137" i="41"/>
  <c r="Q118" i="41"/>
  <c r="S118" i="41"/>
  <c r="R119" i="41"/>
  <c r="Q119" i="41"/>
  <c r="L136" i="41"/>
  <c r="N136" i="41"/>
  <c r="S100" i="41"/>
  <c r="S119" i="41"/>
  <c r="N101" i="41"/>
  <c r="M101" i="41"/>
  <c r="L101" i="41"/>
  <c r="O118" i="41"/>
  <c r="M118" i="41"/>
  <c r="N118" i="41"/>
  <c r="K118" i="41"/>
  <c r="K119" i="41"/>
  <c r="L119" i="41"/>
  <c r="M119" i="41"/>
  <c r="H13" i="31"/>
  <c r="H11" i="31"/>
  <c r="F13" i="31"/>
  <c r="F11" i="31"/>
  <c r="E13" i="31"/>
  <c r="E11" i="31"/>
  <c r="H12" i="31"/>
  <c r="H10" i="31"/>
  <c r="F12" i="31"/>
  <c r="F10" i="31"/>
  <c r="E12" i="31"/>
  <c r="E10" i="31"/>
  <c r="T21" i="41" l="1"/>
  <c r="U21" i="41"/>
  <c r="Q21" i="41"/>
  <c r="R21" i="41"/>
  <c r="S21" i="41"/>
  <c r="T11" i="41"/>
  <c r="S11" i="41"/>
  <c r="U11" i="41"/>
  <c r="R11" i="41"/>
  <c r="Q11" i="41"/>
  <c r="H35" i="31"/>
  <c r="J22" i="41"/>
  <c r="T12" i="41"/>
  <c r="U12" i="41"/>
  <c r="R12" i="41"/>
  <c r="Q12" i="41"/>
  <c r="S12" i="41"/>
  <c r="U22" i="41"/>
  <c r="T22" i="41"/>
  <c r="Q22" i="41"/>
  <c r="R22" i="41"/>
  <c r="S22" i="41"/>
  <c r="J40" i="41"/>
  <c r="G22" i="31"/>
  <c r="J29" i="41" s="1"/>
  <c r="J39" i="41"/>
  <c r="G21" i="31"/>
  <c r="J30" i="41" s="1"/>
  <c r="F22" i="31"/>
  <c r="F21" i="31"/>
  <c r="H21" i="31" s="1"/>
  <c r="D23" i="29"/>
  <c r="C23" i="29"/>
  <c r="D22" i="29"/>
  <c r="C22" i="29"/>
  <c r="D21" i="29"/>
  <c r="C21" i="29"/>
  <c r="D20" i="29"/>
  <c r="C20" i="29"/>
  <c r="D19" i="29"/>
  <c r="C19" i="29"/>
  <c r="D18" i="29"/>
  <c r="C18" i="29"/>
  <c r="H22" i="31" l="1"/>
  <c r="J11" i="41"/>
  <c r="N22" i="41"/>
  <c r="O22" i="41"/>
  <c r="K22" i="41"/>
  <c r="L22" i="41"/>
  <c r="M22" i="41"/>
  <c r="H36" i="31"/>
  <c r="J21" i="41"/>
  <c r="O30" i="41"/>
  <c r="K30" i="41"/>
  <c r="N30" i="41"/>
  <c r="M30" i="41"/>
  <c r="L30" i="41"/>
  <c r="O29" i="41"/>
  <c r="K29" i="41"/>
  <c r="M29" i="41"/>
  <c r="N29" i="41"/>
  <c r="L29" i="41"/>
  <c r="N40" i="41"/>
  <c r="O40" i="41"/>
  <c r="M40" i="41"/>
  <c r="K40" i="41"/>
  <c r="L40" i="41"/>
  <c r="J12" i="41"/>
  <c r="O39" i="41"/>
  <c r="K39" i="41"/>
  <c r="N39" i="41"/>
  <c r="M39" i="41"/>
  <c r="L39" i="41"/>
  <c r="U38" i="38"/>
  <c r="N38" i="38"/>
  <c r="K38" i="38"/>
  <c r="D38" i="38"/>
  <c r="U34" i="38"/>
  <c r="N34" i="38"/>
  <c r="K34" i="38"/>
  <c r="U32" i="38"/>
  <c r="N32" i="38"/>
  <c r="K32" i="38"/>
  <c r="D32" i="38"/>
  <c r="U30" i="38"/>
  <c r="N30" i="38"/>
  <c r="K30" i="38"/>
  <c r="D30" i="38"/>
  <c r="U28" i="38"/>
  <c r="N28" i="38"/>
  <c r="K28" i="38"/>
  <c r="D28" i="38"/>
  <c r="U20" i="38"/>
  <c r="N20" i="38"/>
  <c r="K20" i="38"/>
  <c r="D20" i="38"/>
  <c r="F21" i="38" s="1"/>
  <c r="R34" i="38" l="1"/>
  <c r="Q34" i="38"/>
  <c r="P34" i="38"/>
  <c r="S34" i="38" s="1"/>
  <c r="P35" i="38"/>
  <c r="Q35" i="38"/>
  <c r="R35" i="38"/>
  <c r="I21" i="38"/>
  <c r="J46" i="41"/>
  <c r="N12" i="41"/>
  <c r="K12" i="41"/>
  <c r="L12" i="41"/>
  <c r="O12" i="41"/>
  <c r="M12" i="41"/>
  <c r="N11" i="41"/>
  <c r="K11" i="41"/>
  <c r="M11" i="41"/>
  <c r="L11" i="41"/>
  <c r="O11" i="41"/>
  <c r="N21" i="41"/>
  <c r="K21" i="41"/>
  <c r="L21" i="41"/>
  <c r="O21" i="41"/>
  <c r="M21" i="41"/>
  <c r="R20" i="38"/>
  <c r="P83" i="41" s="1"/>
  <c r="Q20" i="38"/>
  <c r="P65" i="41" s="1"/>
  <c r="P20" i="38"/>
  <c r="P47" i="41" s="1"/>
  <c r="Q28" i="38"/>
  <c r="P69" i="41" s="1"/>
  <c r="P28" i="38"/>
  <c r="P51" i="41" s="1"/>
  <c r="R28" i="38"/>
  <c r="P87" i="41" s="1"/>
  <c r="R30" i="38"/>
  <c r="P89" i="41" s="1"/>
  <c r="Q30" i="38"/>
  <c r="P71" i="41" s="1"/>
  <c r="P30" i="38"/>
  <c r="P53" i="41" s="1"/>
  <c r="P57" i="41"/>
  <c r="P93" i="41"/>
  <c r="P75" i="41"/>
  <c r="Q38" i="38"/>
  <c r="P79" i="41" s="1"/>
  <c r="P38" i="38"/>
  <c r="P61" i="41" s="1"/>
  <c r="R38" i="38"/>
  <c r="P97" i="41" s="1"/>
  <c r="R32" i="38"/>
  <c r="P91" i="41" s="1"/>
  <c r="Q32" i="38"/>
  <c r="P73" i="41" s="1"/>
  <c r="P32" i="38"/>
  <c r="P55" i="41" s="1"/>
  <c r="G20" i="38"/>
  <c r="J65" i="41" s="1"/>
  <c r="F20" i="38"/>
  <c r="J47" i="41" s="1"/>
  <c r="H20" i="38"/>
  <c r="J83" i="41" s="1"/>
  <c r="H28" i="38"/>
  <c r="J87" i="41" s="1"/>
  <c r="G28" i="38"/>
  <c r="J69" i="41" s="1"/>
  <c r="F28" i="38"/>
  <c r="J51" i="41" s="1"/>
  <c r="F30" i="38"/>
  <c r="J53" i="41" s="1"/>
  <c r="H30" i="38"/>
  <c r="J89" i="41" s="1"/>
  <c r="G30" i="38"/>
  <c r="J71" i="41" s="1"/>
  <c r="G32" i="38"/>
  <c r="J73" i="41" s="1"/>
  <c r="F32" i="38"/>
  <c r="J55" i="41" s="1"/>
  <c r="H32" i="38"/>
  <c r="J91" i="41" s="1"/>
  <c r="J93" i="41"/>
  <c r="J75" i="41"/>
  <c r="J57" i="41"/>
  <c r="H38" i="38"/>
  <c r="J97" i="41" s="1"/>
  <c r="G38" i="38"/>
  <c r="J79" i="41" s="1"/>
  <c r="F38" i="38"/>
  <c r="J61" i="41" s="1"/>
  <c r="Q21" i="38"/>
  <c r="P64" i="41" s="1"/>
  <c r="Q33" i="38"/>
  <c r="P72" i="41" s="1"/>
  <c r="Q29" i="38"/>
  <c r="P68" i="41" s="1"/>
  <c r="Q31" i="38"/>
  <c r="P70" i="41" s="1"/>
  <c r="P74" i="41"/>
  <c r="Q39" i="38"/>
  <c r="P78" i="41" s="1"/>
  <c r="G21" i="38"/>
  <c r="J64" i="41" s="1"/>
  <c r="G29" i="38"/>
  <c r="J68" i="41" s="1"/>
  <c r="G31" i="38"/>
  <c r="J70" i="41" s="1"/>
  <c r="G33" i="38"/>
  <c r="J72" i="41" s="1"/>
  <c r="J74" i="41"/>
  <c r="G39" i="38"/>
  <c r="J78" i="41" s="1"/>
  <c r="H21" i="38"/>
  <c r="J82" i="41" s="1"/>
  <c r="H29" i="38"/>
  <c r="J86" i="41" s="1"/>
  <c r="H31" i="38"/>
  <c r="J88" i="41" s="1"/>
  <c r="H33" i="38"/>
  <c r="J90" i="41" s="1"/>
  <c r="J92" i="41"/>
  <c r="H39" i="38"/>
  <c r="J96" i="41" s="1"/>
  <c r="L96" i="41" s="1"/>
  <c r="R21" i="38"/>
  <c r="P82" i="41" s="1"/>
  <c r="R29" i="38"/>
  <c r="P86" i="41" s="1"/>
  <c r="R31" i="38"/>
  <c r="P88" i="41" s="1"/>
  <c r="R33" i="38"/>
  <c r="P90" i="41" s="1"/>
  <c r="P92" i="41"/>
  <c r="R39" i="38"/>
  <c r="P96" i="41" s="1"/>
  <c r="P21" i="38"/>
  <c r="P46" i="41" s="1"/>
  <c r="F29" i="38"/>
  <c r="J50" i="41" s="1"/>
  <c r="P29" i="38"/>
  <c r="P50" i="41" s="1"/>
  <c r="F31" i="38"/>
  <c r="J52" i="41" s="1"/>
  <c r="P31" i="38"/>
  <c r="P52" i="41" s="1"/>
  <c r="F33" i="38"/>
  <c r="J54" i="41" s="1"/>
  <c r="P33" i="38"/>
  <c r="P54" i="41" s="1"/>
  <c r="J56" i="41"/>
  <c r="P56" i="41"/>
  <c r="F39" i="38"/>
  <c r="J60" i="41" s="1"/>
  <c r="P39" i="38"/>
  <c r="P60" i="41" s="1"/>
  <c r="N71" i="41" l="1"/>
  <c r="M71" i="41"/>
  <c r="K71" i="41"/>
  <c r="L71" i="41"/>
  <c r="O71" i="41"/>
  <c r="U89" i="41"/>
  <c r="Q89" i="41"/>
  <c r="S89" i="41"/>
  <c r="T89" i="41"/>
  <c r="R89" i="41"/>
  <c r="K91" i="41"/>
  <c r="L91" i="41"/>
  <c r="O91" i="41"/>
  <c r="M91" i="41"/>
  <c r="N91" i="41"/>
  <c r="O89" i="41"/>
  <c r="K89" i="41"/>
  <c r="N89" i="41"/>
  <c r="L89" i="41"/>
  <c r="M89" i="41"/>
  <c r="K87" i="41"/>
  <c r="M87" i="41"/>
  <c r="N87" i="41"/>
  <c r="O87" i="41"/>
  <c r="L87" i="41"/>
  <c r="T55" i="41"/>
  <c r="R55" i="41"/>
  <c r="S55" i="41"/>
  <c r="Q55" i="41"/>
  <c r="U55" i="41"/>
  <c r="U57" i="41"/>
  <c r="Q57" i="41"/>
  <c r="R57" i="41"/>
  <c r="T57" i="41"/>
  <c r="S57" i="41"/>
  <c r="U87" i="41"/>
  <c r="S87" i="41"/>
  <c r="T87" i="41"/>
  <c r="Q87" i="41"/>
  <c r="R87" i="41"/>
  <c r="M93" i="41"/>
  <c r="N93" i="41"/>
  <c r="L93" i="41"/>
  <c r="O93" i="41"/>
  <c r="K93" i="41"/>
  <c r="M57" i="41"/>
  <c r="O57" i="41"/>
  <c r="L57" i="41"/>
  <c r="N57" i="41"/>
  <c r="K57" i="41"/>
  <c r="L55" i="41"/>
  <c r="O55" i="41"/>
  <c r="M55" i="41"/>
  <c r="N55" i="41"/>
  <c r="K55" i="41"/>
  <c r="N53" i="41"/>
  <c r="L53" i="41"/>
  <c r="K53" i="41"/>
  <c r="O53" i="41"/>
  <c r="M53" i="41"/>
  <c r="U73" i="41"/>
  <c r="R73" i="41"/>
  <c r="S73" i="41"/>
  <c r="Q73" i="41"/>
  <c r="T73" i="41"/>
  <c r="U53" i="41"/>
  <c r="R53" i="41"/>
  <c r="T53" i="41"/>
  <c r="Q53" i="41"/>
  <c r="S53" i="41"/>
  <c r="U51" i="41"/>
  <c r="R51" i="41"/>
  <c r="T51" i="41"/>
  <c r="S51" i="41"/>
  <c r="Q51" i="41"/>
  <c r="O69" i="41"/>
  <c r="N69" i="41"/>
  <c r="L69" i="41"/>
  <c r="K69" i="41"/>
  <c r="M69" i="41"/>
  <c r="R93" i="41"/>
  <c r="S93" i="41"/>
  <c r="Q93" i="41"/>
  <c r="T93" i="41"/>
  <c r="U93" i="41"/>
  <c r="O75" i="41"/>
  <c r="M75" i="41"/>
  <c r="N75" i="41"/>
  <c r="L75" i="41"/>
  <c r="K75" i="41"/>
  <c r="N73" i="41"/>
  <c r="M73" i="41"/>
  <c r="K73" i="41"/>
  <c r="O73" i="41"/>
  <c r="L73" i="41"/>
  <c r="M51" i="41"/>
  <c r="O51" i="41"/>
  <c r="L51" i="41"/>
  <c r="N51" i="41"/>
  <c r="K51" i="41"/>
  <c r="U91" i="41"/>
  <c r="T91" i="41"/>
  <c r="Q91" i="41"/>
  <c r="R91" i="41"/>
  <c r="S91" i="41"/>
  <c r="T75" i="41"/>
  <c r="R75" i="41"/>
  <c r="S75" i="41"/>
  <c r="Q75" i="41"/>
  <c r="U75" i="41"/>
  <c r="T71" i="41"/>
  <c r="U71" i="41"/>
  <c r="Q71" i="41"/>
  <c r="S71" i="41"/>
  <c r="R71" i="41"/>
  <c r="T69" i="41"/>
  <c r="Q69" i="41"/>
  <c r="U69" i="41"/>
  <c r="R69" i="41"/>
  <c r="S69" i="41"/>
  <c r="U50" i="41"/>
  <c r="Q50" i="41"/>
  <c r="T50" i="41"/>
  <c r="R50" i="41"/>
  <c r="S50" i="41"/>
  <c r="L74" i="41"/>
  <c r="O74" i="41"/>
  <c r="K74" i="41"/>
  <c r="N74" i="41"/>
  <c r="M74" i="41"/>
  <c r="U68" i="41"/>
  <c r="Q68" i="41"/>
  <c r="T68" i="41"/>
  <c r="S68" i="41"/>
  <c r="R68" i="41"/>
  <c r="U54" i="41"/>
  <c r="T54" i="41"/>
  <c r="S54" i="41"/>
  <c r="Q54" i="41"/>
  <c r="R54" i="41"/>
  <c r="Q92" i="41"/>
  <c r="T92" i="41"/>
  <c r="S92" i="41"/>
  <c r="R92" i="41"/>
  <c r="U92" i="41"/>
  <c r="L88" i="41"/>
  <c r="N88" i="41"/>
  <c r="O88" i="41"/>
  <c r="M88" i="41"/>
  <c r="K88" i="41"/>
  <c r="O54" i="41"/>
  <c r="N54" i="41"/>
  <c r="M54" i="41"/>
  <c r="K54" i="41"/>
  <c r="L54" i="41"/>
  <c r="O50" i="41"/>
  <c r="K50" i="41"/>
  <c r="N50" i="41"/>
  <c r="L50" i="41"/>
  <c r="M50" i="41"/>
  <c r="U90" i="41"/>
  <c r="R90" i="41"/>
  <c r="T90" i="41"/>
  <c r="Q90" i="41"/>
  <c r="S90" i="41"/>
  <c r="O86" i="41"/>
  <c r="K86" i="41"/>
  <c r="M86" i="41"/>
  <c r="N86" i="41"/>
  <c r="L86" i="41"/>
  <c r="N72" i="41"/>
  <c r="M72" i="41"/>
  <c r="O72" i="41"/>
  <c r="L72" i="41"/>
  <c r="K72" i="41"/>
  <c r="U72" i="41"/>
  <c r="T72" i="41"/>
  <c r="S72" i="41"/>
  <c r="Q72" i="41"/>
  <c r="R72" i="41"/>
  <c r="U52" i="41"/>
  <c r="S52" i="41"/>
  <c r="Q52" i="41"/>
  <c r="T52" i="41"/>
  <c r="R52" i="41"/>
  <c r="R88" i="41"/>
  <c r="Q88" i="41"/>
  <c r="T88" i="41"/>
  <c r="U88" i="41"/>
  <c r="S88" i="41"/>
  <c r="U74" i="41"/>
  <c r="Q74" i="41"/>
  <c r="S74" i="41"/>
  <c r="T74" i="41"/>
  <c r="R74" i="41"/>
  <c r="U56" i="41"/>
  <c r="Q56" i="41"/>
  <c r="S56" i="41"/>
  <c r="T56" i="41"/>
  <c r="R56" i="41"/>
  <c r="N92" i="41"/>
  <c r="M92" i="41"/>
  <c r="L92" i="41"/>
  <c r="K92" i="41"/>
  <c r="O92" i="41"/>
  <c r="N70" i="41"/>
  <c r="M70" i="41"/>
  <c r="K70" i="41"/>
  <c r="O70" i="41"/>
  <c r="L70" i="41"/>
  <c r="O56" i="41"/>
  <c r="K56" i="41"/>
  <c r="M56" i="41"/>
  <c r="L56" i="41"/>
  <c r="N56" i="41"/>
  <c r="O52" i="41"/>
  <c r="M52" i="41"/>
  <c r="K52" i="41"/>
  <c r="N52" i="41"/>
  <c r="L52" i="41"/>
  <c r="U86" i="41"/>
  <c r="Q86" i="41"/>
  <c r="T86" i="41"/>
  <c r="R86" i="41"/>
  <c r="S86" i="41"/>
  <c r="M90" i="41"/>
  <c r="O90" i="41"/>
  <c r="N90" i="41"/>
  <c r="L90" i="41"/>
  <c r="K90" i="41"/>
  <c r="O68" i="41"/>
  <c r="K68" i="41"/>
  <c r="N68" i="41"/>
  <c r="L68" i="41"/>
  <c r="M68" i="41"/>
  <c r="U70" i="41"/>
  <c r="S70" i="41"/>
  <c r="Q70" i="41"/>
  <c r="T70" i="41"/>
  <c r="R70" i="41"/>
  <c r="I31" i="38"/>
  <c r="S29" i="38"/>
  <c r="M78" i="41"/>
  <c r="J39" i="38"/>
  <c r="T31" i="38"/>
  <c r="J32" i="38"/>
  <c r="L47" i="41"/>
  <c r="I20" i="38"/>
  <c r="T34" i="38"/>
  <c r="T28" i="38"/>
  <c r="I29" i="38"/>
  <c r="T29" i="38"/>
  <c r="J30" i="38"/>
  <c r="L65" i="41"/>
  <c r="J20" i="38"/>
  <c r="Q97" i="41"/>
  <c r="Q47" i="41"/>
  <c r="S20" i="38"/>
  <c r="I35" i="38"/>
  <c r="T60" i="41"/>
  <c r="S39" i="38"/>
  <c r="S33" i="38"/>
  <c r="Q96" i="41"/>
  <c r="J29" i="38"/>
  <c r="O61" i="41"/>
  <c r="I38" i="38"/>
  <c r="J34" i="38"/>
  <c r="I28" i="38"/>
  <c r="T30" i="38"/>
  <c r="L60" i="41"/>
  <c r="I39" i="38"/>
  <c r="I33" i="38"/>
  <c r="U82" i="41"/>
  <c r="J35" i="38"/>
  <c r="M64" i="41"/>
  <c r="J21" i="38"/>
  <c r="O79" i="41"/>
  <c r="J38" i="38"/>
  <c r="J28" i="38"/>
  <c r="S35" i="38"/>
  <c r="S31" i="38"/>
  <c r="T46" i="41"/>
  <c r="S21" i="38"/>
  <c r="J33" i="38"/>
  <c r="S78" i="41"/>
  <c r="T39" i="38"/>
  <c r="T33" i="38"/>
  <c r="K97" i="41"/>
  <c r="S32" i="38"/>
  <c r="Q61" i="41"/>
  <c r="S38" i="38"/>
  <c r="R65" i="41"/>
  <c r="T20" i="38"/>
  <c r="L82" i="41"/>
  <c r="J31" i="38"/>
  <c r="T35" i="38"/>
  <c r="R64" i="41"/>
  <c r="T21" i="38"/>
  <c r="I34" i="38"/>
  <c r="I32" i="38"/>
  <c r="I30" i="38"/>
  <c r="O83" i="41"/>
  <c r="T32" i="38"/>
  <c r="R79" i="41"/>
  <c r="T38" i="38"/>
  <c r="S30" i="38"/>
  <c r="S28" i="38"/>
  <c r="Q83" i="41"/>
  <c r="O46" i="41"/>
  <c r="N46" i="41"/>
  <c r="M46" i="41"/>
  <c r="L46" i="41"/>
  <c r="K46" i="41"/>
  <c r="L31" i="31"/>
  <c r="Q19" i="31"/>
  <c r="L19" i="31"/>
  <c r="Q37" i="31"/>
  <c r="L37" i="31"/>
  <c r="Q33" i="31"/>
  <c r="Q31" i="31"/>
  <c r="Q29" i="31"/>
  <c r="L29" i="31"/>
  <c r="Q27" i="31"/>
  <c r="L27" i="31"/>
  <c r="K47" i="41" l="1"/>
  <c r="U60" i="41"/>
  <c r="O47" i="41"/>
  <c r="U61" i="41"/>
  <c r="M65" i="41"/>
  <c r="L61" i="41"/>
  <c r="T65" i="41"/>
  <c r="Q78" i="41"/>
  <c r="Q82" i="41"/>
  <c r="S96" i="41"/>
  <c r="Q64" i="41"/>
  <c r="U97" i="41"/>
  <c r="N96" i="41"/>
  <c r="N64" i="41"/>
  <c r="S82" i="41"/>
  <c r="N78" i="41"/>
  <c r="S83" i="41"/>
  <c r="N82" i="41"/>
  <c r="O60" i="41"/>
  <c r="N47" i="41"/>
  <c r="U46" i="41"/>
  <c r="S47" i="41"/>
  <c r="K65" i="41"/>
  <c r="N79" i="41"/>
  <c r="Q60" i="41"/>
  <c r="K82" i="41"/>
  <c r="S97" i="41"/>
  <c r="T61" i="41"/>
  <c r="M97" i="41"/>
  <c r="R78" i="41"/>
  <c r="M96" i="41"/>
  <c r="T47" i="41"/>
  <c r="N65" i="41"/>
  <c r="M79" i="41"/>
  <c r="O78" i="41"/>
  <c r="U96" i="41"/>
  <c r="U83" i="41"/>
  <c r="N60" i="41"/>
  <c r="M47" i="41"/>
  <c r="S46" i="41"/>
  <c r="U47" i="41"/>
  <c r="O65" i="41"/>
  <c r="K64" i="41"/>
  <c r="R82" i="41"/>
  <c r="N61" i="41"/>
  <c r="L78" i="41"/>
  <c r="S60" i="41"/>
  <c r="K83" i="41"/>
  <c r="S64" i="41"/>
  <c r="N83" i="41"/>
  <c r="L83" i="41"/>
  <c r="Q65" i="41"/>
  <c r="S65" i="41"/>
  <c r="S79" i="41"/>
  <c r="U79" i="41"/>
  <c r="T79" i="41"/>
  <c r="M83" i="41"/>
  <c r="T64" i="41"/>
  <c r="U64" i="41"/>
  <c r="Q79" i="41"/>
  <c r="U65" i="41"/>
  <c r="L97" i="41"/>
  <c r="N97" i="41"/>
  <c r="T78" i="41"/>
  <c r="R83" i="41"/>
  <c r="O82" i="41"/>
  <c r="R97" i="41"/>
  <c r="T97" i="41"/>
  <c r="K60" i="41"/>
  <c r="M60" i="41"/>
  <c r="S61" i="41"/>
  <c r="O97" i="41"/>
  <c r="U78" i="41"/>
  <c r="K96" i="41"/>
  <c r="O96" i="41"/>
  <c r="Q46" i="41"/>
  <c r="R47" i="41"/>
  <c r="K79" i="41"/>
  <c r="L64" i="41"/>
  <c r="O64" i="41"/>
  <c r="T82" i="41"/>
  <c r="M61" i="41"/>
  <c r="K61" i="41"/>
  <c r="K78" i="41"/>
  <c r="T96" i="41"/>
  <c r="R60" i="41"/>
  <c r="T83" i="41"/>
  <c r="M82" i="41"/>
  <c r="R61" i="41"/>
  <c r="R46" i="41"/>
  <c r="L79" i="41"/>
  <c r="R96" i="41"/>
  <c r="O27" i="31"/>
  <c r="P32" i="41" s="1"/>
  <c r="N27" i="31"/>
  <c r="P38" i="41"/>
  <c r="O19" i="31"/>
  <c r="P28" i="41" s="1"/>
  <c r="N19" i="31"/>
  <c r="O30" i="31"/>
  <c r="P33" i="41" s="1"/>
  <c r="N30" i="31"/>
  <c r="O29" i="31"/>
  <c r="P34" i="41" s="1"/>
  <c r="N29" i="31"/>
  <c r="O37" i="31"/>
  <c r="P42" i="41" s="1"/>
  <c r="O38" i="31"/>
  <c r="P41" i="41" s="1"/>
  <c r="N37" i="31"/>
  <c r="N38" i="31"/>
  <c r="O31" i="31"/>
  <c r="P36" i="41" s="1"/>
  <c r="N31" i="31"/>
  <c r="O32" i="31"/>
  <c r="P35" i="41" s="1"/>
  <c r="N32" i="31"/>
  <c r="O20" i="31"/>
  <c r="P27" i="41" s="1"/>
  <c r="N20" i="31"/>
  <c r="D37" i="31"/>
  <c r="D33" i="31"/>
  <c r="D31" i="31"/>
  <c r="D29" i="31"/>
  <c r="D27" i="31"/>
  <c r="D19" i="31"/>
  <c r="F33" i="31" l="1"/>
  <c r="G33" i="31"/>
  <c r="G34" i="31"/>
  <c r="F34" i="31"/>
  <c r="U38" i="41"/>
  <c r="S38" i="41"/>
  <c r="R38" i="41"/>
  <c r="Q38" i="41"/>
  <c r="T38" i="41"/>
  <c r="P32" i="31"/>
  <c r="P17" i="41"/>
  <c r="P38" i="31"/>
  <c r="P23" i="41"/>
  <c r="Q23" i="41" s="1"/>
  <c r="P29" i="31"/>
  <c r="P16" i="41"/>
  <c r="P19" i="31"/>
  <c r="P10" i="41"/>
  <c r="Q10" i="41" s="1"/>
  <c r="P27" i="31"/>
  <c r="P14" i="41"/>
  <c r="P20" i="31"/>
  <c r="P9" i="41"/>
  <c r="Q9" i="41" s="1"/>
  <c r="P31" i="31"/>
  <c r="P18" i="41"/>
  <c r="P30" i="31"/>
  <c r="P15" i="41"/>
  <c r="P33" i="31"/>
  <c r="P20" i="41"/>
  <c r="T36" i="41"/>
  <c r="S36" i="41"/>
  <c r="U36" i="41"/>
  <c r="R36" i="41"/>
  <c r="Q36" i="41"/>
  <c r="U33" i="41"/>
  <c r="T33" i="41"/>
  <c r="R33" i="41"/>
  <c r="S33" i="41"/>
  <c r="Q33" i="41"/>
  <c r="U35" i="41"/>
  <c r="R35" i="41"/>
  <c r="S35" i="41"/>
  <c r="Q35" i="41"/>
  <c r="T35" i="41"/>
  <c r="P37" i="31"/>
  <c r="P24" i="41"/>
  <c r="U24" i="41" s="1"/>
  <c r="U34" i="41"/>
  <c r="T34" i="41"/>
  <c r="R34" i="41"/>
  <c r="S34" i="41"/>
  <c r="Q34" i="41"/>
  <c r="U32" i="41"/>
  <c r="T32" i="41"/>
  <c r="S32" i="41"/>
  <c r="R32" i="41"/>
  <c r="Q32" i="41"/>
  <c r="G37" i="31"/>
  <c r="J42" i="41" s="1"/>
  <c r="G38" i="31"/>
  <c r="J41" i="41" s="1"/>
  <c r="G29" i="31"/>
  <c r="J34" i="41" s="1"/>
  <c r="G30" i="31"/>
  <c r="J33" i="41" s="1"/>
  <c r="G20" i="31"/>
  <c r="J27" i="41" s="1"/>
  <c r="G19" i="31"/>
  <c r="J28" i="41" s="1"/>
  <c r="K28" i="41" s="1"/>
  <c r="J37" i="41"/>
  <c r="J38" i="41"/>
  <c r="F28" i="31"/>
  <c r="J13" i="41" s="1"/>
  <c r="L13" i="41" s="1"/>
  <c r="G28" i="31"/>
  <c r="J31" i="41" s="1"/>
  <c r="G27" i="31"/>
  <c r="J32" i="41" s="1"/>
  <c r="G32" i="31"/>
  <c r="J35" i="41" s="1"/>
  <c r="G31" i="31"/>
  <c r="J36" i="41" s="1"/>
  <c r="R42" i="41"/>
  <c r="U41" i="41"/>
  <c r="T27" i="41"/>
  <c r="R28" i="41"/>
  <c r="F19" i="31"/>
  <c r="F20" i="31"/>
  <c r="J9" i="41" s="1"/>
  <c r="F27" i="31"/>
  <c r="F37" i="31"/>
  <c r="J24" i="41" s="1"/>
  <c r="F29" i="31"/>
  <c r="J16" i="41" s="1"/>
  <c r="F31" i="31"/>
  <c r="J18" i="41" s="1"/>
  <c r="J20" i="41"/>
  <c r="F32" i="31"/>
  <c r="J17" i="41" s="1"/>
  <c r="F38" i="31"/>
  <c r="J23" i="41" s="1"/>
  <c r="F30" i="31"/>
  <c r="N28" i="31"/>
  <c r="O28" i="31"/>
  <c r="P31" i="41" s="1"/>
  <c r="P37" i="41"/>
  <c r="J15" i="41" l="1"/>
  <c r="N15" i="41" s="1"/>
  <c r="H30" i="31"/>
  <c r="H28" i="31"/>
  <c r="O36" i="41"/>
  <c r="L36" i="41"/>
  <c r="M36" i="41"/>
  <c r="K36" i="41"/>
  <c r="N36" i="41"/>
  <c r="O35" i="41"/>
  <c r="L35" i="41"/>
  <c r="K35" i="41"/>
  <c r="N35" i="41"/>
  <c r="M35" i="41"/>
  <c r="U14" i="41"/>
  <c r="T14" i="41"/>
  <c r="Q14" i="41"/>
  <c r="S14" i="41"/>
  <c r="R14" i="41"/>
  <c r="U37" i="41"/>
  <c r="S37" i="41"/>
  <c r="R37" i="41"/>
  <c r="Q37" i="41"/>
  <c r="T37" i="41"/>
  <c r="O32" i="41"/>
  <c r="K32" i="41"/>
  <c r="L32" i="41"/>
  <c r="N32" i="41"/>
  <c r="M32" i="41"/>
  <c r="O37" i="41"/>
  <c r="M37" i="41"/>
  <c r="K37" i="41"/>
  <c r="L37" i="41"/>
  <c r="N37" i="41"/>
  <c r="O33" i="41"/>
  <c r="N33" i="41"/>
  <c r="M33" i="41"/>
  <c r="L33" i="41"/>
  <c r="K33" i="41"/>
  <c r="P34" i="31"/>
  <c r="P19" i="41"/>
  <c r="P28" i="31"/>
  <c r="P13" i="41"/>
  <c r="H27" i="31"/>
  <c r="J14" i="41"/>
  <c r="K14" i="41" s="1"/>
  <c r="O38" i="41"/>
  <c r="M38" i="41"/>
  <c r="N38" i="41"/>
  <c r="L38" i="41"/>
  <c r="K38" i="41"/>
  <c r="T20" i="41"/>
  <c r="R20" i="41"/>
  <c r="S20" i="41"/>
  <c r="U20" i="41"/>
  <c r="Q20" i="41"/>
  <c r="U18" i="41"/>
  <c r="Q18" i="41"/>
  <c r="R18" i="41"/>
  <c r="S18" i="41"/>
  <c r="T18" i="41"/>
  <c r="T16" i="41"/>
  <c r="Q16" i="41"/>
  <c r="S16" i="41"/>
  <c r="U16" i="41"/>
  <c r="R16" i="41"/>
  <c r="T17" i="41"/>
  <c r="S17" i="41"/>
  <c r="U17" i="41"/>
  <c r="R17" i="41"/>
  <c r="Q17" i="41"/>
  <c r="U31" i="41"/>
  <c r="S31" i="41"/>
  <c r="R31" i="41"/>
  <c r="Q31" i="41"/>
  <c r="T31" i="41"/>
  <c r="H19" i="31"/>
  <c r="J10" i="41"/>
  <c r="N10" i="41" s="1"/>
  <c r="O31" i="41"/>
  <c r="M31" i="41"/>
  <c r="L31" i="41"/>
  <c r="K31" i="41"/>
  <c r="N31" i="41"/>
  <c r="H34" i="31"/>
  <c r="J19" i="41"/>
  <c r="O19" i="41" s="1"/>
  <c r="O34" i="41"/>
  <c r="N34" i="41"/>
  <c r="M34" i="41"/>
  <c r="L34" i="41"/>
  <c r="K34" i="41"/>
  <c r="T15" i="41"/>
  <c r="S15" i="41"/>
  <c r="Q15" i="41"/>
  <c r="U15" i="41"/>
  <c r="R15" i="41"/>
  <c r="R24" i="41"/>
  <c r="S42" i="41"/>
  <c r="T42" i="41"/>
  <c r="R41" i="41"/>
  <c r="U42" i="41"/>
  <c r="R23" i="41"/>
  <c r="R9" i="41"/>
  <c r="S10" i="41"/>
  <c r="S23" i="41"/>
  <c r="Q42" i="41"/>
  <c r="S41" i="41"/>
  <c r="T24" i="41"/>
  <c r="Q41" i="41"/>
  <c r="U28" i="41"/>
  <c r="S24" i="41"/>
  <c r="T41" i="41"/>
  <c r="U9" i="41"/>
  <c r="U10" i="41"/>
  <c r="T23" i="41"/>
  <c r="T10" i="41"/>
  <c r="S9" i="41"/>
  <c r="U23" i="41"/>
  <c r="Q24" i="41"/>
  <c r="R10" i="41"/>
  <c r="Q27" i="41"/>
  <c r="S27" i="41"/>
  <c r="T9" i="41"/>
  <c r="T28" i="41"/>
  <c r="R27" i="41"/>
  <c r="S28" i="41"/>
  <c r="U27" i="41"/>
  <c r="Q28" i="41"/>
  <c r="M13" i="41"/>
  <c r="O13" i="41"/>
  <c r="K13" i="41"/>
  <c r="N13" i="41"/>
  <c r="M28" i="41"/>
  <c r="O28" i="41"/>
  <c r="N28" i="41"/>
  <c r="L28" i="41"/>
  <c r="M41" i="41"/>
  <c r="N23" i="41"/>
  <c r="H38" i="31"/>
  <c r="L42" i="41"/>
  <c r="O17" i="41"/>
  <c r="H32" i="31"/>
  <c r="O20" i="41"/>
  <c r="H33" i="31"/>
  <c r="O27" i="41"/>
  <c r="O16" i="41"/>
  <c r="H29" i="31"/>
  <c r="K9" i="41"/>
  <c r="H20" i="31"/>
  <c r="L18" i="41"/>
  <c r="H31" i="31"/>
  <c r="K24" i="41"/>
  <c r="H37" i="31"/>
  <c r="I27" i="31"/>
  <c r="I29" i="31"/>
  <c r="I31" i="31"/>
  <c r="I33" i="31"/>
  <c r="I19" i="31"/>
  <c r="N19" i="41" l="1"/>
  <c r="L19" i="41"/>
  <c r="K19" i="41"/>
  <c r="T13" i="41"/>
  <c r="U13" i="41"/>
  <c r="Q13" i="41"/>
  <c r="S13" i="41"/>
  <c r="R13" i="41"/>
  <c r="M19" i="41"/>
  <c r="T19" i="41"/>
  <c r="U19" i="41"/>
  <c r="R19" i="41"/>
  <c r="Q19" i="41"/>
  <c r="S19" i="41"/>
  <c r="L41" i="41"/>
  <c r="O41" i="41"/>
  <c r="L17" i="41"/>
  <c r="L20" i="41"/>
  <c r="K10" i="41"/>
  <c r="L14" i="41"/>
  <c r="N42" i="41"/>
  <c r="N24" i="41"/>
  <c r="M24" i="41"/>
  <c r="O9" i="41"/>
  <c r="K20" i="41"/>
  <c r="N9" i="41"/>
  <c r="O42" i="41"/>
  <c r="M10" i="41"/>
  <c r="M20" i="41"/>
  <c r="L27" i="41"/>
  <c r="L10" i="41"/>
  <c r="N14" i="41"/>
  <c r="N20" i="41"/>
  <c r="N27" i="41"/>
  <c r="M42" i="41"/>
  <c r="O10" i="41"/>
  <c r="M14" i="41"/>
  <c r="O14" i="41"/>
  <c r="M15" i="41"/>
  <c r="K42" i="41"/>
  <c r="O23" i="41"/>
  <c r="N41" i="41"/>
  <c r="L9" i="41"/>
  <c r="O24" i="41"/>
  <c r="K17" i="41"/>
  <c r="K41" i="41"/>
  <c r="L23" i="41"/>
  <c r="M17" i="41"/>
  <c r="N17" i="41"/>
  <c r="K23" i="41"/>
  <c r="M9" i="41"/>
  <c r="M27" i="41"/>
  <c r="M23" i="41"/>
  <c r="L24" i="41"/>
  <c r="M18" i="41"/>
  <c r="L15" i="41"/>
  <c r="O15" i="41"/>
  <c r="N18" i="41"/>
  <c r="K15" i="41"/>
  <c r="O18" i="41"/>
  <c r="M16" i="41"/>
  <c r="K18" i="41"/>
  <c r="K16" i="41"/>
  <c r="L16" i="41"/>
  <c r="K27" i="41"/>
  <c r="N16" i="41"/>
  <c r="L43" i="39" l="1"/>
  <c r="D43" i="39"/>
  <c r="D43" i="38"/>
  <c r="N43" i="38"/>
  <c r="L43" i="31"/>
  <c r="D43" i="31"/>
  <c r="G43" i="31" s="1"/>
  <c r="J43" i="41" s="1"/>
  <c r="P8" i="29"/>
  <c r="P6" i="29"/>
  <c r="P7" i="29"/>
  <c r="H43" i="39" l="1"/>
  <c r="J152" i="41" s="1"/>
  <c r="H44" i="39"/>
  <c r="J153" i="41" s="1"/>
  <c r="G43" i="39"/>
  <c r="J134" i="41" s="1"/>
  <c r="F43" i="39"/>
  <c r="J116" i="41" s="1"/>
  <c r="G44" i="39"/>
  <c r="J135" i="41" s="1"/>
  <c r="F44" i="39"/>
  <c r="J117" i="41" s="1"/>
  <c r="O44" i="39"/>
  <c r="P135" i="41" s="1"/>
  <c r="P44" i="39"/>
  <c r="P153" i="41" s="1"/>
  <c r="N43" i="39"/>
  <c r="P116" i="41" s="1"/>
  <c r="P43" i="39"/>
  <c r="P152" i="41" s="1"/>
  <c r="O43" i="39"/>
  <c r="P134" i="41" s="1"/>
  <c r="N44" i="39"/>
  <c r="P117" i="41" s="1"/>
  <c r="Q44" i="38"/>
  <c r="P81" i="41" s="1"/>
  <c r="P44" i="38"/>
  <c r="P63" i="41" s="1"/>
  <c r="R44" i="38"/>
  <c r="P99" i="41" s="1"/>
  <c r="H44" i="38"/>
  <c r="J99" i="41" s="1"/>
  <c r="G44" i="38"/>
  <c r="J81" i="41" s="1"/>
  <c r="F44" i="38"/>
  <c r="J63" i="41" s="1"/>
  <c r="N43" i="31"/>
  <c r="P25" i="41" s="1"/>
  <c r="O43" i="31"/>
  <c r="P43" i="41" s="1"/>
  <c r="O44" i="31"/>
  <c r="P44" i="41" s="1"/>
  <c r="N44" i="31"/>
  <c r="F44" i="31"/>
  <c r="G44" i="31"/>
  <c r="J44" i="41" s="1"/>
  <c r="F43" i="31"/>
  <c r="P43" i="38"/>
  <c r="P62" i="41" s="1"/>
  <c r="Q43" i="38"/>
  <c r="P80" i="41" s="1"/>
  <c r="R43" i="38"/>
  <c r="P98" i="41" s="1"/>
  <c r="G43" i="38"/>
  <c r="J80" i="41" s="1"/>
  <c r="H43" i="38"/>
  <c r="J98" i="41" s="1"/>
  <c r="F43" i="38"/>
  <c r="J62" i="41" s="1"/>
  <c r="P44" i="31" l="1"/>
  <c r="P26" i="41"/>
  <c r="H44" i="31"/>
  <c r="J26" i="41"/>
  <c r="H43" i="31"/>
  <c r="J25" i="41"/>
  <c r="K25" i="41" s="1"/>
  <c r="S43" i="41"/>
  <c r="U25" i="41"/>
  <c r="P43" i="31"/>
  <c r="D89" i="38"/>
  <c r="D98" i="39"/>
  <c r="D96" i="39"/>
  <c r="D92" i="39"/>
  <c r="D86" i="38"/>
  <c r="D88" i="39"/>
  <c r="D97" i="39"/>
  <c r="D91" i="39"/>
  <c r="D82" i="38"/>
  <c r="D78" i="38"/>
  <c r="D80" i="38"/>
  <c r="D79" i="38"/>
  <c r="D91" i="38"/>
  <c r="D88" i="38"/>
  <c r="D87" i="39"/>
  <c r="D101" i="39"/>
  <c r="D99" i="39"/>
  <c r="D81" i="38"/>
  <c r="D77" i="38"/>
  <c r="D90" i="38"/>
  <c r="D87" i="38"/>
  <c r="D89" i="39"/>
  <c r="D100" i="39"/>
  <c r="D90" i="39"/>
  <c r="Q43" i="41" l="1"/>
  <c r="T43" i="41"/>
  <c r="U43" i="41"/>
  <c r="S25" i="41"/>
  <c r="R25" i="41"/>
  <c r="R43" i="41"/>
  <c r="Q25" i="41"/>
  <c r="T25" i="41"/>
  <c r="T116" i="41"/>
  <c r="R116" i="41"/>
  <c r="S116" i="41"/>
  <c r="Q116" i="41"/>
  <c r="U116" i="41"/>
  <c r="O80" i="41"/>
  <c r="L80" i="41"/>
  <c r="N80" i="41"/>
  <c r="M80" i="41"/>
  <c r="K80" i="41"/>
  <c r="S63" i="41"/>
  <c r="U63" i="41"/>
  <c r="T63" i="41"/>
  <c r="R63" i="41"/>
  <c r="Q63" i="41"/>
  <c r="U80" i="41"/>
  <c r="S80" i="41"/>
  <c r="R80" i="41"/>
  <c r="T80" i="41"/>
  <c r="Q80" i="41"/>
  <c r="U134" i="41"/>
  <c r="Q134" i="41"/>
  <c r="T134" i="41"/>
  <c r="R134" i="41"/>
  <c r="S134" i="41"/>
  <c r="O116" i="41"/>
  <c r="N116" i="41"/>
  <c r="K116" i="41"/>
  <c r="M116" i="41"/>
  <c r="L116" i="41"/>
  <c r="Q117" i="41"/>
  <c r="U117" i="41"/>
  <c r="T117" i="41"/>
  <c r="S117" i="41"/>
  <c r="R117" i="41"/>
  <c r="L152" i="41"/>
  <c r="O152" i="41"/>
  <c r="N152" i="41"/>
  <c r="K152" i="41"/>
  <c r="M152" i="41"/>
  <c r="O81" i="41"/>
  <c r="N81" i="41"/>
  <c r="M81" i="41"/>
  <c r="K81" i="41"/>
  <c r="L81" i="41"/>
  <c r="N117" i="41"/>
  <c r="M117" i="41"/>
  <c r="L117" i="41"/>
  <c r="K117" i="41"/>
  <c r="O117" i="41"/>
  <c r="U62" i="41"/>
  <c r="R62" i="41"/>
  <c r="T62" i="41"/>
  <c r="S62" i="41"/>
  <c r="Q62" i="41"/>
  <c r="L134" i="41"/>
  <c r="K134" i="41"/>
  <c r="O134" i="41"/>
  <c r="M134" i="41"/>
  <c r="N134" i="41"/>
  <c r="Q81" i="41"/>
  <c r="T81" i="41"/>
  <c r="S81" i="41"/>
  <c r="U81" i="41"/>
  <c r="R81" i="41"/>
  <c r="O153" i="41"/>
  <c r="L153" i="41"/>
  <c r="N153" i="41"/>
  <c r="K153" i="41"/>
  <c r="M153" i="41"/>
  <c r="O63" i="41"/>
  <c r="N63" i="41"/>
  <c r="M63" i="41"/>
  <c r="K63" i="41"/>
  <c r="L63" i="41"/>
  <c r="M62" i="41"/>
  <c r="K62" i="41"/>
  <c r="L62" i="41"/>
  <c r="O62" i="41"/>
  <c r="N62" i="41"/>
  <c r="U99" i="41"/>
  <c r="T99" i="41"/>
  <c r="S99" i="41"/>
  <c r="R99" i="41"/>
  <c r="Q99" i="41"/>
  <c r="R153" i="41"/>
  <c r="U153" i="41"/>
  <c r="T153" i="41"/>
  <c r="S153" i="41"/>
  <c r="Q153" i="41"/>
  <c r="O99" i="41"/>
  <c r="N99" i="41"/>
  <c r="K99" i="41"/>
  <c r="M99" i="41"/>
  <c r="L99" i="41"/>
  <c r="L135" i="41"/>
  <c r="K135" i="41"/>
  <c r="M135" i="41"/>
  <c r="N135" i="41"/>
  <c r="O135" i="41"/>
  <c r="Q98" i="41"/>
  <c r="U98" i="41"/>
  <c r="R98" i="41"/>
  <c r="T98" i="41"/>
  <c r="S98" i="41"/>
  <c r="R152" i="41"/>
  <c r="S152" i="41"/>
  <c r="Q152" i="41"/>
  <c r="U152" i="41"/>
  <c r="T152" i="41"/>
  <c r="N98" i="41"/>
  <c r="M98" i="41"/>
  <c r="O98" i="41"/>
  <c r="L98" i="41"/>
  <c r="K98" i="41"/>
  <c r="Q135" i="41"/>
  <c r="U135" i="41"/>
  <c r="T135" i="41"/>
  <c r="R135" i="41"/>
  <c r="S135" i="41"/>
  <c r="O25" i="41"/>
  <c r="M25" i="41"/>
  <c r="N25" i="41"/>
  <c r="L25" i="41"/>
  <c r="N43" i="41"/>
  <c r="K43" i="41"/>
  <c r="L43" i="41"/>
  <c r="O43" i="41"/>
  <c r="M43" i="41"/>
  <c r="N44" i="41"/>
  <c r="K44" i="41"/>
  <c r="L44" i="41"/>
  <c r="O44" i="41"/>
  <c r="M44" i="41"/>
  <c r="R44" i="41"/>
  <c r="S44" i="41"/>
  <c r="T44" i="41"/>
  <c r="U44" i="41"/>
  <c r="Q44" i="41"/>
  <c r="T26" i="41"/>
  <c r="U26" i="41"/>
  <c r="Q26" i="41"/>
  <c r="R26" i="41"/>
  <c r="S26" i="41"/>
  <c r="L26" i="41"/>
  <c r="O26" i="41"/>
  <c r="M26" i="41"/>
  <c r="N26" i="41"/>
  <c r="K26" i="41"/>
</calcChain>
</file>

<file path=xl/sharedStrings.xml><?xml version="1.0" encoding="utf-8"?>
<sst xmlns="http://schemas.openxmlformats.org/spreadsheetml/2006/main" count="2481" uniqueCount="395">
  <si>
    <t>1-BP Occupational Risk Calculator</t>
  </si>
  <si>
    <t>Companion occupational risk calculation spreadsheet for</t>
  </si>
  <si>
    <t xml:space="preserve">Final Risk Evaluation for 1-Bromopropane (1-BP) </t>
  </si>
  <si>
    <t>August 2020</t>
  </si>
  <si>
    <t>Table of Contents</t>
  </si>
  <si>
    <t>Worksheet</t>
  </si>
  <si>
    <t>Description</t>
  </si>
  <si>
    <t>Dashboard</t>
  </si>
  <si>
    <t xml:space="preserve">This tab calculates and displays inhalation MOE values by condition of use, type of worker, and type of respiratory protection (based on user selection) </t>
  </si>
  <si>
    <t>Spray Adhesives</t>
  </si>
  <si>
    <t xml:space="preserve">This tab calculates and displays inhalation MOE values by the type of worker and respiratory protection for the Spray Adhesives condition of use </t>
  </si>
  <si>
    <t>Dry Cleaning Model</t>
  </si>
  <si>
    <t xml:space="preserve">This tab calculates and displays inhalation MOE values by the type of worker and machine based on exposure modeling results for the Dry Cleaning condition of use </t>
  </si>
  <si>
    <t>Cancer Inhal Table</t>
  </si>
  <si>
    <t>This tab provides a summary of inhalation cancer risk for chronic scenarios</t>
  </si>
  <si>
    <t>RR</t>
  </si>
  <si>
    <t>This tab displays the risk reduction/management options for the inhalation route (based on user selection in "Dashboard" tab)</t>
  </si>
  <si>
    <t>Dermal</t>
  </si>
  <si>
    <t>This tab contains the dermal exposure estimates (dose) and MOE values for each condition of use</t>
  </si>
  <si>
    <t>Select the Condition of Use</t>
  </si>
  <si>
    <t>Data Type</t>
  </si>
  <si>
    <t>Manufacturing (US)</t>
  </si>
  <si>
    <t>Model</t>
  </si>
  <si>
    <t>Pre-Engineering Control</t>
  </si>
  <si>
    <t>Post-Engineering Control (if applicable)</t>
  </si>
  <si>
    <t>Exposure Outputs</t>
  </si>
  <si>
    <t>Category</t>
  </si>
  <si>
    <t>Exposure Level</t>
  </si>
  <si>
    <t>Eight-Hour TWA Exposures</t>
  </si>
  <si>
    <t>Acute Exposures</t>
  </si>
  <si>
    <t>Chronic, Non-Cancer Exposures</t>
  </si>
  <si>
    <t>Chronic, Cancer Exposures</t>
  </si>
  <si>
    <r>
      <t>C</t>
    </r>
    <r>
      <rPr>
        <b/>
        <vertAlign val="subscript"/>
        <sz val="10"/>
        <rFont val="Times New Roman"/>
        <family val="1"/>
      </rPr>
      <t>1-BP, 8-hr TWA</t>
    </r>
    <r>
      <rPr>
        <b/>
        <sz val="10"/>
        <rFont val="Times New Roman"/>
        <family val="1"/>
      </rPr>
      <t xml:space="preserve"> (ppm)</t>
    </r>
  </si>
  <si>
    <r>
      <t>AC</t>
    </r>
    <r>
      <rPr>
        <b/>
        <vertAlign val="subscript"/>
        <sz val="10"/>
        <rFont val="Times New Roman"/>
        <family val="1"/>
      </rPr>
      <t>1-BP, 8-hr TWA</t>
    </r>
    <r>
      <rPr>
        <b/>
        <sz val="10"/>
        <rFont val="Times New Roman"/>
        <family val="1"/>
      </rPr>
      <t xml:space="preserve"> (ppm)</t>
    </r>
  </si>
  <si>
    <r>
      <t>ADC</t>
    </r>
    <r>
      <rPr>
        <b/>
        <vertAlign val="subscript"/>
        <sz val="10"/>
        <rFont val="Times New Roman"/>
        <family val="1"/>
      </rPr>
      <t>1-BP, 8-hr TWA</t>
    </r>
    <r>
      <rPr>
        <b/>
        <sz val="10"/>
        <rFont val="Times New Roman"/>
        <family val="1"/>
      </rPr>
      <t xml:space="preserve"> (ppm)</t>
    </r>
  </si>
  <si>
    <r>
      <t>LADC</t>
    </r>
    <r>
      <rPr>
        <b/>
        <vertAlign val="subscript"/>
        <sz val="10"/>
        <rFont val="Times New Roman"/>
        <family val="1"/>
      </rPr>
      <t>1-BP, 8-hr TWA</t>
    </r>
    <r>
      <rPr>
        <b/>
        <sz val="10"/>
        <rFont val="Times New Roman"/>
        <family val="1"/>
      </rPr>
      <t xml:space="preserve"> (ppm)</t>
    </r>
  </si>
  <si>
    <r>
      <t>ADC</t>
    </r>
    <r>
      <rPr>
        <b/>
        <vertAlign val="subscript"/>
        <sz val="10"/>
        <rFont val="Times New Roman"/>
        <family val="1"/>
      </rPr>
      <t>1-BP, DevTox</t>
    </r>
    <r>
      <rPr>
        <b/>
        <sz val="10"/>
        <rFont val="Times New Roman"/>
        <family val="1"/>
      </rPr>
      <t xml:space="preserve"> (ppm)</t>
    </r>
  </si>
  <si>
    <t>Worker</t>
  </si>
  <si>
    <t>High-end</t>
  </si>
  <si>
    <t>ONU</t>
  </si>
  <si>
    <t>Central tendency</t>
  </si>
  <si>
    <t>Respirator APF =</t>
  </si>
  <si>
    <t>Risk Estimation for Acute, Non-Cancer Inhalation Exposures</t>
  </si>
  <si>
    <t>Health Effect, Endpoint and Study</t>
  </si>
  <si>
    <t>Acute HEC (ppm)</t>
  </si>
  <si>
    <t>Acute MOE</t>
  </si>
  <si>
    <t xml:space="preserve">Benchmark MOE </t>
  </si>
  <si>
    <t>Acute Exposure</t>
  </si>
  <si>
    <t>Look-up Code</t>
  </si>
  <si>
    <t>Tox01</t>
  </si>
  <si>
    <r>
      <t xml:space="preserve">Developmental Effects
</t>
    </r>
    <r>
      <rPr>
        <sz val="10"/>
        <rFont val="Times New Roman"/>
        <family val="1"/>
      </rPr>
      <t>Decreased live litter size (F</t>
    </r>
    <r>
      <rPr>
        <vertAlign val="subscript"/>
        <sz val="10"/>
        <rFont val="Times New Roman"/>
        <family val="1"/>
      </rPr>
      <t>1</t>
    </r>
    <r>
      <rPr>
        <sz val="10"/>
        <rFont val="Times New Roman"/>
        <family val="1"/>
      </rPr>
      <t>)
(WIL Research, 2001)</t>
    </r>
  </si>
  <si>
    <t>Tox08</t>
  </si>
  <si>
    <r>
      <t xml:space="preserve">Developmental Effects
</t>
    </r>
    <r>
      <rPr>
        <sz val="10"/>
        <rFont val="Times New Roman"/>
        <family val="1"/>
      </rPr>
      <t>Post-Implantation Loss (F0)
(WIL Research, 2001); NCTR Model</t>
    </r>
  </si>
  <si>
    <t>Risk Estimation for Chronic, Non-Cancer Inhalation Exposures</t>
  </si>
  <si>
    <t>Chronic HEC (ppm)</t>
  </si>
  <si>
    <t>Chronic MOE</t>
  </si>
  <si>
    <t>Chronic Exposure</t>
  </si>
  <si>
    <t>Worker MOE</t>
  </si>
  <si>
    <t>ONU MOE</t>
  </si>
  <si>
    <t>Tox02</t>
  </si>
  <si>
    <r>
      <rPr>
        <b/>
        <sz val="10"/>
        <rFont val="Times New Roman"/>
        <family val="1"/>
      </rPr>
      <t xml:space="preserve">Liver </t>
    </r>
    <r>
      <rPr>
        <sz val="10"/>
        <rFont val="Times New Roman"/>
        <family val="1"/>
      </rPr>
      <t xml:space="preserve">
Increased hepatocellular vacuolization
(WIL Research, 2001)</t>
    </r>
  </si>
  <si>
    <t>Tox03</t>
  </si>
  <si>
    <r>
      <rPr>
        <b/>
        <sz val="10"/>
        <rFont val="Times New Roman"/>
        <family val="1"/>
      </rPr>
      <t>Kidney</t>
    </r>
    <r>
      <rPr>
        <sz val="10"/>
        <rFont val="Times New Roman"/>
        <family val="1"/>
      </rPr>
      <t xml:space="preserve">
Increased pelvic mineralization
(WIL Research, 2001)</t>
    </r>
  </si>
  <si>
    <t>Tox04</t>
  </si>
  <si>
    <r>
      <rPr>
        <b/>
        <sz val="10"/>
        <rFont val="Times New Roman"/>
        <family val="1"/>
      </rPr>
      <t>Reproductive System</t>
    </r>
    <r>
      <rPr>
        <sz val="10"/>
        <rFont val="Times New Roman"/>
        <family val="1"/>
      </rPr>
      <t xml:space="preserve">
Decreased seminal vesicle weight 
(Ichihara et al., 2000b)</t>
    </r>
  </si>
  <si>
    <t>Tox05</t>
  </si>
  <si>
    <t>Tox09</t>
  </si>
  <si>
    <t>Tox06</t>
  </si>
  <si>
    <r>
      <rPr>
        <b/>
        <sz val="10"/>
        <rFont val="Times New Roman"/>
        <family val="1"/>
      </rPr>
      <t>Nervous System</t>
    </r>
    <r>
      <rPr>
        <sz val="10"/>
        <rFont val="Times New Roman"/>
        <family val="1"/>
      </rPr>
      <t xml:space="preserve">
Decreased traction time
(Honma et al., 2003)</t>
    </r>
  </si>
  <si>
    <t>Cancer Risks</t>
  </si>
  <si>
    <t>with APF</t>
  </si>
  <si>
    <t>Risk Estimate</t>
  </si>
  <si>
    <r>
      <t>IUR (ppm</t>
    </r>
    <r>
      <rPr>
        <b/>
        <vertAlign val="superscript"/>
        <sz val="10"/>
        <color theme="1"/>
        <rFont val="Times New Roman"/>
        <family val="1"/>
      </rPr>
      <t>-1</t>
    </r>
    <r>
      <rPr>
        <b/>
        <sz val="10"/>
        <color theme="1"/>
        <rFont val="Times New Roman"/>
        <family val="1"/>
      </rPr>
      <t>)</t>
    </r>
  </si>
  <si>
    <t xml:space="preserve">Worker </t>
  </si>
  <si>
    <t xml:space="preserve">ONU </t>
  </si>
  <si>
    <t>Benchmark</t>
  </si>
  <si>
    <t>Tox07</t>
  </si>
  <si>
    <t>Cancer Risk</t>
  </si>
  <si>
    <r>
      <t>10</t>
    </r>
    <r>
      <rPr>
        <b/>
        <vertAlign val="superscript"/>
        <sz val="10"/>
        <color theme="1"/>
        <rFont val="Times New Roman"/>
        <family val="1"/>
      </rPr>
      <t>-4</t>
    </r>
  </si>
  <si>
    <t>Spray Adhesive</t>
  </si>
  <si>
    <t>Monitoring Data</t>
  </si>
  <si>
    <t>Post-Engineering Control</t>
  </si>
  <si>
    <t>Sprayer</t>
  </si>
  <si>
    <t>95th Percentile</t>
  </si>
  <si>
    <t>Non-Sprayer</t>
  </si>
  <si>
    <t>50th Percentile</t>
  </si>
  <si>
    <r>
      <t>10</t>
    </r>
    <r>
      <rPr>
        <b/>
        <vertAlign val="superscript"/>
        <sz val="10"/>
        <color theme="1"/>
        <rFont val="Times New Roman"/>
        <family val="1"/>
      </rPr>
      <t>-4</t>
    </r>
    <r>
      <rPr>
        <b/>
        <sz val="10"/>
        <color theme="1"/>
        <rFont val="Times New Roman"/>
        <family val="1"/>
      </rPr>
      <t>, 10</t>
    </r>
    <r>
      <rPr>
        <b/>
        <vertAlign val="superscript"/>
        <sz val="10"/>
        <color theme="1"/>
        <rFont val="Times New Roman"/>
        <family val="1"/>
      </rPr>
      <t>-5</t>
    </r>
    <r>
      <rPr>
        <b/>
        <sz val="10"/>
        <color theme="1"/>
        <rFont val="Times New Roman"/>
        <family val="1"/>
      </rPr>
      <t>, 10</t>
    </r>
    <r>
      <rPr>
        <b/>
        <vertAlign val="superscript"/>
        <sz val="10"/>
        <color theme="1"/>
        <rFont val="Times New Roman"/>
        <family val="1"/>
      </rPr>
      <t>-6</t>
    </r>
  </si>
  <si>
    <t>95th Percentile Cancer Risk Estimates</t>
  </si>
  <si>
    <t>Post-EC: ONU</t>
  </si>
  <si>
    <t>Post-EC: Non-Sprayer</t>
  </si>
  <si>
    <t>Post-EC: Sprayer</t>
  </si>
  <si>
    <t>Pre-EC: ONU</t>
  </si>
  <si>
    <t>Pre-EC: Non-Sprayer</t>
  </si>
  <si>
    <t>Pre-EC: Sprayer</t>
  </si>
  <si>
    <t>50th Percentile Cancer Risk Estimates</t>
  </si>
  <si>
    <t>Dry Cleaning</t>
  </si>
  <si>
    <t>3rd Generation Machine</t>
  </si>
  <si>
    <t>4th Generation Machine</t>
  </si>
  <si>
    <r>
      <t>C</t>
    </r>
    <r>
      <rPr>
        <b/>
        <vertAlign val="subscript"/>
        <sz val="10"/>
        <rFont val="Times New Roman"/>
        <family val="1"/>
      </rPr>
      <t>1-BP, 12-hr TWA</t>
    </r>
    <r>
      <rPr>
        <b/>
        <sz val="10"/>
        <rFont val="Times New Roman"/>
        <family val="1"/>
      </rPr>
      <t xml:space="preserve"> (ppm)</t>
    </r>
  </si>
  <si>
    <r>
      <t>AC</t>
    </r>
    <r>
      <rPr>
        <b/>
        <vertAlign val="subscript"/>
        <sz val="10"/>
        <rFont val="Times New Roman"/>
        <family val="1"/>
      </rPr>
      <t>1-BP, 24-hr TWA</t>
    </r>
    <r>
      <rPr>
        <b/>
        <sz val="10"/>
        <rFont val="Times New Roman"/>
        <family val="1"/>
      </rPr>
      <t xml:space="preserve"> (ppm)</t>
    </r>
  </si>
  <si>
    <r>
      <t>ADC</t>
    </r>
    <r>
      <rPr>
        <b/>
        <vertAlign val="subscript"/>
        <sz val="10"/>
        <rFont val="Times New Roman"/>
        <family val="1"/>
      </rPr>
      <t>1-BP, 24-hr TWA</t>
    </r>
    <r>
      <rPr>
        <b/>
        <sz val="10"/>
        <rFont val="Times New Roman"/>
        <family val="1"/>
      </rPr>
      <t xml:space="preserve"> (ppm)</t>
    </r>
  </si>
  <si>
    <r>
      <t>LADC</t>
    </r>
    <r>
      <rPr>
        <b/>
        <vertAlign val="subscript"/>
        <sz val="10"/>
        <rFont val="Times New Roman"/>
        <family val="1"/>
      </rPr>
      <t>1-BP, 24-hr TWA</t>
    </r>
    <r>
      <rPr>
        <b/>
        <sz val="10"/>
        <rFont val="Times New Roman"/>
        <family val="1"/>
      </rPr>
      <t xml:space="preserve"> (ppm)</t>
    </r>
  </si>
  <si>
    <t>Spot Cleaner</t>
  </si>
  <si>
    <t>Machine &amp; Finish</t>
  </si>
  <si>
    <t>4th Gen: ONU</t>
  </si>
  <si>
    <t>4th Gen: Machine &amp; Finish</t>
  </si>
  <si>
    <t>4th Gen: Spot Cleaner</t>
  </si>
  <si>
    <t>3rd Gen: ONU</t>
  </si>
  <si>
    <t>3rd Gen: Machine &amp; Finish</t>
  </si>
  <si>
    <t>3rd Gen: Spot Cleaner</t>
  </si>
  <si>
    <t>OES Group</t>
  </si>
  <si>
    <t>Condition of Use</t>
  </si>
  <si>
    <r>
      <t>IUR 
(ppm</t>
    </r>
    <r>
      <rPr>
        <b/>
        <vertAlign val="superscript"/>
        <sz val="10"/>
        <color theme="1"/>
        <rFont val="Times New Roman"/>
        <family val="1"/>
      </rPr>
      <t>-1</t>
    </r>
    <r>
      <rPr>
        <b/>
        <sz val="10"/>
        <color theme="1"/>
        <rFont val="Times New Roman"/>
        <family val="1"/>
      </rPr>
      <t>)</t>
    </r>
  </si>
  <si>
    <t>Respirator APF</t>
  </si>
  <si>
    <t>Cancer Risk with Respirator</t>
  </si>
  <si>
    <t>Data Points</t>
  </si>
  <si>
    <t>Exposure Data Type</t>
  </si>
  <si>
    <t>Mfg, Worker (Monitoring)</t>
  </si>
  <si>
    <t>-</t>
  </si>
  <si>
    <t>Import, Worker (Model)</t>
  </si>
  <si>
    <t>2-5</t>
  </si>
  <si>
    <t>Import, Repackaging, Processing -- Incorporation into Article</t>
  </si>
  <si>
    <t>N/A</t>
  </si>
  <si>
    <t>Processing - Inc. into Form., Worker (Monitoring)</t>
  </si>
  <si>
    <t>Processing - Incorporation into Formulation</t>
  </si>
  <si>
    <t>Processing - Inc. into Form., ONU (Monitoring)</t>
  </si>
  <si>
    <t>Vapor Degreasing, Open-Top, Worker (Monitoring)</t>
  </si>
  <si>
    <t>7a</t>
  </si>
  <si>
    <t>Vapor Degreasing, Open-Top</t>
  </si>
  <si>
    <t>Vapor Degreasing, Open-Top, ONU (Monitoring)</t>
  </si>
  <si>
    <t>Vapor Degreasing, Open-Top, Worker (Model Pre-EC)</t>
  </si>
  <si>
    <t>Pre-EC</t>
  </si>
  <si>
    <t>Vapor Degreasing, Open-Top, Worker (Model Post-EC)</t>
  </si>
  <si>
    <t>Post-EC</t>
  </si>
  <si>
    <t>Vapor Degreasing, Open-Top, ONU (Model Pre-EC)</t>
  </si>
  <si>
    <t>Vapor Degreasing, Open-Top, ONU (Model Post-EC)</t>
  </si>
  <si>
    <t>Vapor Degreasing, Closed-Loop, Worker (Model)</t>
  </si>
  <si>
    <t>7b</t>
  </si>
  <si>
    <t>Vapor Degreasing, closed-loop</t>
  </si>
  <si>
    <t>Vapor Degreasing, Closed-Loop, ONU (Model)</t>
  </si>
  <si>
    <t>Cold Cleaning, Worker (Monitoring)</t>
  </si>
  <si>
    <t>Cold Cleaning</t>
  </si>
  <si>
    <t>Cold Cleaning, ONU (Monitoring)</t>
  </si>
  <si>
    <t>Cold Cleaning, Worker (Model)</t>
  </si>
  <si>
    <t>Cold Cleaning, ONU (Model)</t>
  </si>
  <si>
    <t>Aerosol Degreasing, Worker (Monitoring, Pre-EC)</t>
  </si>
  <si>
    <t xml:space="preserve">Aerosol Degreasing </t>
  </si>
  <si>
    <t>Aerosol Degreasing, Worker (Monitoring, Post-EC)</t>
  </si>
  <si>
    <t>Aerosol Degreasing, Worker (Model)</t>
  </si>
  <si>
    <t>Aerosol Degreasing, ONU (Model)</t>
  </si>
  <si>
    <t>Spray Adhesive, Sprayer (Monitoring, Pre-EC)</t>
  </si>
  <si>
    <t>Spray Adhesive, Sprayer (Monitoring, Post-EC)</t>
  </si>
  <si>
    <t>Spray Adhesive, Non-Sprayer (Monitoring, Pre-EC)</t>
  </si>
  <si>
    <t>Spray Adhesive, Non-Sprayer (Monitoring, Post-EC)</t>
  </si>
  <si>
    <t>Spray Adhesive, ONU (Monitoring, Pre-EC)</t>
  </si>
  <si>
    <t>Spray Adhesive, ONU (Monitoring, Post-EC)</t>
  </si>
  <si>
    <t>Dry Cleaning, Worker (Monitoring)</t>
  </si>
  <si>
    <t>Dry Cleaning, ONU (Monitoring)</t>
  </si>
  <si>
    <t>Dry Cleaning, Spotter (Model, 3rd Gen)</t>
  </si>
  <si>
    <t>3rd Gen</t>
  </si>
  <si>
    <t>Dry Cleaning, Machine (Model, 3rd Gen)</t>
  </si>
  <si>
    <t>Dry Cleaning, ONU (Model, 3rd Gen)</t>
  </si>
  <si>
    <t>Dry Cleaning, Spotter (Model, 4th Gen)</t>
  </si>
  <si>
    <t>4th Gen</t>
  </si>
  <si>
    <t>Dry Cleaning, Machine (Model, 4th Gen)</t>
  </si>
  <si>
    <t>Spot Cleaning, Worker (Monitoring)</t>
  </si>
  <si>
    <t>Spot Cleaning</t>
  </si>
  <si>
    <t>Spot Cleaning, Worker (Model)</t>
  </si>
  <si>
    <t>Spot Cleaning, ONU (Model)</t>
  </si>
  <si>
    <t>Disposal, Worker (Model)</t>
  </si>
  <si>
    <t>Disposal, Recycling</t>
  </si>
  <si>
    <t>insulation</t>
  </si>
  <si>
    <t>Condition of Use 
(Selected from Dashboard)</t>
  </si>
  <si>
    <t xml:space="preserve">                   </t>
  </si>
  <si>
    <t>Baseline 
(Pre-EC)</t>
  </si>
  <si>
    <t>Personal Protective Equipment (PPE): Respirators 
Assigned Protection Factor (APF)</t>
  </si>
  <si>
    <t>Engineering Control (EC)</t>
  </si>
  <si>
    <t>EC + Respirator 
Respirator APF</t>
  </si>
  <si>
    <t>Lookup</t>
  </si>
  <si>
    <t>Worker Type</t>
  </si>
  <si>
    <t>Risk Type</t>
  </si>
  <si>
    <t>Toxicity Endpoint</t>
  </si>
  <si>
    <t>Study</t>
  </si>
  <si>
    <t>Acute, Non-Cancer</t>
  </si>
  <si>
    <t>Developmental Effects</t>
  </si>
  <si>
    <t>WIL Research, 2001</t>
  </si>
  <si>
    <t>Developmental Effects, NCTR Model</t>
  </si>
  <si>
    <t>Chronic, Non-Cancer</t>
  </si>
  <si>
    <t>Liver</t>
  </si>
  <si>
    <t>Kidney</t>
  </si>
  <si>
    <t>Reproductive System</t>
  </si>
  <si>
    <t>Ichihara et al., 2000b</t>
  </si>
  <si>
    <t>Nervous System</t>
  </si>
  <si>
    <t>Honma et al., 2003</t>
  </si>
  <si>
    <t>Cancer</t>
  </si>
  <si>
    <t>Lung</t>
  </si>
  <si>
    <t>Occupational Non-User (ONU)</t>
  </si>
  <si>
    <t>Spray Adhesives (Monitoring Data) and Dry Cleaning (Model)</t>
  </si>
  <si>
    <t>Condition of Use / Bin</t>
  </si>
  <si>
    <t>Use Setting 
(Industrial v. Commercial)</t>
  </si>
  <si>
    <r>
      <t>Maximum Weight Fraction, Y</t>
    </r>
    <r>
      <rPr>
        <b/>
        <vertAlign val="subscript"/>
        <sz val="10"/>
        <color theme="1"/>
        <rFont val="Times New Roman"/>
        <family val="1"/>
      </rPr>
      <t>derm</t>
    </r>
  </si>
  <si>
    <r>
      <t xml:space="preserve">No Gloves 
</t>
    </r>
    <r>
      <rPr>
        <sz val="10"/>
        <color rgb="FF000000"/>
        <rFont val="Times New Roman"/>
        <family val="1"/>
      </rPr>
      <t>(PF = 1)</t>
    </r>
  </si>
  <si>
    <r>
      <t xml:space="preserve">Protective Gloves 
</t>
    </r>
    <r>
      <rPr>
        <sz val="10"/>
        <color theme="1"/>
        <rFont val="Times New Roman"/>
        <family val="1"/>
      </rPr>
      <t>(PF = 5)</t>
    </r>
  </si>
  <si>
    <r>
      <t xml:space="preserve">Protective Gloves
</t>
    </r>
    <r>
      <rPr>
        <sz val="10"/>
        <color theme="1"/>
        <rFont val="Times New Roman"/>
        <family val="1"/>
      </rPr>
      <t>(PF = 10)</t>
    </r>
  </si>
  <si>
    <r>
      <t xml:space="preserve">Protective Gloves, Industrial Users 
</t>
    </r>
    <r>
      <rPr>
        <sz val="10"/>
        <color theme="1"/>
        <rFont val="Times New Roman"/>
        <family val="1"/>
      </rPr>
      <t>(PF = 20)</t>
    </r>
  </si>
  <si>
    <t>Occluded Exposure</t>
  </si>
  <si>
    <r>
      <t>Fraction Absorbed, F</t>
    </r>
    <r>
      <rPr>
        <b/>
        <vertAlign val="subscript"/>
        <sz val="10"/>
        <color theme="1"/>
        <rFont val="Times New Roman"/>
        <family val="1"/>
      </rPr>
      <t>abs</t>
    </r>
  </si>
  <si>
    <t>Dermal Parameters</t>
  </si>
  <si>
    <t>Characterization</t>
  </si>
  <si>
    <t>Value</t>
  </si>
  <si>
    <t>Unit</t>
  </si>
  <si>
    <t>Dermal Exposure Dose, D (mg/day)</t>
  </si>
  <si>
    <t>Exposure Duration (ED)</t>
  </si>
  <si>
    <t>Default</t>
  </si>
  <si>
    <t>hr/day</t>
  </si>
  <si>
    <t>Bin 1</t>
  </si>
  <si>
    <t>Industrial</t>
  </si>
  <si>
    <t>Exposure Frequency (EF)</t>
  </si>
  <si>
    <t>day/yr</t>
  </si>
  <si>
    <t>Working Years (WY)</t>
  </si>
  <si>
    <t>yr</t>
  </si>
  <si>
    <t>Bin 2</t>
  </si>
  <si>
    <t>Lifetime Years (LT)</t>
  </si>
  <si>
    <t>Bin 3</t>
  </si>
  <si>
    <t>Commercial</t>
  </si>
  <si>
    <t>Body Weight (BW)</t>
  </si>
  <si>
    <t>kg</t>
  </si>
  <si>
    <t>Bin 4</t>
  </si>
  <si>
    <t>Acute, Non-Cancer MOE = HED / ARD, where ARD = D/BW</t>
  </si>
  <si>
    <t>Bin 5</t>
  </si>
  <si>
    <t>Chronic, Non-Cancer MOE = HED / CRD, where CRD = (D * 260 * WY) / (BW *260 * WY) = AAD</t>
  </si>
  <si>
    <t>Cancer Risk = Dermal Slope Factor * CRD, where CRD = (D * 260 * WY) / (BW * 260 * LT)</t>
  </si>
  <si>
    <t>Dermal Exposure Dose (mg/kg-day)</t>
  </si>
  <si>
    <t>Central Tendency</t>
  </si>
  <si>
    <t>Duration conversion for developmental endpoint</t>
  </si>
  <si>
    <t>Bin 1: Manufacture, Import, Proc, Disposal</t>
  </si>
  <si>
    <t>Margin of Exposure (MOE)</t>
  </si>
  <si>
    <t>Exposure Duration for Risk Analysis</t>
  </si>
  <si>
    <t>Target Organ/ System</t>
  </si>
  <si>
    <t>HED (mg/kg-day)</t>
  </si>
  <si>
    <r>
      <t xml:space="preserve">Protective Gloves 
</t>
    </r>
    <r>
      <rPr>
        <sz val="10"/>
        <color theme="1"/>
        <rFont val="Times New Roman"/>
        <family val="1"/>
      </rPr>
      <t>(PF = 10)</t>
    </r>
  </si>
  <si>
    <r>
      <t xml:space="preserve">Protective Gloves
</t>
    </r>
    <r>
      <rPr>
        <sz val="10"/>
        <color theme="1"/>
        <rFont val="Times New Roman"/>
        <family val="1"/>
      </rPr>
      <t>(PF = 20)</t>
    </r>
  </si>
  <si>
    <t>Develop. (litter size)</t>
  </si>
  <si>
    <t>Develop. (post-impl. loss)</t>
  </si>
  <si>
    <t>Bin 2: Degreasing and cold cleaning</t>
  </si>
  <si>
    <t>Bin 3: Spray adhesives</t>
  </si>
  <si>
    <t>Bin 4: Dry cleaning, spot cleaning</t>
  </si>
  <si>
    <t>Bin 5: Aerosol degreasing, other aerosol and non-aerosol uses</t>
  </si>
  <si>
    <t>Dermal Cancer Risk</t>
  </si>
  <si>
    <r>
      <t>Dermal Slope Factor 
(mg/kg-day)</t>
    </r>
    <r>
      <rPr>
        <b/>
        <vertAlign val="superscript"/>
        <sz val="10"/>
        <color theme="1"/>
        <rFont val="Times New Roman"/>
        <family val="1"/>
      </rPr>
      <t>-1</t>
    </r>
  </si>
  <si>
    <t>Bin 1: Manufacture, Import, Proc</t>
  </si>
  <si>
    <t>Bin 5: Other non-aerosol uses</t>
  </si>
  <si>
    <t>Summary of Exposure Levels based on Monitoring Data</t>
  </si>
  <si>
    <t>Exposure Scenario (if applicable)</t>
  </si>
  <si>
    <t>Chronic, Non-Cancer Exposures (Developmental Only)</t>
  </si>
  <si>
    <t>Sources &amp; Notes</t>
  </si>
  <si>
    <r>
      <t>C</t>
    </r>
    <r>
      <rPr>
        <b/>
        <vertAlign val="subscript"/>
        <sz val="10"/>
        <rFont val="Calibri"/>
        <family val="2"/>
        <scheme val="minor"/>
      </rPr>
      <t>1-BP, 8-hr TWA</t>
    </r>
    <r>
      <rPr>
        <b/>
        <sz val="10"/>
        <rFont val="Calibri"/>
        <family val="2"/>
        <scheme val="minor"/>
      </rPr>
      <t xml:space="preserve"> (ppm)</t>
    </r>
  </si>
  <si>
    <r>
      <t>AC</t>
    </r>
    <r>
      <rPr>
        <b/>
        <vertAlign val="subscript"/>
        <sz val="10"/>
        <rFont val="Calibri"/>
        <family val="2"/>
        <scheme val="minor"/>
      </rPr>
      <t>1-BP, 8-hr TWA</t>
    </r>
    <r>
      <rPr>
        <b/>
        <sz val="10"/>
        <rFont val="Calibri"/>
        <family val="2"/>
        <scheme val="minor"/>
      </rPr>
      <t xml:space="preserve"> (ppm)</t>
    </r>
  </si>
  <si>
    <r>
      <t>ADC</t>
    </r>
    <r>
      <rPr>
        <b/>
        <vertAlign val="subscript"/>
        <sz val="10"/>
        <rFont val="Calibri"/>
        <family val="2"/>
        <scheme val="minor"/>
      </rPr>
      <t>1-BP, 8-hr TWA</t>
    </r>
    <r>
      <rPr>
        <b/>
        <sz val="10"/>
        <rFont val="Calibri"/>
        <family val="2"/>
        <scheme val="minor"/>
      </rPr>
      <t xml:space="preserve"> (ppm)</t>
    </r>
  </si>
  <si>
    <r>
      <t>LADC</t>
    </r>
    <r>
      <rPr>
        <b/>
        <vertAlign val="subscript"/>
        <sz val="10"/>
        <rFont val="Calibri"/>
        <family val="2"/>
        <scheme val="minor"/>
      </rPr>
      <t>1-BP, 8-hr TWA</t>
    </r>
    <r>
      <rPr>
        <b/>
        <sz val="10"/>
        <rFont val="Calibri"/>
        <family val="2"/>
        <scheme val="minor"/>
      </rPr>
      <t xml:space="preserve"> (ppm)</t>
    </r>
  </si>
  <si>
    <r>
      <t>ADC</t>
    </r>
    <r>
      <rPr>
        <b/>
        <vertAlign val="subscript"/>
        <sz val="10"/>
        <rFont val="Calibri"/>
        <family val="2"/>
        <scheme val="minor"/>
      </rPr>
      <t>1-BP, DevTox</t>
    </r>
    <r>
      <rPr>
        <b/>
        <sz val="10"/>
        <rFont val="Calibri"/>
        <family val="2"/>
        <scheme val="minor"/>
      </rPr>
      <t xml:space="preserve"> (ppm)</t>
    </r>
  </si>
  <si>
    <t>OSHA, 2013 (8-hr TWA); max and median values</t>
  </si>
  <si>
    <t>Enviro Tech, 2019</t>
  </si>
  <si>
    <t>various (sanitized OSHA data)</t>
  </si>
  <si>
    <t>various (sanitized OSHA data); max and median values</t>
  </si>
  <si>
    <t>various (single data point, sanitized OSHA data)</t>
  </si>
  <si>
    <t>Stewart, 1998; EPA, 2006</t>
  </si>
  <si>
    <t>EPA, 2006 (single data point)</t>
  </si>
  <si>
    <t>Monitoring Data (Pre-EC)</t>
  </si>
  <si>
    <t>Monitoring Data (Post-EC)</t>
  </si>
  <si>
    <t>a</t>
  </si>
  <si>
    <t>b</t>
  </si>
  <si>
    <t>Blando et al., 2010; NIOSH, 2010 (different LADC parameters)</t>
  </si>
  <si>
    <t>12b</t>
  </si>
  <si>
    <t>OSHA, 2013; OSHA, 2019</t>
  </si>
  <si>
    <t>Import, Processing</t>
  </si>
  <si>
    <t>10/1/2019 Model rerun based on revised VP. CT value assumes 30% conc.</t>
  </si>
  <si>
    <t>Model updated 10/4/18</t>
  </si>
  <si>
    <t>90% EC effectiveness</t>
  </si>
  <si>
    <t>98% reduction for equipment substitution</t>
  </si>
  <si>
    <t>Model updated 10/9/18</t>
  </si>
  <si>
    <t>Aerosol Degreasing model</t>
  </si>
  <si>
    <t>12-hr TWA, model updated 2/20/19</t>
  </si>
  <si>
    <t>Child</t>
  </si>
  <si>
    <t>4-hr TWA, model updated 2/20/19</t>
  </si>
  <si>
    <t>12-hr TWA, model updated 3/23/19</t>
  </si>
  <si>
    <t>4-hr TWA, model updated 3/23/19</t>
  </si>
  <si>
    <t>Model updated 12/11/18</t>
  </si>
  <si>
    <t xml:space="preserve">a Non-Sprayer refers to those employees who are not sprayers, but either handle the adhesive or spend the majority of their shift working in an area where spraying occurs (e.g. workers in Assembly and Covers). </t>
  </si>
  <si>
    <t>b Occupational non-user refers to those employees working in departments/areas away from sprayers.</t>
  </si>
  <si>
    <t>Population</t>
  </si>
  <si>
    <t>Exposure Route</t>
  </si>
  <si>
    <t>Exposure Estimation Method</t>
  </si>
  <si>
    <t>Life Cycle Stage / Category</t>
  </si>
  <si>
    <t>Subcategory</t>
  </si>
  <si>
    <t>Assessed Condition of Use</t>
  </si>
  <si>
    <t>Exposure Route and Duration</t>
  </si>
  <si>
    <t>Risk Estimates for No PPE</t>
  </si>
  <si>
    <t>Risk Estimates with PPE</t>
  </si>
  <si>
    <t>Respirator APF (Acute)</t>
  </si>
  <si>
    <t>Respirator APF (Chronic, Non-Cancer)</t>
  </si>
  <si>
    <t>Respirator APF (Cancer)</t>
  </si>
  <si>
    <t>Glove PF</t>
  </si>
  <si>
    <r>
      <t xml:space="preserve">Acute Non-cancer </t>
    </r>
    <r>
      <rPr>
        <sz val="10"/>
        <color theme="1"/>
        <rFont val="Times New Roman"/>
        <family val="1"/>
      </rPr>
      <t>(Benchmark MOE = 100)</t>
    </r>
  </si>
  <si>
    <r>
      <t xml:space="preserve">Chronic Non-cancer </t>
    </r>
    <r>
      <rPr>
        <sz val="10"/>
        <color theme="1"/>
        <rFont val="Times New Roman"/>
        <family val="1"/>
      </rPr>
      <t>(Benchmark MOE = 100)</t>
    </r>
  </si>
  <si>
    <r>
      <t xml:space="preserve">Cancer </t>
    </r>
    <r>
      <rPr>
        <sz val="10"/>
        <color theme="1"/>
        <rFont val="Times New Roman"/>
        <family val="1"/>
      </rPr>
      <t>(Benchmark = 10</t>
    </r>
    <r>
      <rPr>
        <vertAlign val="superscript"/>
        <sz val="10"/>
        <color theme="1"/>
        <rFont val="Times New Roman"/>
        <family val="1"/>
      </rPr>
      <t>-4</t>
    </r>
    <r>
      <rPr>
        <sz val="10"/>
        <color theme="1"/>
        <rFont val="Times New Roman"/>
        <family val="1"/>
      </rPr>
      <t>)</t>
    </r>
  </si>
  <si>
    <t>Inhalation</t>
  </si>
  <si>
    <t>Manufacture - Domestic manufacture</t>
  </si>
  <si>
    <t>Domestic manufacture</t>
  </si>
  <si>
    <t>Manufacture</t>
  </si>
  <si>
    <t>Monitoring data</t>
  </si>
  <si>
    <t>Manufacture - Import</t>
  </si>
  <si>
    <t>Import</t>
  </si>
  <si>
    <t>Processing - Processing as a reactant</t>
  </si>
  <si>
    <t>Intermediate in all other basic inorganic chemical manufacturing, all other basic organic chemical manufacturing, and pesticide, fertilizer and other agricultural chemical manufacturing</t>
  </si>
  <si>
    <t>Processing as a Reactant</t>
  </si>
  <si>
    <t>Processing - Incorporating into formulation, mixture or reaction product</t>
  </si>
  <si>
    <t>Solvents for cleaning or degreasing in manufacturing of:
- all other chemical product and preparation
- computer and electronic product
- electrical equipment, appliance and component
- soap, cleaning compound and toilet preparation
- services</t>
  </si>
  <si>
    <t>Processing - Incorporating into articles</t>
  </si>
  <si>
    <t>Solvents (which become part of product formulation or mixture) in construction</t>
  </si>
  <si>
    <t>Processing – Incorporation into Articles</t>
  </si>
  <si>
    <t>Processing - Repackaging</t>
  </si>
  <si>
    <t>Solvent for cleaning or degreasing in all other basic organic chemical manufacturing</t>
  </si>
  <si>
    <t>Repackaging</t>
  </si>
  <si>
    <t>Processing - Recycling</t>
  </si>
  <si>
    <t>Recycling</t>
  </si>
  <si>
    <t>Distribution in commerce</t>
  </si>
  <si>
    <t>Distribution</t>
  </si>
  <si>
    <t>Not assessed as a separate operation; exposures/releases from distribution are considered within each condition of use.</t>
  </si>
  <si>
    <t>Industrial / commercial use - Solvent (for cleaning or degreasing)</t>
  </si>
  <si>
    <t>Batch vapor degreaser (e.g., open-top, closed-loop)</t>
  </si>
  <si>
    <t>Batch Vapor Degreaser (Open-Top)</t>
  </si>
  <si>
    <t>Batch Vapor Degreaser (Closed-Loop)</t>
  </si>
  <si>
    <t>In-line vapor degreaser (e.g., conveyorized, web cleaner)</t>
  </si>
  <si>
    <t>In-line Vapor Degreaser</t>
  </si>
  <si>
    <t>See exposure estimates for Batch Vapor Degreaser (Open-Top)</t>
  </si>
  <si>
    <t>Cold Cleaner</t>
  </si>
  <si>
    <t>Aerosol spray degreaser/cleaner</t>
  </si>
  <si>
    <t>Aerosol Spray Degreaser/Cleaner</t>
  </si>
  <si>
    <t>Industrial / commercial use - Adhesives and sealants</t>
  </si>
  <si>
    <t>Adhesive chemicals - spray adhesive for foam cushion manufacturing and other uses</t>
  </si>
  <si>
    <t>Adhesive Chemicals (Spray Adhesives)</t>
  </si>
  <si>
    <t>Industrial / commercial use - Cleaning and furniture care products</t>
  </si>
  <si>
    <t>Dry cleaning solvent</t>
  </si>
  <si>
    <t>Spot cleaner, stain remover</t>
  </si>
  <si>
    <t>Spot Cleaner, Stain Remover</t>
  </si>
  <si>
    <t>Liquid cleaner (e.g., coin and scissor cleaner)</t>
  </si>
  <si>
    <t>Other Uses</t>
  </si>
  <si>
    <t>Liquid spray/aerosol cleaner</t>
  </si>
  <si>
    <t>Industrial / commercial use - Other uses</t>
  </si>
  <si>
    <t>Arts, crafts and hobby materials - adhesive accelerant</t>
  </si>
  <si>
    <t>Other uses</t>
  </si>
  <si>
    <t>Automotive care products - engine degreaser, brake cleaner</t>
  </si>
  <si>
    <t>See Aerosol Spray Degreaser/Cleaner</t>
  </si>
  <si>
    <t>Anti-adhesive agents - mold cleaning and release product</t>
  </si>
  <si>
    <t>Building/construction materials not covered elsewhere - insulation</t>
  </si>
  <si>
    <t>Electronic and electronic products and metal products</t>
  </si>
  <si>
    <t>Functional fluids (closed systems) - refrigerant</t>
  </si>
  <si>
    <t>Functional fluids (open system) - cutting oils</t>
  </si>
  <si>
    <t>Other - asphalt extraction</t>
  </si>
  <si>
    <t>Other - Laboratory chemicals</t>
  </si>
  <si>
    <t>Temperature Indicator –</t>
  </si>
  <si>
    <t>Coatings</t>
  </si>
  <si>
    <t>Disposal</t>
  </si>
  <si>
    <t>Municipal waste incinerator
Off-site waste transfer</t>
  </si>
  <si>
    <t>Look-up Values and Risk Parameter Values</t>
  </si>
  <si>
    <t>Acute and Chronic, Non-Cancer Parameters</t>
  </si>
  <si>
    <t>Cancer Parameters</t>
  </si>
  <si>
    <t>Look-up Table Values</t>
  </si>
  <si>
    <t>Code</t>
  </si>
  <si>
    <t>HEC (ppm)</t>
  </si>
  <si>
    <t>Benchmark MOE</t>
  </si>
  <si>
    <r>
      <t>IUR (ppm</t>
    </r>
    <r>
      <rPr>
        <b/>
        <vertAlign val="superscript"/>
        <sz val="11"/>
        <color theme="1"/>
        <rFont val="Calibri"/>
        <family val="2"/>
        <scheme val="minor"/>
      </rPr>
      <t>-1</t>
    </r>
    <r>
      <rPr>
        <b/>
        <sz val="11"/>
        <color theme="1"/>
        <rFont val="Calibri"/>
        <family val="2"/>
        <scheme val="minor"/>
      </rPr>
      <t>)</t>
    </r>
  </si>
  <si>
    <t>HEC Percentiles</t>
  </si>
  <si>
    <t>Exposure Percentiles</t>
  </si>
  <si>
    <t>Target Cancer Risk Level</t>
  </si>
  <si>
    <t>Acute</t>
  </si>
  <si>
    <t>Developmental Toxicity</t>
  </si>
  <si>
    <r>
      <t>Decreased live litter size (F</t>
    </r>
    <r>
      <rPr>
        <vertAlign val="subscript"/>
        <sz val="11"/>
        <color theme="1"/>
        <rFont val="Calibri"/>
        <family val="2"/>
        <scheme val="minor"/>
      </rPr>
      <t>1</t>
    </r>
    <r>
      <rPr>
        <sz val="11"/>
        <color theme="1"/>
        <rFont val="Calibri"/>
        <family val="2"/>
        <scheme val="minor"/>
      </rPr>
      <t>)</t>
    </r>
  </si>
  <si>
    <t>--</t>
  </si>
  <si>
    <t>Maximum</t>
  </si>
  <si>
    <t>Increased incidence of vacuolization of centrilobular hepatocytes (F0)</t>
  </si>
  <si>
    <t>99th Percentile</t>
  </si>
  <si>
    <t>Increased incidence of pelvic mineralization (F0)</t>
  </si>
  <si>
    <t>HEC</t>
  </si>
  <si>
    <t>Decreased absolute/
relative seminal vesicle weight</t>
  </si>
  <si>
    <r>
      <t>Decreased live litter size (F</t>
    </r>
    <r>
      <rPr>
        <vertAlign val="subscript"/>
        <sz val="11"/>
        <color theme="1"/>
        <rFont val="Calibri"/>
        <family val="2"/>
        <scheme val="minor"/>
      </rPr>
      <t>1</t>
    </r>
    <r>
      <rPr>
        <sz val="11"/>
        <color theme="1"/>
        <rFont val="Calibri"/>
        <family val="2"/>
        <scheme val="minor"/>
      </rPr>
      <t>) at PND 0</t>
    </r>
  </si>
  <si>
    <t>5th Percentile</t>
  </si>
  <si>
    <t>Decreased time hanging from a suspended bar (traction time)</t>
  </si>
  <si>
    <t>Minimum</t>
  </si>
  <si>
    <t>Chronic, Cancer</t>
  </si>
  <si>
    <t>Mean</t>
  </si>
  <si>
    <t>Nested modeling</t>
  </si>
  <si>
    <t xml:space="preserve">numbers to generate the vertical lines at risks of 10E-6, 10E-5 and 10E-4 </t>
  </si>
  <si>
    <t>Vapor Degreasing, Closed-Loop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</si>
</sst>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00"/>
    <numFmt numFmtId="166" formatCode="0.0E+00"/>
    <numFmt numFmtId="167" formatCode="0.0000"/>
    <numFmt numFmtId="168" formatCode="#,##0.0"/>
    <numFmt numFmtId="169" formatCode="0.E+00"/>
    <numFmt numFmtId="170" formatCode="0E+00"/>
    <numFmt numFmtId="171" formatCode="[$-409]mmmm\ d\,\ yyyy;@"/>
  </numFmts>
  <fonts count="50" x14ac:knownFonts="1">
    <font>
      <sz val="11"/>
      <color theme="1"/>
      <name val="Calibri"/>
      <family val="2"/>
      <scheme val="minor"/>
    </font>
    <font>
      <b/>
      <sz val="11"/>
      <color theme="1"/>
      <name val="Calibri"/>
      <family val="2"/>
      <scheme val="minor"/>
    </font>
    <font>
      <sz val="11"/>
      <name val="Calibri"/>
      <family val="2"/>
      <scheme val="minor"/>
    </font>
    <font>
      <vertAlign val="subscript"/>
      <sz val="11"/>
      <color theme="1"/>
      <name val="Calibri"/>
      <family val="2"/>
      <scheme val="minor"/>
    </font>
    <font>
      <b/>
      <sz val="14"/>
      <color theme="1"/>
      <name val="Calibri"/>
      <family val="2"/>
      <scheme val="minor"/>
    </font>
    <font>
      <b/>
      <vertAlign val="superscrip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vertAlign val="subscript"/>
      <sz val="10"/>
      <name val="Calibri"/>
      <family val="2"/>
      <scheme val="minor"/>
    </font>
    <font>
      <b/>
      <sz val="11"/>
      <color rgb="FFFF0000"/>
      <name val="Calibri"/>
      <family val="2"/>
      <scheme val="minor"/>
    </font>
    <font>
      <sz val="10"/>
      <name val="Calibri"/>
      <family val="2"/>
      <scheme val="minor"/>
    </font>
    <font>
      <sz val="11"/>
      <color theme="1"/>
      <name val="Calibri"/>
      <family val="2"/>
      <scheme val="minor"/>
    </font>
    <font>
      <sz val="8.25"/>
      <name val="Tahoma"/>
      <family val="2"/>
    </font>
    <font>
      <b/>
      <sz val="10"/>
      <name val="Times New Roman"/>
      <family val="1"/>
    </font>
    <font>
      <b/>
      <vertAlign val="subscript"/>
      <sz val="10"/>
      <name val="Times New Roman"/>
      <family val="1"/>
    </font>
    <font>
      <sz val="10"/>
      <color theme="1"/>
      <name val="Times New Roman"/>
      <family val="1"/>
    </font>
    <font>
      <sz val="10"/>
      <name val="Times New Roman"/>
      <family val="1"/>
    </font>
    <font>
      <sz val="11"/>
      <name val="Times New Roman"/>
      <family val="1"/>
    </font>
    <font>
      <vertAlign val="subscript"/>
      <sz val="10"/>
      <name val="Times New Roman"/>
      <family val="1"/>
    </font>
    <font>
      <b/>
      <sz val="10"/>
      <color theme="1"/>
      <name val="Times New Roman"/>
      <family val="1"/>
    </font>
    <font>
      <b/>
      <vertAlign val="superscript"/>
      <sz val="10"/>
      <color theme="1"/>
      <name val="Times New Roman"/>
      <family val="1"/>
    </font>
    <font>
      <b/>
      <i/>
      <sz val="10"/>
      <color theme="1"/>
      <name val="Times New Roman"/>
      <family val="1"/>
    </font>
    <font>
      <b/>
      <i/>
      <sz val="10"/>
      <color rgb="FFC00000"/>
      <name val="Times New Roman"/>
      <family val="1"/>
    </font>
    <font>
      <b/>
      <sz val="10"/>
      <color theme="0"/>
      <name val="Times New Roman"/>
      <family val="1"/>
    </font>
    <font>
      <u/>
      <sz val="10"/>
      <name val="Times New Roman"/>
      <family val="1"/>
    </font>
    <font>
      <u/>
      <sz val="10"/>
      <color theme="0" tint="-0.14999847407452621"/>
      <name val="Times New Roman"/>
      <family val="1"/>
    </font>
    <font>
      <sz val="10"/>
      <color theme="0" tint="-0.14999847407452621"/>
      <name val="Times New Roman"/>
      <family val="1"/>
    </font>
    <font>
      <sz val="8"/>
      <name val="Times New Roman"/>
      <family val="1"/>
    </font>
    <font>
      <i/>
      <u/>
      <sz val="10"/>
      <color theme="1"/>
      <name val="Times New Roman"/>
      <family val="1"/>
    </font>
    <font>
      <i/>
      <u/>
      <sz val="8"/>
      <name val="Times New Roman"/>
      <family val="1"/>
    </font>
    <font>
      <b/>
      <i/>
      <sz val="10"/>
      <color theme="1"/>
      <name val="Calibri"/>
      <family val="2"/>
      <scheme val="minor"/>
    </font>
    <font>
      <b/>
      <vertAlign val="subscript"/>
      <sz val="10"/>
      <color theme="1"/>
      <name val="Times New Roman"/>
      <family val="1"/>
    </font>
    <font>
      <b/>
      <sz val="10"/>
      <color rgb="FF000000"/>
      <name val="Times New Roman"/>
      <family val="1"/>
    </font>
    <font>
      <sz val="10"/>
      <color rgb="FF000000"/>
      <name val="Times New Roman"/>
      <family val="1"/>
    </font>
    <font>
      <b/>
      <u/>
      <sz val="10"/>
      <color theme="1"/>
      <name val="Times New Roman"/>
      <family val="1"/>
    </font>
    <font>
      <b/>
      <sz val="10"/>
      <color rgb="FFFF0000"/>
      <name val="Times New Roman"/>
      <family val="1"/>
    </font>
    <font>
      <sz val="10"/>
      <color rgb="FFFF0000"/>
      <name val="Times New Roman"/>
      <family val="1"/>
    </font>
    <font>
      <sz val="10"/>
      <color theme="0"/>
      <name val="Times New Roman"/>
      <family val="1"/>
    </font>
    <font>
      <sz val="10"/>
      <name val="Calibri"/>
      <family val="2"/>
    </font>
    <font>
      <b/>
      <i/>
      <u/>
      <sz val="10"/>
      <name val="Calibri"/>
      <family val="2"/>
      <scheme val="minor"/>
    </font>
    <font>
      <vertAlign val="superscript"/>
      <sz val="10"/>
      <color theme="1"/>
      <name val="Times New Roman"/>
      <family val="1"/>
    </font>
    <font>
      <b/>
      <sz val="16"/>
      <color theme="1"/>
      <name val="Times New Roman"/>
      <family val="1"/>
    </font>
    <font>
      <sz val="11"/>
      <color theme="1"/>
      <name val="Tahoma"/>
      <family val="2"/>
    </font>
    <font>
      <sz val="11"/>
      <color theme="1"/>
      <name val="Times New Roman"/>
      <family val="1"/>
    </font>
    <font>
      <b/>
      <sz val="11"/>
      <color theme="1"/>
      <name val="Times New Roman"/>
      <family val="1"/>
    </font>
    <font>
      <u/>
      <sz val="11"/>
      <color theme="10"/>
      <name val="Calibri"/>
      <family val="2"/>
      <scheme val="minor"/>
    </font>
    <font>
      <u/>
      <sz val="11"/>
      <color theme="10"/>
      <name val="Times New Roman"/>
      <family val="1"/>
    </font>
    <font>
      <sz val="10"/>
      <color theme="0" tint="-4.9989318521683403E-2"/>
      <name val="Times New Roman"/>
      <family val="1"/>
    </font>
    <font>
      <b/>
      <u/>
      <sz val="10"/>
      <name val="Times New Roman"/>
      <family val="1"/>
    </font>
  </fonts>
  <fills count="1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4506668294322"/>
        <bgColor indexed="64"/>
      </patternFill>
    </fill>
    <fill>
      <patternFill patternType="solid">
        <fgColor theme="8" tint="0.39997558519241921"/>
        <bgColor indexed="64"/>
      </patternFill>
    </fill>
    <fill>
      <patternFill patternType="solid">
        <fgColor rgb="FFFFFFFF"/>
        <bgColor rgb="FF000000"/>
      </patternFill>
    </fill>
    <fill>
      <patternFill patternType="solid">
        <fgColor theme="0" tint="-0.14999847407452621"/>
        <bgColor indexed="64"/>
      </patternFill>
    </fill>
    <fill>
      <patternFill patternType="solid">
        <fgColor indexed="6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lightUp"/>
    </fill>
    <fill>
      <patternFill patternType="gray0625"/>
    </fill>
  </fills>
  <borders count="10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dashed">
        <color auto="1"/>
      </top>
      <bottom/>
      <diagonal/>
    </border>
    <border>
      <left/>
      <right/>
      <top style="dashed">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medium">
        <color auto="1"/>
      </top>
      <bottom style="thin">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auto="1"/>
      </left>
      <right style="medium">
        <color indexed="64"/>
      </right>
      <top/>
      <bottom style="medium">
        <color indexed="64"/>
      </bottom>
      <diagonal/>
    </border>
    <border>
      <left/>
      <right style="thin">
        <color auto="1"/>
      </right>
      <top style="medium">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auto="1"/>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indexed="64"/>
      </bottom>
      <diagonal/>
    </border>
    <border>
      <left style="hair">
        <color indexed="64"/>
      </left>
      <right style="hair">
        <color indexed="64"/>
      </right>
      <top/>
      <bottom style="hair">
        <color indexed="64"/>
      </bottom>
      <diagonal/>
    </border>
    <border>
      <left style="medium">
        <color auto="1"/>
      </left>
      <right style="hair">
        <color auto="1"/>
      </right>
      <top/>
      <bottom style="hair">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ashed">
        <color auto="1"/>
      </bottom>
      <diagonal/>
    </border>
    <border>
      <left style="thin">
        <color auto="1"/>
      </left>
      <right/>
      <top/>
      <bottom style="medium">
        <color indexed="64"/>
      </bottom>
      <diagonal/>
    </border>
    <border>
      <left style="thin">
        <color indexed="64"/>
      </left>
      <right/>
      <top style="medium">
        <color indexed="64"/>
      </top>
      <bottom/>
      <diagonal/>
    </border>
    <border>
      <left/>
      <right style="thin">
        <color auto="1"/>
      </right>
      <top style="medium">
        <color indexed="64"/>
      </top>
      <bottom/>
      <diagonal/>
    </border>
    <border>
      <left style="hair">
        <color auto="1"/>
      </left>
      <right/>
      <top style="medium">
        <color indexed="64"/>
      </top>
      <bottom style="hair">
        <color auto="1"/>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auto="1"/>
      </right>
      <top style="medium">
        <color indexed="64"/>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dotted">
        <color auto="1"/>
      </left>
      <right style="dotted">
        <color auto="1"/>
      </right>
      <top style="dotted">
        <color auto="1"/>
      </top>
      <bottom style="dotted">
        <color auto="1"/>
      </bottom>
      <diagonal/>
    </border>
    <border>
      <left/>
      <right/>
      <top style="medium">
        <color indexed="64"/>
      </top>
      <bottom style="hair">
        <color auto="1"/>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auto="1"/>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auto="1"/>
      </left>
      <right style="hair">
        <color indexed="64"/>
      </right>
      <top style="medium">
        <color indexed="64"/>
      </top>
      <bottom/>
      <diagonal/>
    </border>
    <border>
      <left style="hair">
        <color auto="1"/>
      </left>
      <right style="hair">
        <color indexed="64"/>
      </right>
      <top/>
      <bottom/>
      <diagonal/>
    </border>
    <border>
      <left style="hair">
        <color indexed="64"/>
      </left>
      <right style="dotted">
        <color auto="1"/>
      </right>
      <top style="hair">
        <color indexed="64"/>
      </top>
      <bottom/>
      <diagonal/>
    </border>
    <border>
      <left style="hair">
        <color indexed="64"/>
      </left>
      <right style="dotted">
        <color auto="1"/>
      </right>
      <top/>
      <bottom style="hair">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tted">
        <color auto="1"/>
      </left>
      <right style="dotted">
        <color auto="1"/>
      </right>
      <top style="medium">
        <color indexed="64"/>
      </top>
      <bottom style="dotted">
        <color auto="1"/>
      </bottom>
      <diagonal/>
    </border>
    <border>
      <left style="dotted">
        <color auto="1"/>
      </left>
      <right style="dotted">
        <color auto="1"/>
      </right>
      <top style="dotted">
        <color auto="1"/>
      </top>
      <bottom style="medium">
        <color indexed="64"/>
      </bottom>
      <diagonal/>
    </border>
    <border>
      <left style="hair">
        <color indexed="64"/>
      </left>
      <right style="hair">
        <color indexed="64"/>
      </right>
      <top/>
      <bottom style="medium">
        <color indexed="64"/>
      </bottom>
      <diagonal/>
    </border>
    <border>
      <left style="medium">
        <color auto="1"/>
      </left>
      <right style="hair">
        <color auto="1"/>
      </right>
      <top/>
      <bottom style="medium">
        <color indexed="64"/>
      </bottom>
      <diagonal/>
    </border>
    <border>
      <left style="medium">
        <color auto="1"/>
      </left>
      <right style="hair">
        <color auto="1"/>
      </right>
      <top/>
      <bottom/>
      <diagonal/>
    </border>
    <border>
      <left style="hair">
        <color indexed="64"/>
      </left>
      <right/>
      <top/>
      <bottom/>
      <diagonal/>
    </border>
    <border>
      <left/>
      <right style="hair">
        <color indexed="64"/>
      </right>
      <top/>
      <bottom/>
      <diagonal/>
    </border>
    <border>
      <left style="hair">
        <color indexed="64"/>
      </left>
      <right style="medium">
        <color indexed="64"/>
      </right>
      <top/>
      <bottom/>
      <diagonal/>
    </border>
    <border>
      <left/>
      <right/>
      <top style="medium">
        <color indexed="64"/>
      </top>
      <bottom style="thin">
        <color auto="1"/>
      </bottom>
      <diagonal/>
    </border>
  </borders>
  <cellStyleXfs count="4">
    <xf numFmtId="0" fontId="0" fillId="0" borderId="0"/>
    <xf numFmtId="43" fontId="12" fillId="0" borderId="0" applyFont="0" applyFill="0" applyBorder="0" applyAlignment="0" applyProtection="0"/>
    <xf numFmtId="0" fontId="12" fillId="0" borderId="0"/>
    <xf numFmtId="0" fontId="46" fillId="0" borderId="0" applyNumberFormat="0" applyFill="0" applyBorder="0" applyAlignment="0" applyProtection="0"/>
  </cellStyleXfs>
  <cellXfs count="684">
    <xf numFmtId="0" fontId="0" fillId="0" borderId="0" xfId="0"/>
    <xf numFmtId="0" fontId="4" fillId="3" borderId="0" xfId="0" applyFont="1" applyFill="1"/>
    <xf numFmtId="0" fontId="0" fillId="3" borderId="0" xfId="0" applyFill="1"/>
    <xf numFmtId="0" fontId="0" fillId="3" borderId="2" xfId="0" applyFill="1" applyBorder="1"/>
    <xf numFmtId="0" fontId="0" fillId="3" borderId="3" xfId="0" applyFill="1" applyBorder="1"/>
    <xf numFmtId="0" fontId="1" fillId="3" borderId="3" xfId="0" applyFont="1" applyFill="1" applyBorder="1"/>
    <xf numFmtId="0" fontId="1" fillId="3" borderId="4" xfId="0" applyFont="1" applyFill="1" applyBorder="1" applyAlignment="1">
      <alignment horizontal="center" wrapText="1"/>
    </xf>
    <xf numFmtId="0" fontId="0" fillId="3" borderId="5" xfId="0" applyFill="1" applyBorder="1"/>
    <xf numFmtId="0" fontId="0" fillId="3" borderId="0" xfId="0" applyFill="1" applyBorder="1"/>
    <xf numFmtId="0" fontId="1" fillId="3" borderId="0" xfId="0" applyFont="1" applyFill="1" applyBorder="1" applyAlignment="1">
      <alignment horizontal="center"/>
    </xf>
    <xf numFmtId="0" fontId="1" fillId="3" borderId="0" xfId="0" applyFont="1" applyFill="1" applyBorder="1" applyAlignment="1">
      <alignment horizontal="center" wrapText="1"/>
    </xf>
    <xf numFmtId="0" fontId="1" fillId="3" borderId="7" xfId="0" applyFont="1" applyFill="1" applyBorder="1" applyAlignment="1">
      <alignment horizontal="center" wrapText="1"/>
    </xf>
    <xf numFmtId="0" fontId="0" fillId="3" borderId="0" xfId="0" applyFill="1" applyBorder="1" applyAlignment="1">
      <alignment horizontal="left" wrapText="1"/>
    </xf>
    <xf numFmtId="0" fontId="0" fillId="3" borderId="0" xfId="0" applyFill="1" applyBorder="1" applyAlignment="1">
      <alignment wrapText="1"/>
    </xf>
    <xf numFmtId="0" fontId="0" fillId="3" borderId="0" xfId="0" applyFill="1" applyBorder="1" applyAlignment="1">
      <alignment horizontal="center"/>
    </xf>
    <xf numFmtId="0" fontId="0" fillId="3" borderId="7" xfId="0" quotePrefix="1" applyFill="1" applyBorder="1" applyAlignment="1">
      <alignment horizontal="center"/>
    </xf>
    <xf numFmtId="166" fontId="0" fillId="3" borderId="7" xfId="0" applyNumberFormat="1" applyFill="1" applyBorder="1"/>
    <xf numFmtId="0" fontId="0" fillId="3" borderId="7" xfId="0" applyFill="1" applyBorder="1"/>
    <xf numFmtId="0" fontId="0" fillId="3" borderId="6" xfId="0" applyFill="1" applyBorder="1"/>
    <xf numFmtId="0" fontId="0" fillId="3" borderId="8" xfId="0" applyFill="1" applyBorder="1"/>
    <xf numFmtId="0" fontId="0" fillId="3" borderId="9" xfId="0" applyFill="1" applyBorder="1"/>
    <xf numFmtId="0" fontId="0" fillId="3" borderId="15" xfId="0" applyFill="1" applyBorder="1" applyAlignment="1">
      <alignment wrapText="1"/>
    </xf>
    <xf numFmtId="0" fontId="0" fillId="3" borderId="17" xfId="0" applyFill="1" applyBorder="1" applyAlignment="1">
      <alignment wrapText="1"/>
    </xf>
    <xf numFmtId="0" fontId="0" fillId="3" borderId="17" xfId="0" applyFill="1" applyBorder="1" applyAlignment="1">
      <alignment horizontal="center"/>
    </xf>
    <xf numFmtId="0" fontId="0" fillId="3" borderId="18" xfId="0" quotePrefix="1" applyFill="1" applyBorder="1" applyAlignment="1">
      <alignment horizontal="center"/>
    </xf>
    <xf numFmtId="0" fontId="1" fillId="3" borderId="18" xfId="0" applyFont="1" applyFill="1" applyBorder="1" applyAlignment="1">
      <alignment horizontal="center" wrapText="1"/>
    </xf>
    <xf numFmtId="0" fontId="1" fillId="3" borderId="16" xfId="0" applyFont="1" applyFill="1" applyBorder="1" applyAlignment="1">
      <alignment horizontal="center" wrapText="1"/>
    </xf>
    <xf numFmtId="0" fontId="1" fillId="3" borderId="17" xfId="0" applyFont="1" applyFill="1" applyBorder="1" applyAlignment="1">
      <alignment horizontal="center" wrapText="1"/>
    </xf>
    <xf numFmtId="0" fontId="0" fillId="3" borderId="0" xfId="0" applyFill="1" applyBorder="1" applyAlignment="1">
      <alignment vertical="center" wrapText="1"/>
    </xf>
    <xf numFmtId="0" fontId="0" fillId="3" borderId="17" xfId="0" applyFill="1" applyBorder="1" applyAlignment="1">
      <alignment vertical="center" wrapText="1"/>
    </xf>
    <xf numFmtId="0" fontId="0" fillId="3" borderId="14" xfId="0" applyFill="1" applyBorder="1" applyAlignment="1">
      <alignment vertical="center"/>
    </xf>
    <xf numFmtId="0" fontId="0" fillId="3" borderId="20" xfId="0" applyFill="1" applyBorder="1" applyAlignment="1">
      <alignment vertical="center" wrapText="1"/>
    </xf>
    <xf numFmtId="0" fontId="0" fillId="3" borderId="20" xfId="0" applyFill="1" applyBorder="1" applyAlignment="1">
      <alignment wrapText="1"/>
    </xf>
    <xf numFmtId="0" fontId="0" fillId="3" borderId="20" xfId="0" applyFill="1" applyBorder="1" applyAlignment="1">
      <alignment horizontal="center"/>
    </xf>
    <xf numFmtId="0" fontId="0" fillId="3" borderId="21" xfId="0" quotePrefix="1" applyFill="1" applyBorder="1" applyAlignment="1">
      <alignment horizontal="center"/>
    </xf>
    <xf numFmtId="0" fontId="0" fillId="3" borderId="22" xfId="0" applyFill="1" applyBorder="1" applyAlignment="1">
      <alignment horizontal="center" vertical="center"/>
    </xf>
    <xf numFmtId="0" fontId="0" fillId="3" borderId="22" xfId="0" applyFont="1" applyFill="1" applyBorder="1" applyAlignment="1">
      <alignment vertical="center"/>
    </xf>
    <xf numFmtId="0" fontId="6" fillId="0" borderId="0" xfId="0" applyFont="1" applyAlignment="1">
      <alignment horizontal="center"/>
    </xf>
    <xf numFmtId="0" fontId="7" fillId="3" borderId="0" xfId="0" applyFont="1" applyFill="1"/>
    <xf numFmtId="0" fontId="6" fillId="3" borderId="0" xfId="0" applyFont="1" applyFill="1"/>
    <xf numFmtId="0" fontId="6" fillId="0" borderId="0" xfId="0" applyFont="1"/>
    <xf numFmtId="0" fontId="6" fillId="0" borderId="1" xfId="0" applyFont="1" applyBorder="1" applyAlignment="1">
      <alignment vertical="center"/>
    </xf>
    <xf numFmtId="0" fontId="6" fillId="0" borderId="29" xfId="0" applyFont="1" applyBorder="1" applyAlignment="1">
      <alignment horizontal="center"/>
    </xf>
    <xf numFmtId="0" fontId="10" fillId="0" borderId="0" xfId="0" applyFont="1"/>
    <xf numFmtId="0" fontId="6" fillId="0" borderId="1" xfId="0" applyFont="1" applyBorder="1" applyAlignment="1">
      <alignment vertical="center" wrapText="1"/>
    </xf>
    <xf numFmtId="0" fontId="6" fillId="0" borderId="1" xfId="0" applyFont="1" applyBorder="1"/>
    <xf numFmtId="0" fontId="6" fillId="0" borderId="31" xfId="0" applyFont="1" applyBorder="1" applyAlignment="1">
      <alignment horizontal="center"/>
    </xf>
    <xf numFmtId="0" fontId="0" fillId="0" borderId="0" xfId="0" applyBorder="1"/>
    <xf numFmtId="0" fontId="2" fillId="0" borderId="0" xfId="0" applyFont="1"/>
    <xf numFmtId="0" fontId="6" fillId="0" borderId="1" xfId="0" applyFont="1" applyFill="1" applyBorder="1" applyAlignment="1">
      <alignment horizontal="left" vertical="center" wrapText="1"/>
    </xf>
    <xf numFmtId="168" fontId="11" fillId="0" borderId="1" xfId="1" applyNumberFormat="1" applyFont="1" applyFill="1" applyBorder="1" applyAlignment="1">
      <alignment horizontal="center" vertical="center"/>
    </xf>
    <xf numFmtId="2" fontId="13" fillId="0" borderId="1" xfId="1" applyNumberFormat="1" applyFont="1" applyFill="1" applyBorder="1" applyAlignment="1">
      <alignment horizontal="center" vertical="center"/>
    </xf>
    <xf numFmtId="0" fontId="11" fillId="0" borderId="1" xfId="0" applyFont="1" applyFill="1" applyBorder="1" applyAlignment="1">
      <alignment wrapText="1"/>
    </xf>
    <xf numFmtId="168" fontId="13" fillId="0" borderId="1" xfId="1" applyNumberFormat="1" applyFont="1" applyFill="1" applyBorder="1" applyAlignment="1">
      <alignment horizontal="center" vertical="center"/>
    </xf>
    <xf numFmtId="4" fontId="13" fillId="0" borderId="1" xfId="1" applyNumberFormat="1" applyFont="1" applyFill="1" applyBorder="1" applyAlignment="1">
      <alignment horizontal="center" vertical="center"/>
    </xf>
    <xf numFmtId="2" fontId="13" fillId="0" borderId="38" xfId="1" applyNumberFormat="1" applyFont="1" applyFill="1" applyBorder="1" applyAlignment="1">
      <alignment horizontal="center" vertical="center"/>
    </xf>
    <xf numFmtId="0" fontId="16" fillId="3" borderId="0" xfId="0" applyFont="1" applyFill="1" applyAlignment="1">
      <alignment horizontal="center" vertical="center"/>
    </xf>
    <xf numFmtId="2" fontId="17" fillId="3" borderId="1" xfId="0" applyNumberFormat="1" applyFont="1" applyFill="1" applyBorder="1" applyAlignment="1">
      <alignment horizontal="center" vertical="center"/>
    </xf>
    <xf numFmtId="2" fontId="16" fillId="3" borderId="1" xfId="0" applyNumberFormat="1" applyFont="1" applyFill="1" applyBorder="1" applyAlignment="1">
      <alignment horizontal="center" vertical="center"/>
    </xf>
    <xf numFmtId="164" fontId="16" fillId="3" borderId="29" xfId="0" applyNumberFormat="1" applyFont="1" applyFill="1" applyBorder="1" applyAlignment="1">
      <alignment horizontal="center" vertical="center"/>
    </xf>
    <xf numFmtId="3" fontId="17" fillId="3" borderId="1" xfId="0" applyNumberFormat="1" applyFont="1" applyFill="1" applyBorder="1" applyAlignment="1">
      <alignment horizontal="center" vertical="center"/>
    </xf>
    <xf numFmtId="2" fontId="16" fillId="3" borderId="23" xfId="0" applyNumberFormat="1" applyFont="1" applyFill="1" applyBorder="1" applyAlignment="1">
      <alignment horizontal="center" vertical="center"/>
    </xf>
    <xf numFmtId="2" fontId="16" fillId="3" borderId="31" xfId="0" applyNumberFormat="1" applyFont="1" applyFill="1" applyBorder="1" applyAlignment="1">
      <alignment horizontal="center" vertical="center"/>
    </xf>
    <xf numFmtId="0" fontId="17" fillId="3" borderId="0" xfId="0" applyFont="1" applyFill="1" applyAlignment="1">
      <alignment horizontal="center" vertical="center"/>
    </xf>
    <xf numFmtId="2" fontId="16" fillId="3" borderId="0" xfId="0" applyNumberFormat="1" applyFont="1" applyFill="1" applyBorder="1" applyAlignment="1">
      <alignment horizontal="center" vertical="center"/>
    </xf>
    <xf numFmtId="0" fontId="18" fillId="3" borderId="0" xfId="0" applyFont="1" applyFill="1" applyAlignment="1">
      <alignment vertical="center"/>
    </xf>
    <xf numFmtId="0" fontId="17" fillId="3" borderId="0" xfId="0" applyFont="1" applyFill="1" applyAlignment="1">
      <alignment vertical="center"/>
    </xf>
    <xf numFmtId="0" fontId="17" fillId="3" borderId="0" xfId="0" applyFont="1" applyFill="1" applyBorder="1" applyAlignment="1">
      <alignment horizontal="center" vertical="center"/>
    </xf>
    <xf numFmtId="0" fontId="18" fillId="3" borderId="0" xfId="0" applyFont="1" applyFill="1" applyBorder="1" applyAlignment="1">
      <alignment vertical="center" wrapText="1"/>
    </xf>
    <xf numFmtId="0" fontId="18" fillId="3" borderId="0" xfId="0" applyFont="1" applyFill="1" applyAlignment="1">
      <alignment horizontal="center" vertical="center"/>
    </xf>
    <xf numFmtId="0" fontId="17" fillId="3" borderId="0" xfId="0" applyFont="1" applyFill="1" applyBorder="1" applyAlignment="1">
      <alignment horizontal="center" vertical="center" wrapText="1"/>
    </xf>
    <xf numFmtId="164" fontId="17" fillId="0" borderId="1" xfId="0" applyNumberFormat="1" applyFont="1" applyFill="1" applyBorder="1" applyAlignment="1">
      <alignment horizontal="center" vertical="center"/>
    </xf>
    <xf numFmtId="0" fontId="16" fillId="3" borderId="0" xfId="0" applyFont="1" applyFill="1" applyBorder="1" applyAlignment="1">
      <alignment vertical="center"/>
    </xf>
    <xf numFmtId="0" fontId="20" fillId="5" borderId="19" xfId="0" applyFont="1" applyFill="1" applyBorder="1" applyAlignment="1">
      <alignment horizontal="center" wrapText="1"/>
    </xf>
    <xf numFmtId="0" fontId="20" fillId="5" borderId="26" xfId="0" applyFont="1" applyFill="1" applyBorder="1" applyAlignment="1">
      <alignment horizontal="center" vertical="center"/>
    </xf>
    <xf numFmtId="0" fontId="20" fillId="5" borderId="25" xfId="0" applyFont="1" applyFill="1" applyBorder="1" applyAlignment="1">
      <alignment horizontal="center" wrapText="1"/>
    </xf>
    <xf numFmtId="0" fontId="16" fillId="3" borderId="0" xfId="0" applyFont="1" applyFill="1" applyBorder="1" applyAlignment="1">
      <alignment horizontal="center" vertical="center"/>
    </xf>
    <xf numFmtId="2" fontId="16" fillId="3" borderId="38" xfId="0" applyNumberFormat="1" applyFont="1" applyFill="1" applyBorder="1" applyAlignment="1">
      <alignment horizontal="center" vertical="center"/>
    </xf>
    <xf numFmtId="2" fontId="16" fillId="3" borderId="36" xfId="0" applyNumberFormat="1" applyFont="1" applyFill="1" applyBorder="1" applyAlignment="1">
      <alignment horizontal="center" vertical="center"/>
    </xf>
    <xf numFmtId="11" fontId="17" fillId="3" borderId="1" xfId="0" applyNumberFormat="1" applyFont="1" applyFill="1" applyBorder="1" applyAlignment="1">
      <alignment horizontal="center" vertical="center"/>
    </xf>
    <xf numFmtId="11" fontId="17" fillId="3" borderId="1" xfId="0" applyNumberFormat="1" applyFont="1" applyFill="1" applyBorder="1" applyAlignment="1">
      <alignment horizontal="center" vertical="center" wrapText="1"/>
    </xf>
    <xf numFmtId="167" fontId="18" fillId="3" borderId="0" xfId="0" applyNumberFormat="1" applyFont="1" applyFill="1" applyAlignment="1">
      <alignment horizontal="center" vertical="center"/>
    </xf>
    <xf numFmtId="165" fontId="18" fillId="3" borderId="0" xfId="0" applyNumberFormat="1"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6" fillId="0" borderId="27"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40" xfId="0" applyFont="1" applyFill="1" applyBorder="1" applyAlignment="1">
      <alignment horizontal="center" vertical="center"/>
    </xf>
    <xf numFmtId="2" fontId="16" fillId="3" borderId="29" xfId="0" applyNumberFormat="1" applyFont="1" applyFill="1" applyBorder="1" applyAlignment="1">
      <alignment horizontal="center" vertical="center"/>
    </xf>
    <xf numFmtId="164" fontId="17" fillId="3" borderId="1" xfId="0" applyNumberFormat="1" applyFont="1" applyFill="1" applyBorder="1" applyAlignment="1">
      <alignment horizontal="center" vertical="center"/>
    </xf>
    <xf numFmtId="1" fontId="17" fillId="0" borderId="1" xfId="0" applyNumberFormat="1" applyFont="1" applyFill="1" applyBorder="1" applyAlignment="1">
      <alignment horizontal="center" vertical="center" wrapText="1"/>
    </xf>
    <xf numFmtId="1" fontId="17" fillId="3" borderId="1" xfId="0"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3" fontId="17" fillId="0" borderId="23" xfId="0" applyNumberFormat="1" applyFont="1" applyFill="1" applyBorder="1" applyAlignment="1">
      <alignment horizontal="center" vertical="center"/>
    </xf>
    <xf numFmtId="168" fontId="17" fillId="0" borderId="1" xfId="0" applyNumberFormat="1" applyFont="1" applyFill="1" applyBorder="1" applyAlignment="1">
      <alignment horizontal="center" vertical="center"/>
    </xf>
    <xf numFmtId="0" fontId="17" fillId="3" borderId="0" xfId="0" applyFont="1" applyFill="1" applyBorder="1" applyAlignment="1">
      <alignment vertical="center"/>
    </xf>
    <xf numFmtId="0" fontId="16" fillId="0" borderId="35" xfId="0" applyFont="1" applyFill="1" applyBorder="1" applyAlignment="1">
      <alignment horizontal="center" vertical="center"/>
    </xf>
    <xf numFmtId="0" fontId="20" fillId="5" borderId="19" xfId="0" applyFont="1" applyFill="1" applyBorder="1" applyAlignment="1">
      <alignment horizontal="center" vertical="center"/>
    </xf>
    <xf numFmtId="11" fontId="17" fillId="3" borderId="23" xfId="0" applyNumberFormat="1" applyFont="1" applyFill="1" applyBorder="1" applyAlignment="1">
      <alignment horizontal="center" vertical="center"/>
    </xf>
    <xf numFmtId="11" fontId="17" fillId="3" borderId="23" xfId="0" applyNumberFormat="1" applyFont="1" applyFill="1" applyBorder="1" applyAlignment="1">
      <alignment horizontal="center" vertical="center" wrapText="1"/>
    </xf>
    <xf numFmtId="0" fontId="16" fillId="3" borderId="0" xfId="0" applyFont="1" applyFill="1" applyAlignment="1">
      <alignment vertical="center"/>
    </xf>
    <xf numFmtId="0" fontId="16" fillId="8" borderId="0" xfId="0" applyFont="1" applyFill="1" applyAlignment="1">
      <alignment vertical="center"/>
    </xf>
    <xf numFmtId="0" fontId="22" fillId="4" borderId="11" xfId="0" applyFont="1" applyFill="1" applyBorder="1" applyAlignment="1">
      <alignment horizontal="center" vertical="center" wrapText="1"/>
    </xf>
    <xf numFmtId="0" fontId="16" fillId="2" borderId="12" xfId="0" applyFont="1" applyFill="1" applyBorder="1" applyAlignment="1">
      <alignment vertical="center"/>
    </xf>
    <xf numFmtId="0" fontId="16" fillId="2" borderId="13" xfId="0" applyFont="1" applyFill="1" applyBorder="1" applyAlignment="1">
      <alignment horizontal="center" vertical="center"/>
    </xf>
    <xf numFmtId="0" fontId="20" fillId="3" borderId="0" xfId="0" applyFont="1" applyFill="1" applyAlignment="1">
      <alignment vertical="center"/>
    </xf>
    <xf numFmtId="0" fontId="23" fillId="0" borderId="0" xfId="0" applyFont="1" applyFill="1" applyBorder="1" applyAlignment="1">
      <alignment vertical="center"/>
    </xf>
    <xf numFmtId="0" fontId="20" fillId="3" borderId="0" xfId="0" applyFont="1" applyFill="1" applyAlignment="1">
      <alignment horizontal="center" vertical="center"/>
    </xf>
    <xf numFmtId="0" fontId="20" fillId="8" borderId="0" xfId="0" applyFont="1" applyFill="1" applyAlignment="1">
      <alignment vertical="center"/>
    </xf>
    <xf numFmtId="0" fontId="23" fillId="8" borderId="0" xfId="0" applyFont="1" applyFill="1" applyBorder="1" applyAlignment="1">
      <alignment horizontal="left" vertical="center"/>
    </xf>
    <xf numFmtId="0" fontId="20" fillId="3" borderId="0" xfId="0" applyFont="1" applyFill="1" applyBorder="1" applyAlignment="1">
      <alignment vertical="center"/>
    </xf>
    <xf numFmtId="0" fontId="14" fillId="3" borderId="0" xfId="0" applyFont="1" applyFill="1" applyBorder="1" applyAlignment="1">
      <alignment vertical="center"/>
    </xf>
    <xf numFmtId="0" fontId="16" fillId="0" borderId="0" xfId="0" applyFont="1" applyFill="1" applyBorder="1" applyAlignment="1">
      <alignment vertical="center"/>
    </xf>
    <xf numFmtId="0" fontId="14" fillId="3" borderId="0" xfId="0" applyFont="1" applyFill="1" applyBorder="1" applyAlignment="1">
      <alignment horizontal="center" vertical="center" wrapText="1"/>
    </xf>
    <xf numFmtId="0" fontId="17" fillId="3" borderId="0" xfId="0" applyFont="1" applyFill="1" applyBorder="1" applyAlignment="1">
      <alignment vertical="center" wrapText="1"/>
    </xf>
    <xf numFmtId="0" fontId="14" fillId="3" borderId="0" xfId="0" applyFont="1" applyFill="1" applyBorder="1" applyAlignment="1">
      <alignment vertical="center" wrapText="1"/>
    </xf>
    <xf numFmtId="0" fontId="17" fillId="8" borderId="0" xfId="0" applyFont="1" applyFill="1" applyBorder="1" applyAlignment="1">
      <alignment horizontal="center" vertical="center" wrapText="1"/>
    </xf>
    <xf numFmtId="0" fontId="14" fillId="8" borderId="0" xfId="0" applyFont="1" applyFill="1" applyBorder="1" applyAlignment="1">
      <alignment vertical="center" wrapText="1"/>
    </xf>
    <xf numFmtId="0" fontId="14" fillId="3" borderId="0" xfId="0" applyFont="1" applyFill="1" applyAlignment="1">
      <alignment vertical="center"/>
    </xf>
    <xf numFmtId="0" fontId="24" fillId="3" borderId="0" xfId="0" applyFont="1" applyFill="1" applyBorder="1" applyAlignment="1">
      <alignment horizontal="center" vertical="center" wrapText="1"/>
    </xf>
    <xf numFmtId="0" fontId="24" fillId="3" borderId="0" xfId="0" applyFont="1" applyFill="1" applyBorder="1" applyAlignment="1">
      <alignment vertical="center" wrapText="1"/>
    </xf>
    <xf numFmtId="0" fontId="24" fillId="8" borderId="0" xfId="0" applyFont="1" applyFill="1" applyBorder="1" applyAlignment="1">
      <alignment vertical="center" wrapText="1"/>
    </xf>
    <xf numFmtId="0" fontId="20" fillId="4" borderId="42" xfId="0" applyFont="1" applyFill="1" applyBorder="1" applyAlignment="1">
      <alignment horizontal="center" vertical="center" wrapText="1"/>
    </xf>
    <xf numFmtId="0" fontId="16" fillId="2" borderId="12" xfId="0" applyFont="1" applyFill="1" applyBorder="1" applyAlignment="1">
      <alignment vertical="center" wrapText="1"/>
    </xf>
    <xf numFmtId="0" fontId="16" fillId="2" borderId="13" xfId="0" applyFont="1" applyFill="1" applyBorder="1" applyAlignment="1">
      <alignment horizontal="center" vertical="center" wrapText="1"/>
    </xf>
    <xf numFmtId="0" fontId="25" fillId="3" borderId="0" xfId="0" applyFont="1" applyFill="1" applyAlignment="1">
      <alignment vertical="center"/>
    </xf>
    <xf numFmtId="0" fontId="17" fillId="3" borderId="0" xfId="0" applyFont="1" applyFill="1" applyAlignment="1">
      <alignment horizontal="left" vertical="center"/>
    </xf>
    <xf numFmtId="11" fontId="17" fillId="3" borderId="0" xfId="0" applyNumberFormat="1" applyFont="1" applyFill="1" applyAlignment="1">
      <alignment horizontal="center" vertical="center"/>
    </xf>
    <xf numFmtId="167" fontId="17" fillId="3" borderId="0" xfId="0" applyNumberFormat="1" applyFont="1" applyFill="1" applyAlignment="1">
      <alignment horizontal="center" vertical="center"/>
    </xf>
    <xf numFmtId="165" fontId="17" fillId="3" borderId="0" xfId="0" applyNumberFormat="1" applyFont="1" applyFill="1" applyBorder="1" applyAlignment="1">
      <alignment horizontal="center" vertical="center" wrapText="1"/>
    </xf>
    <xf numFmtId="11" fontId="16" fillId="3" borderId="0" xfId="0" applyNumberFormat="1" applyFont="1" applyFill="1" applyAlignment="1">
      <alignment horizontal="center" vertical="center"/>
    </xf>
    <xf numFmtId="167" fontId="16" fillId="3" borderId="0" xfId="0" applyNumberFormat="1" applyFont="1" applyFill="1" applyAlignment="1">
      <alignment vertical="center"/>
    </xf>
    <xf numFmtId="165" fontId="16" fillId="3" borderId="0" xfId="0" applyNumberFormat="1" applyFont="1" applyFill="1" applyAlignment="1">
      <alignment vertical="center"/>
    </xf>
    <xf numFmtId="11" fontId="16" fillId="3" borderId="0" xfId="0" applyNumberFormat="1" applyFont="1" applyFill="1" applyAlignment="1">
      <alignment vertical="center"/>
    </xf>
    <xf numFmtId="164" fontId="16" fillId="3" borderId="1" xfId="0" applyNumberFormat="1" applyFont="1" applyFill="1" applyBorder="1" applyAlignment="1">
      <alignment horizontal="center" vertical="center"/>
    </xf>
    <xf numFmtId="164" fontId="16" fillId="3" borderId="23" xfId="0" applyNumberFormat="1" applyFont="1" applyFill="1" applyBorder="1" applyAlignment="1">
      <alignment horizontal="center" vertical="center"/>
    </xf>
    <xf numFmtId="0" fontId="16" fillId="3" borderId="38" xfId="0" applyFont="1" applyFill="1" applyBorder="1" applyAlignment="1">
      <alignment horizontal="center" vertical="center"/>
    </xf>
    <xf numFmtId="164" fontId="16" fillId="3" borderId="0" xfId="0" applyNumberFormat="1" applyFont="1" applyFill="1" applyBorder="1" applyAlignment="1">
      <alignment horizontal="center" vertical="center"/>
    </xf>
    <xf numFmtId="0" fontId="20" fillId="3" borderId="0" xfId="0" applyFont="1" applyFill="1" applyBorder="1" applyAlignment="1">
      <alignment horizontal="center" vertical="center" wrapText="1"/>
    </xf>
    <xf numFmtId="164" fontId="16" fillId="8" borderId="29" xfId="0" applyNumberFormat="1" applyFont="1" applyFill="1" applyBorder="1" applyAlignment="1">
      <alignment horizontal="center" vertical="center"/>
    </xf>
    <xf numFmtId="2" fontId="16" fillId="8" borderId="31" xfId="0" applyNumberFormat="1" applyFont="1" applyFill="1" applyBorder="1" applyAlignment="1">
      <alignment horizontal="center" vertical="center"/>
    </xf>
    <xf numFmtId="11" fontId="16" fillId="0" borderId="23" xfId="0" applyNumberFormat="1" applyFont="1" applyFill="1" applyBorder="1" applyAlignment="1">
      <alignment horizontal="center" vertical="center" wrapText="1"/>
    </xf>
    <xf numFmtId="0" fontId="17" fillId="8" borderId="0" xfId="0" applyFont="1" applyFill="1" applyBorder="1" applyAlignment="1">
      <alignment vertical="center" wrapText="1"/>
    </xf>
    <xf numFmtId="0" fontId="17" fillId="8" borderId="0" xfId="0" applyFont="1" applyFill="1" applyAlignment="1">
      <alignment vertical="center"/>
    </xf>
    <xf numFmtId="0" fontId="20" fillId="4" borderId="11" xfId="0" applyFont="1" applyFill="1" applyBorder="1" applyAlignment="1">
      <alignment horizontal="center" vertical="center" wrapText="1"/>
    </xf>
    <xf numFmtId="164" fontId="16" fillId="8" borderId="36" xfId="0" applyNumberFormat="1" applyFont="1" applyFill="1" applyBorder="1" applyAlignment="1">
      <alignment horizontal="center" vertical="center"/>
    </xf>
    <xf numFmtId="0" fontId="26" fillId="3" borderId="0" xfId="0" applyFont="1" applyFill="1" applyAlignment="1">
      <alignment vertical="center"/>
    </xf>
    <xf numFmtId="0" fontId="27" fillId="3" borderId="0" xfId="0" applyFont="1" applyFill="1" applyAlignment="1">
      <alignment horizontal="center" vertical="center"/>
    </xf>
    <xf numFmtId="0" fontId="27" fillId="3" borderId="0" xfId="0" applyFont="1" applyFill="1" applyAlignment="1">
      <alignment vertical="center"/>
    </xf>
    <xf numFmtId="0" fontId="27" fillId="8" borderId="0" xfId="0" applyFont="1" applyFill="1" applyAlignment="1">
      <alignment vertical="center"/>
    </xf>
    <xf numFmtId="0" fontId="27" fillId="3" borderId="0" xfId="0" applyFont="1" applyFill="1" applyAlignment="1">
      <alignment horizontal="left" vertical="center"/>
    </xf>
    <xf numFmtId="11" fontId="27" fillId="3" borderId="0" xfId="0" applyNumberFormat="1" applyFont="1" applyFill="1" applyAlignment="1">
      <alignment horizontal="center" vertical="center"/>
    </xf>
    <xf numFmtId="0" fontId="27" fillId="3" borderId="0" xfId="0" applyFont="1" applyFill="1" applyBorder="1" applyAlignment="1">
      <alignment vertical="center" wrapText="1"/>
    </xf>
    <xf numFmtId="0" fontId="28" fillId="3" borderId="0" xfId="0" applyFont="1" applyFill="1" applyAlignment="1">
      <alignment horizontal="left" vertical="center"/>
    </xf>
    <xf numFmtId="0" fontId="28" fillId="3" borderId="0" xfId="0" applyFont="1" applyFill="1" applyAlignment="1">
      <alignment vertical="center"/>
    </xf>
    <xf numFmtId="0" fontId="28" fillId="3" borderId="0" xfId="0" applyFont="1" applyFill="1" applyBorder="1" applyAlignment="1">
      <alignment vertical="center" wrapText="1"/>
    </xf>
    <xf numFmtId="0" fontId="29" fillId="3" borderId="0" xfId="0" applyFont="1" applyFill="1" applyAlignment="1">
      <alignment vertical="center"/>
    </xf>
    <xf numFmtId="0" fontId="30" fillId="3" borderId="0" xfId="0" applyFont="1" applyFill="1" applyAlignment="1">
      <alignment vertical="center"/>
    </xf>
    <xf numFmtId="165" fontId="16" fillId="3" borderId="0" xfId="0" applyNumberFormat="1" applyFont="1" applyFill="1" applyAlignment="1">
      <alignment horizontal="center" vertical="center"/>
    </xf>
    <xf numFmtId="0" fontId="14" fillId="5" borderId="24"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6" fillId="0" borderId="27" xfId="0" applyFont="1" applyBorder="1" applyAlignment="1">
      <alignment horizontal="center" vertical="center"/>
    </xf>
    <xf numFmtId="0" fontId="14" fillId="0" borderId="0" xfId="0"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1" fontId="14" fillId="3" borderId="1" xfId="0" applyNumberFormat="1" applyFont="1" applyFill="1" applyBorder="1" applyAlignment="1">
      <alignment horizontal="center" vertical="center"/>
    </xf>
    <xf numFmtId="0" fontId="20" fillId="5" borderId="19" xfId="0" applyFont="1" applyFill="1" applyBorder="1" applyAlignment="1">
      <alignment horizontal="center" vertical="center" wrapText="1"/>
    </xf>
    <xf numFmtId="11" fontId="17" fillId="3" borderId="0" xfId="0" applyNumberFormat="1" applyFont="1" applyFill="1" applyBorder="1" applyAlignment="1">
      <alignment horizontal="center" vertical="center"/>
    </xf>
    <xf numFmtId="11" fontId="17" fillId="3" borderId="44" xfId="0" applyNumberFormat="1"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center" vertical="center" wrapText="1"/>
    </xf>
    <xf numFmtId="3" fontId="7" fillId="11" borderId="0" xfId="0" applyNumberFormat="1" applyFont="1" applyFill="1" applyBorder="1" applyAlignment="1">
      <alignment horizontal="center" vertical="center" wrapText="1"/>
    </xf>
    <xf numFmtId="0" fontId="31" fillId="4" borderId="24"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6" fillId="0" borderId="30" xfId="0" applyFont="1" applyBorder="1" applyAlignment="1">
      <alignment vertical="center"/>
    </xf>
    <xf numFmtId="0" fontId="6" fillId="0" borderId="31" xfId="0" applyFont="1" applyBorder="1" applyAlignment="1">
      <alignment horizontal="center" vertical="center"/>
    </xf>
    <xf numFmtId="3" fontId="7" fillId="12" borderId="0" xfId="0" applyNumberFormat="1" applyFont="1" applyFill="1" applyBorder="1" applyAlignment="1">
      <alignment horizontal="center" vertical="center" wrapText="1"/>
    </xf>
    <xf numFmtId="3" fontId="7" fillId="11" borderId="46"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7" fillId="0" borderId="53" xfId="0" applyFont="1" applyBorder="1" applyAlignment="1">
      <alignment horizontal="center" vertical="center" wrapText="1"/>
    </xf>
    <xf numFmtId="0" fontId="7" fillId="3" borderId="53" xfId="0" applyFont="1" applyFill="1" applyBorder="1" applyAlignment="1">
      <alignment horizontal="center" vertical="center" wrapText="1"/>
    </xf>
    <xf numFmtId="0" fontId="7" fillId="3" borderId="53" xfId="0" applyFont="1" applyFill="1" applyBorder="1" applyAlignment="1">
      <alignment horizontal="center" vertical="center"/>
    </xf>
    <xf numFmtId="0" fontId="7" fillId="3" borderId="54" xfId="0" applyFont="1" applyFill="1" applyBorder="1" applyAlignment="1">
      <alignment horizontal="center" vertical="center"/>
    </xf>
    <xf numFmtId="11" fontId="6" fillId="0" borderId="58" xfId="0" applyNumberFormat="1" applyFont="1" applyFill="1" applyBorder="1" applyAlignment="1">
      <alignment horizontal="center" vertical="center"/>
    </xf>
    <xf numFmtId="11" fontId="6" fillId="0" borderId="59" xfId="0" applyNumberFormat="1" applyFont="1" applyFill="1" applyBorder="1" applyAlignment="1">
      <alignment horizontal="center" vertical="center"/>
    </xf>
    <xf numFmtId="11" fontId="6" fillId="0" borderId="60" xfId="0" applyNumberFormat="1" applyFont="1" applyFill="1" applyBorder="1" applyAlignment="1">
      <alignment horizontal="center" vertical="center"/>
    </xf>
    <xf numFmtId="11" fontId="6" fillId="0" borderId="61" xfId="0" applyNumberFormat="1" applyFont="1" applyFill="1" applyBorder="1" applyAlignment="1">
      <alignment horizontal="center" vertical="center"/>
    </xf>
    <xf numFmtId="11" fontId="6" fillId="0" borderId="55" xfId="0" applyNumberFormat="1" applyFont="1" applyFill="1" applyBorder="1" applyAlignment="1">
      <alignment horizontal="center" vertical="center"/>
    </xf>
    <xf numFmtId="11" fontId="6" fillId="0" borderId="56" xfId="0" applyNumberFormat="1" applyFont="1" applyFill="1" applyBorder="1" applyAlignment="1">
      <alignment horizontal="center" vertical="center"/>
    </xf>
    <xf numFmtId="11" fontId="6" fillId="0" borderId="62" xfId="0" applyNumberFormat="1" applyFont="1" applyFill="1" applyBorder="1" applyAlignment="1">
      <alignment horizontal="center" vertical="center"/>
    </xf>
    <xf numFmtId="11" fontId="6" fillId="0" borderId="57" xfId="0" applyNumberFormat="1" applyFont="1" applyFill="1" applyBorder="1" applyAlignment="1">
      <alignment horizontal="center" vertical="center"/>
    </xf>
    <xf numFmtId="11" fontId="6" fillId="0" borderId="52" xfId="0" applyNumberFormat="1" applyFont="1" applyFill="1" applyBorder="1" applyAlignment="1">
      <alignment horizontal="center" vertical="center"/>
    </xf>
    <xf numFmtId="11" fontId="6" fillId="0" borderId="64" xfId="0" applyNumberFormat="1" applyFont="1" applyFill="1" applyBorder="1" applyAlignment="1">
      <alignment horizontal="center" vertical="center"/>
    </xf>
    <xf numFmtId="11" fontId="6" fillId="0" borderId="63" xfId="0" applyNumberFormat="1" applyFont="1" applyFill="1" applyBorder="1" applyAlignment="1">
      <alignment horizontal="center" vertical="center"/>
    </xf>
    <xf numFmtId="0" fontId="16" fillId="3" borderId="0" xfId="0" applyFont="1" applyFill="1" applyAlignment="1">
      <alignment horizontal="right" vertical="center"/>
    </xf>
    <xf numFmtId="3" fontId="17" fillId="0" borderId="1" xfId="0" applyNumberFormat="1" applyFont="1" applyFill="1" applyBorder="1" applyAlignment="1">
      <alignment horizontal="center" vertical="center" wrapText="1"/>
    </xf>
    <xf numFmtId="3" fontId="17" fillId="0" borderId="23" xfId="0" applyNumberFormat="1" applyFont="1" applyFill="1" applyBorder="1" applyAlignment="1">
      <alignment horizontal="center" vertical="center" wrapText="1"/>
    </xf>
    <xf numFmtId="3" fontId="17" fillId="3" borderId="23" xfId="0" applyNumberFormat="1" applyFont="1" applyFill="1" applyBorder="1" applyAlignment="1">
      <alignment horizontal="center" vertical="center"/>
    </xf>
    <xf numFmtId="3" fontId="14" fillId="3" borderId="1" xfId="0" applyNumberFormat="1" applyFont="1" applyFill="1" applyBorder="1" applyAlignment="1">
      <alignment horizontal="center" vertical="center"/>
    </xf>
    <xf numFmtId="168" fontId="17" fillId="3" borderId="1" xfId="0" applyNumberFormat="1" applyFont="1" applyFill="1" applyBorder="1" applyAlignment="1">
      <alignment horizontal="center" vertical="center"/>
    </xf>
    <xf numFmtId="0" fontId="16" fillId="0" borderId="0" xfId="0" applyFont="1" applyAlignment="1">
      <alignment vertical="center"/>
    </xf>
    <xf numFmtId="0" fontId="20"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16" fillId="0" borderId="0" xfId="0" applyFont="1" applyFill="1" applyAlignment="1">
      <alignment vertical="center"/>
    </xf>
    <xf numFmtId="0" fontId="16" fillId="0" borderId="0" xfId="0" applyFont="1" applyBorder="1" applyAlignment="1">
      <alignment vertical="center"/>
    </xf>
    <xf numFmtId="3" fontId="16" fillId="0" borderId="0" xfId="0" applyNumberFormat="1" applyFont="1" applyFill="1" applyBorder="1" applyAlignment="1">
      <alignment horizontal="center" vertical="center"/>
    </xf>
    <xf numFmtId="3" fontId="16" fillId="9" borderId="0" xfId="0" applyNumberFormat="1" applyFont="1" applyFill="1" applyBorder="1" applyAlignment="1">
      <alignment horizontal="center" vertical="center"/>
    </xf>
    <xf numFmtId="2" fontId="16" fillId="0" borderId="0" xfId="0" applyNumberFormat="1" applyFont="1" applyBorder="1" applyAlignment="1">
      <alignment horizontal="center" vertical="center"/>
    </xf>
    <xf numFmtId="168" fontId="16" fillId="0" borderId="0" xfId="0" applyNumberFormat="1" applyFont="1" applyBorder="1" applyAlignment="1">
      <alignment horizontal="center" vertical="center"/>
    </xf>
    <xf numFmtId="168" fontId="16" fillId="0" borderId="0" xfId="0" applyNumberFormat="1" applyFont="1" applyFill="1" applyBorder="1" applyAlignment="1">
      <alignment horizontal="center" vertical="center"/>
    </xf>
    <xf numFmtId="0" fontId="16" fillId="0" borderId="0" xfId="0" applyFont="1" applyBorder="1" applyAlignment="1">
      <alignment vertical="center" wrapText="1"/>
    </xf>
    <xf numFmtId="0" fontId="36" fillId="0" borderId="0" xfId="0" applyFont="1" applyAlignment="1">
      <alignment vertical="center"/>
    </xf>
    <xf numFmtId="0" fontId="35" fillId="0" borderId="0" xfId="0" applyFont="1" applyAlignment="1">
      <alignment vertical="center"/>
    </xf>
    <xf numFmtId="1" fontId="16" fillId="0" borderId="1" xfId="0" applyNumberFormat="1" applyFont="1" applyBorder="1" applyAlignment="1">
      <alignment horizontal="center" vertical="center"/>
    </xf>
    <xf numFmtId="0" fontId="35" fillId="0" borderId="10" xfId="0" applyFont="1" applyBorder="1" applyAlignment="1">
      <alignment vertical="center"/>
    </xf>
    <xf numFmtId="164" fontId="16" fillId="0" borderId="1" xfId="0" applyNumberFormat="1" applyFont="1" applyBorder="1" applyAlignment="1">
      <alignment horizontal="center" vertical="center"/>
    </xf>
    <xf numFmtId="0" fontId="0" fillId="3" borderId="0" xfId="0" quotePrefix="1" applyFill="1" applyBorder="1" applyAlignment="1">
      <alignment horizontal="center"/>
    </xf>
    <xf numFmtId="0" fontId="0" fillId="3" borderId="0" xfId="0" applyFill="1" applyAlignment="1">
      <alignment vertical="center"/>
    </xf>
    <xf numFmtId="0" fontId="1" fillId="3" borderId="3" xfId="0" applyFont="1" applyFill="1" applyBorder="1" applyAlignment="1">
      <alignment vertical="center"/>
    </xf>
    <xf numFmtId="0" fontId="1" fillId="3" borderId="0" xfId="0" applyFont="1" applyFill="1" applyBorder="1" applyAlignment="1">
      <alignment horizontal="center" vertical="center"/>
    </xf>
    <xf numFmtId="0" fontId="0" fillId="3" borderId="7" xfId="0" applyFill="1" applyBorder="1" applyAlignment="1">
      <alignment horizontal="center"/>
    </xf>
    <xf numFmtId="0" fontId="0" fillId="3" borderId="6" xfId="0" applyFill="1" applyBorder="1" applyAlignment="1">
      <alignment horizontal="left" vertical="center"/>
    </xf>
    <xf numFmtId="0" fontId="0" fillId="3" borderId="8" xfId="0" applyFill="1" applyBorder="1" applyAlignment="1">
      <alignment horizontal="left" vertical="center"/>
    </xf>
    <xf numFmtId="0" fontId="0" fillId="3" borderId="8" xfId="0" applyFill="1" applyBorder="1" applyAlignment="1">
      <alignment vertical="center" wrapText="1"/>
    </xf>
    <xf numFmtId="0" fontId="0" fillId="3" borderId="8" xfId="0" applyFill="1" applyBorder="1" applyAlignment="1">
      <alignment horizontal="left" vertical="center" wrapText="1"/>
    </xf>
    <xf numFmtId="0" fontId="0" fillId="3" borderId="28" xfId="0" applyFill="1" applyBorder="1" applyAlignment="1">
      <alignment horizontal="left" vertical="center"/>
    </xf>
    <xf numFmtId="0" fontId="0" fillId="3" borderId="66" xfId="0" applyFill="1" applyBorder="1" applyAlignment="1">
      <alignment horizontal="left" vertical="center" wrapText="1"/>
    </xf>
    <xf numFmtId="0" fontId="0" fillId="3" borderId="66" xfId="0" applyFill="1" applyBorder="1" applyAlignment="1">
      <alignment horizontal="left" vertical="center"/>
    </xf>
    <xf numFmtId="0" fontId="0" fillId="3" borderId="66" xfId="0" applyFill="1" applyBorder="1"/>
    <xf numFmtId="0" fontId="0" fillId="3" borderId="66" xfId="0" applyFill="1" applyBorder="1" applyAlignment="1">
      <alignment vertical="center" wrapText="1"/>
    </xf>
    <xf numFmtId="0" fontId="0" fillId="3" borderId="66" xfId="0" quotePrefix="1" applyFill="1" applyBorder="1" applyAlignment="1">
      <alignment horizontal="center" vertical="center"/>
    </xf>
    <xf numFmtId="0" fontId="0" fillId="3" borderId="66" xfId="0" applyFill="1" applyBorder="1" applyAlignment="1">
      <alignment horizontal="center" vertical="center"/>
    </xf>
    <xf numFmtId="0" fontId="0" fillId="3" borderId="67" xfId="0" quotePrefix="1" applyFill="1" applyBorder="1" applyAlignment="1">
      <alignment horizontal="center" vertical="center"/>
    </xf>
    <xf numFmtId="0" fontId="0" fillId="3" borderId="8" xfId="0" quotePrefix="1" applyFill="1" applyBorder="1" applyAlignment="1">
      <alignment horizontal="center" vertical="center"/>
    </xf>
    <xf numFmtId="0" fontId="0" fillId="3" borderId="8" xfId="0" applyFill="1" applyBorder="1" applyAlignment="1">
      <alignment horizontal="center" vertical="center"/>
    </xf>
    <xf numFmtId="0" fontId="0" fillId="3" borderId="9" xfId="0" quotePrefix="1" applyFill="1" applyBorder="1" applyAlignment="1">
      <alignment horizontal="center" vertical="center"/>
    </xf>
    <xf numFmtId="0" fontId="20" fillId="13" borderId="1" xfId="0" applyFont="1" applyFill="1" applyBorder="1" applyAlignment="1">
      <alignment horizontal="center" vertical="center"/>
    </xf>
    <xf numFmtId="1" fontId="17" fillId="3" borderId="1" xfId="0" applyNumberFormat="1"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16" fillId="0" borderId="23" xfId="0" applyFont="1" applyBorder="1" applyAlignment="1">
      <alignment horizontal="center" vertical="center"/>
    </xf>
    <xf numFmtId="0" fontId="14" fillId="5" borderId="19" xfId="0" applyFont="1" applyFill="1" applyBorder="1" applyAlignment="1">
      <alignment horizontal="center" vertical="center" wrapText="1"/>
    </xf>
    <xf numFmtId="0" fontId="14" fillId="5" borderId="25" xfId="0" applyFont="1" applyFill="1" applyBorder="1" applyAlignment="1">
      <alignment horizontal="center" vertical="center" wrapText="1"/>
    </xf>
    <xf numFmtId="11" fontId="17" fillId="3" borderId="2" xfId="0" applyNumberFormat="1" applyFont="1" applyFill="1" applyBorder="1" applyAlignment="1">
      <alignment horizontal="center" vertical="center" wrapText="1"/>
    </xf>
    <xf numFmtId="0" fontId="23" fillId="3" borderId="0" xfId="0" applyFont="1" applyFill="1" applyBorder="1" applyAlignment="1">
      <alignment vertical="center"/>
    </xf>
    <xf numFmtId="0" fontId="16" fillId="0" borderId="0" xfId="0" applyFont="1" applyFill="1" applyBorder="1" applyAlignment="1">
      <alignment horizontal="center" vertical="center"/>
    </xf>
    <xf numFmtId="0" fontId="20" fillId="3" borderId="0" xfId="0" applyFont="1" applyFill="1" applyAlignment="1">
      <alignment horizontal="right" vertical="center"/>
    </xf>
    <xf numFmtId="164" fontId="16" fillId="8" borderId="0" xfId="0" applyNumberFormat="1" applyFont="1" applyFill="1" applyBorder="1" applyAlignment="1">
      <alignment horizontal="center" vertical="center"/>
    </xf>
    <xf numFmtId="2" fontId="16" fillId="8" borderId="0" xfId="0" applyNumberFormat="1" applyFont="1" applyFill="1" applyBorder="1" applyAlignment="1">
      <alignment horizontal="center" vertical="center"/>
    </xf>
    <xf numFmtId="11" fontId="16" fillId="0" borderId="68" xfId="0" applyNumberFormat="1"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3" fontId="17" fillId="3" borderId="23" xfId="0" applyNumberFormat="1" applyFont="1" applyFill="1" applyBorder="1" applyAlignment="1">
      <alignment horizontal="center" vertical="center" wrapText="1"/>
    </xf>
    <xf numFmtId="11" fontId="16" fillId="3" borderId="0" xfId="0" applyNumberFormat="1" applyFont="1" applyFill="1" applyBorder="1" applyAlignment="1">
      <alignment horizontal="center" vertical="center"/>
    </xf>
    <xf numFmtId="3" fontId="16" fillId="3" borderId="0" xfId="0" applyNumberFormat="1" applyFont="1" applyFill="1" applyBorder="1" applyAlignment="1">
      <alignment horizontal="center" vertical="center"/>
    </xf>
    <xf numFmtId="169" fontId="16" fillId="3" borderId="0" xfId="0" applyNumberFormat="1" applyFont="1" applyFill="1" applyBorder="1" applyAlignment="1">
      <alignment horizontal="center" vertical="center"/>
    </xf>
    <xf numFmtId="3" fontId="16" fillId="3" borderId="1" xfId="0" applyNumberFormat="1" applyFont="1" applyFill="1" applyBorder="1" applyAlignment="1">
      <alignment horizontal="center" vertical="center"/>
    </xf>
    <xf numFmtId="0" fontId="34" fillId="6" borderId="1" xfId="0" applyFont="1" applyFill="1" applyBorder="1" applyAlignment="1">
      <alignment horizontal="center" vertical="center" wrapText="1"/>
    </xf>
    <xf numFmtId="0" fontId="37" fillId="0" borderId="1" xfId="0" applyFont="1" applyFill="1" applyBorder="1" applyAlignment="1">
      <alignment horizontal="center" vertical="center"/>
    </xf>
    <xf numFmtId="0" fontId="37" fillId="0" borderId="1" xfId="0" applyFont="1" applyBorder="1" applyAlignment="1">
      <alignment horizontal="center" vertical="center"/>
    </xf>
    <xf numFmtId="2" fontId="17" fillId="0" borderId="1" xfId="1" applyNumberFormat="1" applyFont="1" applyFill="1" applyBorder="1" applyAlignment="1">
      <alignment horizontal="center" vertical="center"/>
    </xf>
    <xf numFmtId="2"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165" fontId="17" fillId="0" borderId="1" xfId="0" applyNumberFormat="1" applyFont="1" applyFill="1" applyBorder="1" applyAlignment="1">
      <alignment horizontal="center" vertical="center"/>
    </xf>
    <xf numFmtId="2" fontId="17"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16" fillId="13" borderId="1" xfId="0" applyFont="1" applyFill="1" applyBorder="1" applyAlignment="1">
      <alignment horizontal="center" vertical="center"/>
    </xf>
    <xf numFmtId="0" fontId="16" fillId="0" borderId="28" xfId="0" applyFont="1" applyBorder="1" applyAlignment="1">
      <alignment horizontal="center" vertical="center"/>
    </xf>
    <xf numFmtId="16" fontId="16" fillId="0" borderId="28" xfId="0" quotePrefix="1" applyNumberFormat="1" applyFont="1" applyBorder="1" applyAlignment="1">
      <alignment horizontal="center" vertical="center"/>
    </xf>
    <xf numFmtId="0" fontId="16" fillId="0" borderId="28" xfId="0" applyFont="1" applyFill="1" applyBorder="1" applyAlignment="1">
      <alignment horizontal="center" vertical="center"/>
    </xf>
    <xf numFmtId="0" fontId="16" fillId="0" borderId="2" xfId="0" applyFont="1" applyBorder="1" applyAlignment="1">
      <alignment horizontal="center" vertical="center"/>
    </xf>
    <xf numFmtId="0" fontId="16" fillId="0" borderId="27" xfId="0" applyFont="1" applyBorder="1" applyAlignment="1">
      <alignment vertical="center"/>
    </xf>
    <xf numFmtId="0" fontId="16" fillId="0" borderId="29" xfId="0" applyFont="1" applyBorder="1" applyAlignment="1">
      <alignment horizontal="center" vertical="center"/>
    </xf>
    <xf numFmtId="0" fontId="16" fillId="0" borderId="27" xfId="0" applyFont="1" applyBorder="1" applyAlignment="1">
      <alignment vertical="center" wrapText="1"/>
    </xf>
    <xf numFmtId="0" fontId="16" fillId="0" borderId="27" xfId="0" applyFont="1" applyFill="1" applyBorder="1" applyAlignment="1">
      <alignment horizontal="left" vertical="center" wrapText="1"/>
    </xf>
    <xf numFmtId="0" fontId="16" fillId="0" borderId="27" xfId="0" applyFont="1" applyFill="1" applyBorder="1" applyAlignment="1">
      <alignment vertical="center" wrapText="1"/>
    </xf>
    <xf numFmtId="0" fontId="16" fillId="0" borderId="30" xfId="0" applyFont="1" applyBorder="1" applyAlignment="1">
      <alignment vertical="center" wrapText="1"/>
    </xf>
    <xf numFmtId="0" fontId="34" fillId="6" borderId="23" xfId="0" applyFont="1" applyFill="1" applyBorder="1" applyAlignment="1">
      <alignment horizontal="center" vertical="center" wrapText="1"/>
    </xf>
    <xf numFmtId="165" fontId="17" fillId="0" borderId="23" xfId="0" applyNumberFormat="1" applyFont="1" applyFill="1" applyBorder="1" applyAlignment="1">
      <alignment horizontal="center" vertical="center"/>
    </xf>
    <xf numFmtId="2" fontId="17" fillId="0" borderId="23" xfId="0" applyNumberFormat="1" applyFont="1" applyFill="1" applyBorder="1" applyAlignment="1">
      <alignment horizontal="center" vertical="center"/>
    </xf>
    <xf numFmtId="0" fontId="17" fillId="0" borderId="23"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31" xfId="0" applyFont="1" applyBorder="1" applyAlignment="1">
      <alignment horizontal="center" vertical="center"/>
    </xf>
    <xf numFmtId="11" fontId="16" fillId="0" borderId="1" xfId="0" applyNumberFormat="1" applyFont="1" applyBorder="1" applyAlignment="1">
      <alignment horizontal="center" vertical="center"/>
    </xf>
    <xf numFmtId="0" fontId="16" fillId="0" borderId="30" xfId="0" applyFont="1" applyBorder="1" applyAlignment="1">
      <alignment vertical="center"/>
    </xf>
    <xf numFmtId="3" fontId="16" fillId="0" borderId="23" xfId="0" applyNumberFormat="1" applyFont="1" applyFill="1" applyBorder="1" applyAlignment="1">
      <alignment horizontal="center" vertical="center"/>
    </xf>
    <xf numFmtId="167" fontId="16" fillId="0" borderId="46" xfId="0" applyNumberFormat="1" applyFont="1" applyBorder="1" applyAlignment="1">
      <alignment horizontal="center" vertical="center"/>
    </xf>
    <xf numFmtId="0" fontId="14" fillId="13" borderId="19" xfId="0" applyFont="1" applyFill="1" applyBorder="1" applyAlignment="1">
      <alignment horizontal="center" vertical="center"/>
    </xf>
    <xf numFmtId="0" fontId="17" fillId="3" borderId="1" xfId="0" applyFont="1" applyFill="1" applyBorder="1" applyAlignment="1">
      <alignment horizontal="center" vertical="center"/>
    </xf>
    <xf numFmtId="0" fontId="20" fillId="0" borderId="0" xfId="0" applyFont="1" applyAlignment="1">
      <alignment vertical="center"/>
    </xf>
    <xf numFmtId="11" fontId="16" fillId="0" borderId="0" xfId="0" applyNumberFormat="1" applyFont="1" applyAlignment="1">
      <alignment vertical="center"/>
    </xf>
    <xf numFmtId="168" fontId="17" fillId="0" borderId="23" xfId="0" applyNumberFormat="1" applyFont="1" applyFill="1" applyBorder="1" applyAlignment="1">
      <alignment horizontal="center" vertical="center"/>
    </xf>
    <xf numFmtId="1" fontId="17" fillId="3" borderId="23" xfId="0" applyNumberFormat="1" applyFont="1" applyFill="1" applyBorder="1" applyAlignment="1">
      <alignment horizontal="center" vertical="center" wrapText="1"/>
    </xf>
    <xf numFmtId="1" fontId="17" fillId="3" borderId="23" xfId="0" applyNumberFormat="1" applyFont="1" applyFill="1" applyBorder="1" applyAlignment="1">
      <alignment horizontal="center" vertical="center"/>
    </xf>
    <xf numFmtId="164" fontId="14" fillId="3" borderId="23" xfId="0" applyNumberFormat="1" applyFont="1" applyFill="1" applyBorder="1" applyAlignment="1">
      <alignment horizontal="center" vertical="center"/>
    </xf>
    <xf numFmtId="3" fontId="14" fillId="3" borderId="23" xfId="0" applyNumberFormat="1" applyFont="1" applyFill="1" applyBorder="1" applyAlignment="1">
      <alignment horizontal="center" vertical="center"/>
    </xf>
    <xf numFmtId="0" fontId="11" fillId="0" borderId="27" xfId="0"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wrapText="1"/>
    </xf>
    <xf numFmtId="2" fontId="11" fillId="0" borderId="1" xfId="0" applyNumberFormat="1" applyFont="1" applyFill="1" applyBorder="1" applyAlignment="1">
      <alignment horizontal="center" vertical="center"/>
    </xf>
    <xf numFmtId="164" fontId="11" fillId="0" borderId="1" xfId="0" applyNumberFormat="1" applyFont="1" applyFill="1" applyBorder="1" applyAlignment="1">
      <alignment horizontal="center" vertical="center"/>
    </xf>
    <xf numFmtId="2"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28" xfId="0" applyFont="1" applyFill="1" applyBorder="1" applyAlignment="1">
      <alignment vertical="center" wrapText="1"/>
    </xf>
    <xf numFmtId="0" fontId="39" fillId="0" borderId="1" xfId="0" applyFont="1" applyFill="1" applyBorder="1" applyAlignment="1">
      <alignment horizontal="center" vertical="center" wrapText="1"/>
    </xf>
    <xf numFmtId="16" fontId="11" fillId="0" borderId="10" xfId="0" quotePrefix="1"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1" xfId="0" applyFont="1" applyFill="1" applyBorder="1" applyAlignment="1">
      <alignment vertical="center" wrapText="1"/>
    </xf>
    <xf numFmtId="4" fontId="11" fillId="0" borderId="1" xfId="0" applyNumberFormat="1" applyFont="1" applyFill="1" applyBorder="1" applyAlignment="1">
      <alignment horizontal="center" vertical="top"/>
    </xf>
    <xf numFmtId="0" fontId="11" fillId="0" borderId="38" xfId="0" applyFont="1" applyFill="1" applyBorder="1" applyAlignment="1">
      <alignment vertical="center"/>
    </xf>
    <xf numFmtId="0" fontId="11" fillId="0" borderId="38" xfId="0" applyFont="1" applyFill="1" applyBorder="1" applyAlignment="1">
      <alignment horizontal="center"/>
    </xf>
    <xf numFmtId="4" fontId="11" fillId="0" borderId="37" xfId="0" applyNumberFormat="1" applyFont="1" applyFill="1" applyBorder="1" applyAlignment="1">
      <alignment horizontal="center"/>
    </xf>
    <xf numFmtId="2" fontId="11" fillId="0" borderId="38" xfId="0" applyNumberFormat="1" applyFont="1" applyFill="1" applyBorder="1" applyAlignment="1">
      <alignment horizontal="center"/>
    </xf>
    <xf numFmtId="4" fontId="11" fillId="0" borderId="38" xfId="0" applyNumberFormat="1" applyFont="1" applyFill="1" applyBorder="1" applyAlignment="1">
      <alignment horizontal="center"/>
    </xf>
    <xf numFmtId="0" fontId="11" fillId="0" borderId="23" xfId="0" applyFont="1" applyFill="1" applyBorder="1" applyAlignment="1">
      <alignment vertical="center"/>
    </xf>
    <xf numFmtId="0" fontId="11" fillId="0" borderId="23" xfId="0" applyFont="1" applyFill="1" applyBorder="1" applyAlignment="1">
      <alignment horizontal="center"/>
    </xf>
    <xf numFmtId="2" fontId="11" fillId="0" borderId="23" xfId="0" applyNumberFormat="1" applyFont="1" applyFill="1" applyBorder="1" applyAlignment="1">
      <alignment horizontal="center"/>
    </xf>
    <xf numFmtId="4" fontId="11" fillId="0" borderId="23" xfId="0" applyNumberFormat="1" applyFont="1" applyFill="1" applyBorder="1" applyAlignment="1">
      <alignment horizontal="center"/>
    </xf>
    <xf numFmtId="0" fontId="11" fillId="0" borderId="23" xfId="0" applyFont="1" applyFill="1" applyBorder="1" applyAlignment="1">
      <alignment wrapText="1"/>
    </xf>
    <xf numFmtId="166" fontId="16" fillId="3" borderId="1" xfId="0" applyNumberFormat="1" applyFont="1" applyFill="1" applyBorder="1" applyAlignment="1">
      <alignment horizontal="center" vertical="center"/>
    </xf>
    <xf numFmtId="166" fontId="16" fillId="3" borderId="23" xfId="0" applyNumberFormat="1" applyFont="1" applyFill="1" applyBorder="1" applyAlignment="1">
      <alignment horizontal="center" vertical="center"/>
    </xf>
    <xf numFmtId="11" fontId="6" fillId="0" borderId="74" xfId="0" applyNumberFormat="1" applyFont="1" applyFill="1" applyBorder="1" applyAlignment="1">
      <alignment horizontal="center" vertical="center"/>
    </xf>
    <xf numFmtId="11" fontId="6" fillId="0" borderId="75" xfId="0" applyNumberFormat="1" applyFont="1" applyFill="1" applyBorder="1" applyAlignment="1">
      <alignment horizontal="center" vertical="center"/>
    </xf>
    <xf numFmtId="11" fontId="6" fillId="0" borderId="76" xfId="0" applyNumberFormat="1" applyFont="1" applyFill="1" applyBorder="1" applyAlignment="1">
      <alignment horizontal="center" vertical="center"/>
    </xf>
    <xf numFmtId="11" fontId="6" fillId="0" borderId="77" xfId="0" applyNumberFormat="1" applyFont="1" applyFill="1" applyBorder="1" applyAlignment="1">
      <alignment horizontal="center" vertical="center"/>
    </xf>
    <xf numFmtId="3" fontId="6" fillId="0" borderId="78" xfId="0" applyNumberFormat="1" applyFont="1" applyBorder="1" applyAlignment="1">
      <alignment horizontal="center" vertical="center"/>
    </xf>
    <xf numFmtId="3" fontId="6" fillId="0" borderId="79" xfId="0" applyNumberFormat="1" applyFont="1" applyBorder="1" applyAlignment="1">
      <alignment horizontal="center" vertical="center"/>
    </xf>
    <xf numFmtId="166" fontId="6" fillId="0" borderId="79" xfId="0" applyNumberFormat="1" applyFont="1" applyFill="1" applyBorder="1" applyAlignment="1">
      <alignment horizontal="center" vertical="center" wrapText="1"/>
    </xf>
    <xf numFmtId="166" fontId="6" fillId="0" borderId="80" xfId="0" applyNumberFormat="1" applyFont="1" applyFill="1" applyBorder="1" applyAlignment="1">
      <alignment horizontal="center" vertical="center" wrapText="1"/>
    </xf>
    <xf numFmtId="3" fontId="6" fillId="0" borderId="81" xfId="0" applyNumberFormat="1" applyFont="1" applyBorder="1" applyAlignment="1">
      <alignment horizontal="center" vertical="center"/>
    </xf>
    <xf numFmtId="3" fontId="6" fillId="0" borderId="82" xfId="0" applyNumberFormat="1" applyFont="1" applyBorder="1" applyAlignment="1">
      <alignment horizontal="center" vertical="center"/>
    </xf>
    <xf numFmtId="166" fontId="6" fillId="0" borderId="82" xfId="0" applyNumberFormat="1" applyFont="1" applyFill="1" applyBorder="1" applyAlignment="1">
      <alignment horizontal="center" vertical="center" wrapText="1"/>
    </xf>
    <xf numFmtId="166" fontId="6" fillId="0" borderId="83" xfId="0" applyNumberFormat="1" applyFont="1" applyFill="1" applyBorder="1" applyAlignment="1">
      <alignment horizontal="center" vertical="center" wrapText="1"/>
    </xf>
    <xf numFmtId="0" fontId="17" fillId="3" borderId="77" xfId="0" applyFont="1" applyFill="1" applyBorder="1" applyAlignment="1">
      <alignment horizontal="center" vertical="center" wrapText="1"/>
    </xf>
    <xf numFmtId="0" fontId="11" fillId="0" borderId="0" xfId="0" applyFont="1" applyBorder="1" applyAlignment="1">
      <alignment horizontal="center" vertical="center"/>
    </xf>
    <xf numFmtId="0" fontId="11" fillId="3" borderId="4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47" xfId="0" applyFont="1" applyFill="1" applyBorder="1" applyAlignment="1">
      <alignment horizontal="center" vertical="center"/>
    </xf>
    <xf numFmtId="0" fontId="17" fillId="3" borderId="91" xfId="0" applyFont="1" applyFill="1" applyBorder="1" applyAlignment="1">
      <alignment horizontal="center" vertical="center" wrapText="1"/>
    </xf>
    <xf numFmtId="11" fontId="6" fillId="0" borderId="91" xfId="0" applyNumberFormat="1" applyFont="1" applyFill="1" applyBorder="1" applyAlignment="1">
      <alignment horizontal="center" vertical="center"/>
    </xf>
    <xf numFmtId="0" fontId="17" fillId="3" borderId="92" xfId="0" applyFont="1" applyFill="1" applyBorder="1" applyAlignment="1">
      <alignment horizontal="center" vertical="center" wrapText="1"/>
    </xf>
    <xf numFmtId="11" fontId="6" fillId="0" borderId="92" xfId="0" applyNumberFormat="1" applyFont="1" applyFill="1" applyBorder="1" applyAlignment="1">
      <alignment horizontal="center" vertical="center"/>
    </xf>
    <xf numFmtId="11" fontId="6" fillId="0" borderId="93" xfId="0" applyNumberFormat="1" applyFont="1" applyFill="1" applyBorder="1" applyAlignment="1">
      <alignment horizontal="center" vertical="center"/>
    </xf>
    <xf numFmtId="11" fontId="6" fillId="0" borderId="94" xfId="0" applyNumberFormat="1" applyFont="1" applyFill="1" applyBorder="1" applyAlignment="1">
      <alignment horizontal="center" vertical="center"/>
    </xf>
    <xf numFmtId="0" fontId="17" fillId="3" borderId="43" xfId="0" applyFont="1" applyFill="1" applyBorder="1" applyAlignment="1">
      <alignment horizontal="center" vertical="center" wrapText="1"/>
    </xf>
    <xf numFmtId="0" fontId="38" fillId="3" borderId="0" xfId="0" applyFont="1" applyFill="1" applyAlignment="1">
      <alignment vertical="center"/>
    </xf>
    <xf numFmtId="166" fontId="6" fillId="0" borderId="0" xfId="0" applyNumberFormat="1" applyFont="1" applyFill="1" applyBorder="1" applyAlignment="1">
      <alignment horizontal="center" vertical="center" wrapText="1"/>
    </xf>
    <xf numFmtId="11" fontId="6" fillId="0" borderId="0" xfId="0" applyNumberFormat="1" applyFont="1" applyFill="1" applyBorder="1" applyAlignment="1">
      <alignment horizontal="center" vertical="center"/>
    </xf>
    <xf numFmtId="11" fontId="6" fillId="0" borderId="97" xfId="0" applyNumberFormat="1" applyFont="1" applyFill="1" applyBorder="1" applyAlignment="1">
      <alignment horizontal="center" vertical="center"/>
    </xf>
    <xf numFmtId="11" fontId="6" fillId="0" borderId="85" xfId="0" applyNumberFormat="1" applyFont="1" applyFill="1" applyBorder="1" applyAlignment="1">
      <alignment horizontal="center" vertical="center"/>
    </xf>
    <xf numFmtId="11" fontId="6" fillId="0" borderId="98" xfId="0" applyNumberFormat="1" applyFont="1" applyFill="1" applyBorder="1" applyAlignment="1">
      <alignment horizontal="center" vertical="center"/>
    </xf>
    <xf numFmtId="0" fontId="11" fillId="0" borderId="85"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6" fillId="0" borderId="96" xfId="0" applyFont="1" applyFill="1" applyBorder="1" applyAlignment="1">
      <alignment horizontal="center" vertical="center"/>
    </xf>
    <xf numFmtId="0" fontId="6" fillId="0" borderId="89" xfId="0" applyFont="1" applyFill="1" applyBorder="1" applyAlignment="1">
      <alignment horizontal="center" vertical="center"/>
    </xf>
    <xf numFmtId="0" fontId="17" fillId="0" borderId="89" xfId="0" applyFont="1" applyFill="1" applyBorder="1" applyAlignment="1">
      <alignment horizontal="center" vertical="center" wrapText="1"/>
    </xf>
    <xf numFmtId="0" fontId="40" fillId="0" borderId="95" xfId="0" applyFont="1" applyFill="1" applyBorder="1" applyAlignment="1">
      <alignment horizontal="left" vertical="center"/>
    </xf>
    <xf numFmtId="168" fontId="16" fillId="9" borderId="0" xfId="0" applyNumberFormat="1" applyFont="1" applyFill="1" applyBorder="1" applyAlignment="1">
      <alignment horizontal="center" vertical="center"/>
    </xf>
    <xf numFmtId="167" fontId="16" fillId="0" borderId="46" xfId="0" applyNumberFormat="1" applyFont="1" applyFill="1" applyBorder="1" applyAlignment="1">
      <alignment horizontal="center" vertical="center"/>
    </xf>
    <xf numFmtId="167" fontId="16" fillId="0" borderId="48" xfId="0" applyNumberFormat="1" applyFont="1" applyFill="1" applyBorder="1" applyAlignment="1">
      <alignment horizontal="center" vertical="center"/>
    </xf>
    <xf numFmtId="0" fontId="16" fillId="0" borderId="1" xfId="0" applyFont="1" applyFill="1" applyBorder="1" applyAlignment="1">
      <alignment vertical="center"/>
    </xf>
    <xf numFmtId="0" fontId="16" fillId="0" borderId="1" xfId="0" applyFont="1" applyBorder="1" applyAlignment="1">
      <alignment vertical="center"/>
    </xf>
    <xf numFmtId="2" fontId="16" fillId="0" borderId="46" xfId="0" applyNumberFormat="1" applyFont="1" applyBorder="1" applyAlignment="1">
      <alignment horizontal="center" vertical="center"/>
    </xf>
    <xf numFmtId="0" fontId="20" fillId="13" borderId="24" xfId="0" applyFont="1" applyFill="1" applyBorder="1" applyAlignment="1">
      <alignment vertical="center" wrapText="1"/>
    </xf>
    <xf numFmtId="0" fontId="20" fillId="13" borderId="19" xfId="0" applyFont="1" applyFill="1" applyBorder="1" applyAlignment="1">
      <alignment vertical="center" wrapText="1"/>
    </xf>
    <xf numFmtId="0" fontId="20" fillId="13" borderId="19" xfId="0" applyFont="1" applyFill="1" applyBorder="1" applyAlignment="1">
      <alignment vertical="center"/>
    </xf>
    <xf numFmtId="0" fontId="20" fillId="13" borderId="26" xfId="0" applyFont="1" applyFill="1" applyBorder="1" applyAlignment="1">
      <alignment vertical="center"/>
    </xf>
    <xf numFmtId="0" fontId="16" fillId="0" borderId="27" xfId="0" applyFont="1" applyFill="1" applyBorder="1" applyAlignment="1">
      <alignment vertical="center"/>
    </xf>
    <xf numFmtId="0" fontId="16" fillId="0" borderId="29" xfId="0" applyFont="1" applyFill="1" applyBorder="1" applyAlignment="1">
      <alignment vertical="center"/>
    </xf>
    <xf numFmtId="0" fontId="16" fillId="0" borderId="29" xfId="0" applyFont="1" applyBorder="1" applyAlignment="1">
      <alignment vertical="center"/>
    </xf>
    <xf numFmtId="0" fontId="16" fillId="0" borderId="23" xfId="0" applyFont="1" applyBorder="1" applyAlignment="1">
      <alignment vertical="center"/>
    </xf>
    <xf numFmtId="0" fontId="16" fillId="0" borderId="31" xfId="0" applyFont="1" applyBorder="1" applyAlignment="1">
      <alignment vertical="center"/>
    </xf>
    <xf numFmtId="0" fontId="20" fillId="13" borderId="25" xfId="0" applyFont="1" applyFill="1" applyBorder="1" applyAlignment="1">
      <alignment horizontal="center" vertical="center" wrapText="1"/>
    </xf>
    <xf numFmtId="0" fontId="20" fillId="13" borderId="45" xfId="0" applyFont="1" applyFill="1" applyBorder="1" applyAlignment="1">
      <alignment horizontal="center" vertical="center" wrapText="1"/>
    </xf>
    <xf numFmtId="0" fontId="33" fillId="13" borderId="34" xfId="0" applyFont="1" applyFill="1" applyBorder="1" applyAlignment="1">
      <alignment horizontal="center" vertical="center" wrapText="1"/>
    </xf>
    <xf numFmtId="0" fontId="20" fillId="13" borderId="99" xfId="0" applyFont="1" applyFill="1" applyBorder="1" applyAlignment="1">
      <alignment horizontal="center" vertical="center" wrapText="1"/>
    </xf>
    <xf numFmtId="165" fontId="16" fillId="3" borderId="36" xfId="0" applyNumberFormat="1" applyFont="1" applyFill="1" applyBorder="1" applyAlignment="1">
      <alignment horizontal="center" vertical="center"/>
    </xf>
    <xf numFmtId="11" fontId="11" fillId="0" borderId="1" xfId="0" applyNumberFormat="1" applyFont="1" applyFill="1" applyBorder="1" applyAlignment="1">
      <alignment horizontal="center" vertical="center"/>
    </xf>
    <xf numFmtId="4" fontId="17" fillId="0" borderId="23" xfId="0" applyNumberFormat="1" applyFont="1" applyFill="1" applyBorder="1" applyAlignment="1">
      <alignment horizontal="center" vertical="center" wrapText="1"/>
    </xf>
    <xf numFmtId="11" fontId="16" fillId="0" borderId="0" xfId="0" applyNumberFormat="1" applyFont="1" applyFill="1" applyBorder="1" applyAlignment="1">
      <alignment horizontal="center" vertical="center"/>
    </xf>
    <xf numFmtId="0" fontId="33" fillId="13" borderId="1" xfId="0" applyFont="1" applyFill="1" applyBorder="1" applyAlignment="1">
      <alignment horizontal="center" vertical="center" wrapText="1"/>
    </xf>
    <xf numFmtId="168" fontId="16" fillId="0" borderId="1" xfId="0" applyNumberFormat="1" applyFont="1" applyBorder="1" applyAlignment="1">
      <alignment horizontal="center" vertical="center"/>
    </xf>
    <xf numFmtId="3" fontId="20" fillId="0" borderId="1" xfId="0" applyNumberFormat="1" applyFont="1" applyBorder="1" applyAlignment="1">
      <alignment horizontal="center" vertical="center" wrapText="1"/>
    </xf>
    <xf numFmtId="11" fontId="20" fillId="0" borderId="1" xfId="0" applyNumberFormat="1" applyFont="1" applyBorder="1" applyAlignment="1">
      <alignment horizontal="center" vertical="center" wrapText="1"/>
    </xf>
    <xf numFmtId="0" fontId="16" fillId="0" borderId="0" xfId="0" applyFont="1" applyAlignment="1">
      <alignment horizontal="center" vertical="center" wrapText="1"/>
    </xf>
    <xf numFmtId="3" fontId="16" fillId="0" borderId="1" xfId="0" applyNumberFormat="1" applyFont="1" applyBorder="1" applyAlignment="1">
      <alignment horizontal="center" vertical="center" wrapText="1"/>
    </xf>
    <xf numFmtId="11" fontId="16" fillId="0" borderId="1" xfId="0" applyNumberFormat="1" applyFont="1" applyBorder="1" applyAlignment="1">
      <alignment horizontal="center" vertical="center" wrapText="1"/>
    </xf>
    <xf numFmtId="0" fontId="16" fillId="0" borderId="0" xfId="0" applyFont="1"/>
    <xf numFmtId="3" fontId="16" fillId="15" borderId="1" xfId="0" applyNumberFormat="1" applyFont="1" applyFill="1" applyBorder="1" applyAlignment="1">
      <alignment horizontal="center" vertical="center"/>
    </xf>
    <xf numFmtId="0" fontId="16" fillId="0" borderId="0" xfId="0" applyFont="1" applyAlignment="1">
      <alignment horizontal="center" vertical="center"/>
    </xf>
    <xf numFmtId="3" fontId="16" fillId="7" borderId="1" xfId="0" applyNumberFormat="1" applyFont="1" applyFill="1" applyBorder="1" applyAlignment="1">
      <alignment horizontal="center" vertical="center" wrapText="1"/>
    </xf>
    <xf numFmtId="3" fontId="16" fillId="7" borderId="1" xfId="0" applyNumberFormat="1" applyFont="1" applyFill="1" applyBorder="1" applyAlignment="1">
      <alignment horizontal="center" vertical="center"/>
    </xf>
    <xf numFmtId="0" fontId="16" fillId="0" borderId="1" xfId="0" applyFont="1" applyBorder="1" applyAlignment="1">
      <alignment horizontal="left" vertical="center"/>
    </xf>
    <xf numFmtId="0" fontId="16" fillId="0" borderId="0" xfId="0" applyFont="1" applyAlignment="1">
      <alignment vertical="center" wrapText="1"/>
    </xf>
    <xf numFmtId="3" fontId="16" fillId="0" borderId="0" xfId="0" applyNumberFormat="1" applyFont="1" applyAlignment="1">
      <alignment horizontal="center" vertical="center" wrapText="1"/>
    </xf>
    <xf numFmtId="11" fontId="16" fillId="0" borderId="0" xfId="0" applyNumberFormat="1" applyFont="1" applyAlignment="1">
      <alignment horizontal="center" vertical="center" wrapText="1"/>
    </xf>
    <xf numFmtId="3" fontId="16" fillId="0" borderId="0" xfId="0" applyNumberFormat="1" applyFont="1" applyAlignment="1">
      <alignment horizontal="center" vertical="center"/>
    </xf>
    <xf numFmtId="0" fontId="16" fillId="0" borderId="0" xfId="0" applyFont="1" applyAlignment="1">
      <alignment horizontal="center"/>
    </xf>
    <xf numFmtId="0" fontId="16" fillId="0" borderId="39" xfId="0" applyFont="1" applyBorder="1" applyAlignment="1">
      <alignment vertical="center"/>
    </xf>
    <xf numFmtId="0" fontId="16" fillId="0" borderId="37" xfId="0" applyFont="1" applyBorder="1" applyAlignment="1">
      <alignment vertical="center"/>
    </xf>
    <xf numFmtId="0" fontId="16" fillId="0" borderId="38" xfId="0" applyFont="1" applyBorder="1" applyAlignment="1">
      <alignment vertical="center"/>
    </xf>
    <xf numFmtId="0" fontId="16" fillId="14" borderId="1" xfId="0" applyFont="1" applyFill="1" applyBorder="1" applyAlignment="1">
      <alignment horizontal="center" vertical="center"/>
    </xf>
    <xf numFmtId="0" fontId="16" fillId="14" borderId="0" xfId="0" applyFont="1" applyFill="1" applyBorder="1" applyAlignment="1">
      <alignment horizontal="center" vertical="center"/>
    </xf>
    <xf numFmtId="0" fontId="16" fillId="0" borderId="10" xfId="0" applyFont="1" applyBorder="1" applyAlignment="1">
      <alignment vertical="center"/>
    </xf>
    <xf numFmtId="0" fontId="16" fillId="0" borderId="10" xfId="0" applyFont="1" applyBorder="1" applyAlignment="1">
      <alignment vertical="center" wrapText="1"/>
    </xf>
    <xf numFmtId="0" fontId="16" fillId="14" borderId="1" xfId="0" applyFont="1" applyFill="1" applyBorder="1" applyAlignment="1">
      <alignment vertical="center" wrapText="1"/>
    </xf>
    <xf numFmtId="166" fontId="16" fillId="0" borderId="1" xfId="0" applyNumberFormat="1" applyFont="1" applyBorder="1" applyAlignment="1">
      <alignment horizontal="center" vertical="center" wrapText="1"/>
    </xf>
    <xf numFmtId="166" fontId="16" fillId="7" borderId="1" xfId="0" applyNumberFormat="1" applyFont="1" applyFill="1" applyBorder="1" applyAlignment="1">
      <alignment horizontal="center" vertical="center" wrapText="1"/>
    </xf>
    <xf numFmtId="166" fontId="16" fillId="0" borderId="1" xfId="0" applyNumberFormat="1" applyFont="1" applyBorder="1" applyAlignment="1">
      <alignment horizontal="center" vertical="center"/>
    </xf>
    <xf numFmtId="166" fontId="16" fillId="3" borderId="0" xfId="0" applyNumberFormat="1" applyFont="1" applyFill="1" applyBorder="1" applyAlignment="1">
      <alignment horizontal="center" vertical="center"/>
    </xf>
    <xf numFmtId="166" fontId="16" fillId="0" borderId="1" xfId="0" applyNumberFormat="1" applyFont="1" applyFill="1" applyBorder="1" applyAlignment="1">
      <alignment horizontal="center" vertical="center"/>
    </xf>
    <xf numFmtId="166" fontId="20" fillId="3" borderId="1" xfId="0" applyNumberFormat="1" applyFont="1" applyFill="1" applyBorder="1" applyAlignment="1">
      <alignment horizontal="center" vertical="center"/>
    </xf>
    <xf numFmtId="166" fontId="17" fillId="0" borderId="23" xfId="0" applyNumberFormat="1" applyFont="1" applyFill="1" applyBorder="1" applyAlignment="1">
      <alignment horizontal="center" vertical="center"/>
    </xf>
    <xf numFmtId="4" fontId="17" fillId="3" borderId="23" xfId="0" applyNumberFormat="1" applyFont="1" applyFill="1" applyBorder="1" applyAlignment="1">
      <alignment horizontal="center" vertical="center"/>
    </xf>
    <xf numFmtId="4" fontId="14" fillId="3" borderId="1" xfId="0" applyNumberFormat="1" applyFont="1" applyFill="1" applyBorder="1" applyAlignment="1">
      <alignment horizontal="center" vertical="center" wrapText="1"/>
    </xf>
    <xf numFmtId="4" fontId="14" fillId="3" borderId="23" xfId="0" applyNumberFormat="1" applyFont="1" applyFill="1" applyBorder="1" applyAlignment="1">
      <alignment horizontal="center" vertical="center"/>
    </xf>
    <xf numFmtId="2" fontId="17" fillId="3" borderId="1" xfId="0" applyNumberFormat="1" applyFont="1" applyFill="1" applyBorder="1" applyAlignment="1">
      <alignment horizontal="center" vertical="center" wrapText="1"/>
    </xf>
    <xf numFmtId="2" fontId="17" fillId="3" borderId="23" xfId="0" applyNumberFormat="1" applyFont="1" applyFill="1" applyBorder="1" applyAlignment="1">
      <alignment horizontal="center" vertical="center"/>
    </xf>
    <xf numFmtId="2" fontId="17" fillId="3" borderId="23" xfId="0" applyNumberFormat="1" applyFont="1" applyFill="1" applyBorder="1" applyAlignment="1">
      <alignment horizontal="center" vertical="center" wrapText="1"/>
    </xf>
    <xf numFmtId="4" fontId="17" fillId="3" borderId="1" xfId="0" applyNumberFormat="1" applyFont="1" applyFill="1" applyBorder="1" applyAlignment="1">
      <alignment horizontal="center" vertical="center"/>
    </xf>
    <xf numFmtId="4" fontId="17" fillId="0" borderId="23" xfId="0" applyNumberFormat="1" applyFont="1" applyFill="1" applyBorder="1" applyAlignment="1">
      <alignment horizontal="center" vertical="center"/>
    </xf>
    <xf numFmtId="4" fontId="14" fillId="3" borderId="1" xfId="0" applyNumberFormat="1" applyFont="1" applyFill="1" applyBorder="1" applyAlignment="1">
      <alignment horizontal="center" vertical="center"/>
    </xf>
    <xf numFmtId="0" fontId="16" fillId="14" borderId="39" xfId="0" applyFont="1" applyFill="1" applyBorder="1" applyAlignment="1">
      <alignment vertical="center" wrapText="1"/>
    </xf>
    <xf numFmtId="0" fontId="16" fillId="14" borderId="37" xfId="0" applyFont="1" applyFill="1" applyBorder="1" applyAlignment="1">
      <alignment vertical="center" wrapText="1"/>
    </xf>
    <xf numFmtId="0" fontId="16" fillId="0" borderId="39" xfId="0" applyFont="1" applyFill="1" applyBorder="1" applyAlignment="1">
      <alignment vertical="center" wrapText="1"/>
    </xf>
    <xf numFmtId="0" fontId="16" fillId="0" borderId="38" xfId="0" applyFont="1" applyFill="1" applyBorder="1" applyAlignment="1">
      <alignment vertical="center" wrapText="1"/>
    </xf>
    <xf numFmtId="4" fontId="16" fillId="0" borderId="1" xfId="0" applyNumberFormat="1" applyFont="1" applyBorder="1" applyAlignment="1">
      <alignment horizontal="center" vertical="center" wrapText="1"/>
    </xf>
    <xf numFmtId="0" fontId="42" fillId="3" borderId="0" xfId="0" applyFont="1" applyFill="1" applyAlignment="1">
      <alignment wrapText="1"/>
    </xf>
    <xf numFmtId="0" fontId="43" fillId="3" borderId="0" xfId="0" applyFont="1" applyFill="1"/>
    <xf numFmtId="0" fontId="44" fillId="3" borderId="0" xfId="0" applyFont="1" applyFill="1" applyAlignment="1">
      <alignment wrapText="1"/>
    </xf>
    <xf numFmtId="0" fontId="45" fillId="3" borderId="0" xfId="0" applyFont="1" applyFill="1" applyAlignment="1">
      <alignment wrapText="1"/>
    </xf>
    <xf numFmtId="0" fontId="44" fillId="3" borderId="0" xfId="0" applyFont="1" applyFill="1"/>
    <xf numFmtId="171" fontId="45" fillId="3" borderId="0" xfId="0" quotePrefix="1" applyNumberFormat="1" applyFont="1" applyFill="1" applyAlignment="1">
      <alignment horizontal="left" wrapText="1"/>
    </xf>
    <xf numFmtId="0" fontId="45" fillId="0" borderId="0" xfId="0" applyFont="1"/>
    <xf numFmtId="0" fontId="44" fillId="0" borderId="0" xfId="0" applyFont="1"/>
    <xf numFmtId="0" fontId="45" fillId="7" borderId="0" xfId="0" applyFont="1" applyFill="1"/>
    <xf numFmtId="0" fontId="47" fillId="0" borderId="0" xfId="3" applyFont="1"/>
    <xf numFmtId="0" fontId="47" fillId="0" borderId="0" xfId="3" quotePrefix="1" applyFont="1"/>
    <xf numFmtId="0" fontId="20" fillId="0" borderId="0" xfId="0" applyFont="1" applyFill="1" applyAlignment="1">
      <alignment vertical="center"/>
    </xf>
    <xf numFmtId="0" fontId="16" fillId="0" borderId="0" xfId="0" applyFont="1" applyFill="1"/>
    <xf numFmtId="0" fontId="11" fillId="0" borderId="1" xfId="0" applyFont="1" applyFill="1" applyBorder="1" applyAlignment="1">
      <alignment horizontal="left" vertical="center" wrapText="1"/>
    </xf>
    <xf numFmtId="167" fontId="16" fillId="0" borderId="48" xfId="0" applyNumberFormat="1" applyFont="1" applyBorder="1" applyAlignment="1">
      <alignment horizontal="center" vertical="center"/>
    </xf>
    <xf numFmtId="0" fontId="48" fillId="0" borderId="10" xfId="0" applyFont="1" applyBorder="1" applyAlignment="1">
      <alignment horizontal="center" vertical="center"/>
    </xf>
    <xf numFmtId="0" fontId="48" fillId="0" borderId="10" xfId="0" applyFont="1" applyBorder="1" applyAlignment="1">
      <alignment horizontal="center" vertical="center" wrapText="1"/>
    </xf>
    <xf numFmtId="0" fontId="47" fillId="0" borderId="0" xfId="3" quotePrefix="1" applyFont="1" applyFill="1"/>
    <xf numFmtId="3" fontId="16" fillId="8" borderId="0" xfId="0" applyNumberFormat="1" applyFont="1" applyFill="1" applyAlignment="1" applyProtection="1">
      <alignment horizontal="center" vertical="center"/>
      <protection locked="0"/>
    </xf>
    <xf numFmtId="3" fontId="16" fillId="3" borderId="0" xfId="0" applyNumberFormat="1" applyFont="1" applyFill="1" applyAlignment="1" applyProtection="1">
      <alignment vertical="center"/>
      <protection locked="0"/>
    </xf>
    <xf numFmtId="3" fontId="16" fillId="3" borderId="0" xfId="0" applyNumberFormat="1" applyFont="1" applyFill="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2" borderId="12" xfId="0" applyFont="1" applyFill="1" applyBorder="1" applyAlignment="1" applyProtection="1">
      <alignment vertical="center" wrapText="1"/>
      <protection locked="0"/>
    </xf>
    <xf numFmtId="0" fontId="16" fillId="2" borderId="13" xfId="0" applyFont="1" applyFill="1" applyBorder="1" applyAlignment="1" applyProtection="1">
      <alignment horizontal="center" vertical="center" wrapText="1"/>
      <protection locked="0"/>
    </xf>
    <xf numFmtId="0" fontId="11" fillId="16" borderId="27" xfId="0" applyFont="1" applyFill="1" applyBorder="1" applyAlignment="1">
      <alignment horizontal="center" vertical="center"/>
    </xf>
    <xf numFmtId="0" fontId="11" fillId="16" borderId="1" xfId="0" applyFont="1" applyFill="1" applyBorder="1" applyAlignment="1">
      <alignment vertical="center"/>
    </xf>
    <xf numFmtId="0" fontId="11" fillId="16" borderId="1" xfId="0" applyFont="1" applyFill="1" applyBorder="1" applyAlignment="1">
      <alignment horizontal="center" vertical="center" wrapText="1"/>
    </xf>
    <xf numFmtId="2" fontId="11" fillId="16" borderId="1" xfId="0" applyNumberFormat="1" applyFont="1" applyFill="1" applyBorder="1" applyAlignment="1">
      <alignment horizontal="center" vertical="center"/>
    </xf>
    <xf numFmtId="164" fontId="11" fillId="16" borderId="1" xfId="0" applyNumberFormat="1" applyFont="1" applyFill="1" applyBorder="1" applyAlignment="1">
      <alignment horizontal="center" vertical="center"/>
    </xf>
    <xf numFmtId="0" fontId="11" fillId="16" borderId="1" xfId="0" applyFont="1" applyFill="1" applyBorder="1" applyAlignment="1">
      <alignment horizontal="center" vertical="center"/>
    </xf>
    <xf numFmtId="0" fontId="11" fillId="16" borderId="28" xfId="0" applyFont="1" applyFill="1" applyBorder="1" applyAlignment="1">
      <alignment vertical="center" wrapText="1"/>
    </xf>
    <xf numFmtId="0" fontId="6" fillId="16" borderId="29" xfId="0" applyFont="1" applyFill="1" applyBorder="1" applyAlignment="1">
      <alignment horizontal="center"/>
    </xf>
    <xf numFmtId="0" fontId="11" fillId="16" borderId="1" xfId="0" applyFont="1" applyFill="1" applyBorder="1" applyAlignment="1">
      <alignment horizontal="center"/>
    </xf>
    <xf numFmtId="2" fontId="2" fillId="16" borderId="37" xfId="0" applyNumberFormat="1" applyFont="1" applyFill="1" applyBorder="1" applyAlignment="1">
      <alignment horizontal="center"/>
    </xf>
    <xf numFmtId="4" fontId="2" fillId="16" borderId="37" xfId="0" applyNumberFormat="1" applyFont="1" applyFill="1" applyBorder="1" applyAlignment="1">
      <alignment horizontal="center"/>
    </xf>
    <xf numFmtId="0" fontId="11" fillId="16" borderId="1" xfId="0" applyFont="1" applyFill="1" applyBorder="1" applyAlignment="1">
      <alignment vertical="center" wrapText="1"/>
    </xf>
    <xf numFmtId="0" fontId="11" fillId="16" borderId="39" xfId="0" applyFont="1" applyFill="1" applyBorder="1" applyAlignment="1">
      <alignment horizontal="center" vertical="center"/>
    </xf>
    <xf numFmtId="4" fontId="11" fillId="16" borderId="1" xfId="0" applyNumberFormat="1" applyFont="1" applyFill="1" applyBorder="1" applyAlignment="1">
      <alignment horizontal="center" vertical="top"/>
    </xf>
    <xf numFmtId="0" fontId="11" fillId="16" borderId="65" xfId="0" applyFont="1" applyFill="1" applyBorder="1" applyAlignment="1">
      <alignment horizontal="center"/>
    </xf>
    <xf numFmtId="4" fontId="11" fillId="16" borderId="1" xfId="0" applyNumberFormat="1" applyFont="1" applyFill="1" applyBorder="1" applyAlignment="1">
      <alignment horizontal="center"/>
    </xf>
    <xf numFmtId="2" fontId="11" fillId="0" borderId="38" xfId="0" applyNumberFormat="1" applyFont="1" applyFill="1" applyBorder="1" applyAlignment="1">
      <alignment horizontal="center" vertical="center" wrapText="1"/>
    </xf>
    <xf numFmtId="0" fontId="11" fillId="0" borderId="30" xfId="0" applyFont="1" applyFill="1" applyBorder="1" applyAlignment="1">
      <alignment horizontal="center" vertical="center"/>
    </xf>
    <xf numFmtId="164" fontId="16" fillId="3" borderId="38" xfId="0" applyNumberFormat="1" applyFont="1" applyFill="1" applyBorder="1" applyAlignment="1">
      <alignment horizontal="center" vertical="center"/>
    </xf>
    <xf numFmtId="2" fontId="16" fillId="0" borderId="0" xfId="0" applyNumberFormat="1" applyFont="1" applyAlignment="1">
      <alignment horizontal="center" vertical="center"/>
    </xf>
    <xf numFmtId="0" fontId="23" fillId="3" borderId="0" xfId="0" applyFont="1" applyFill="1" applyBorder="1" applyAlignment="1">
      <alignment horizontal="left" vertical="center"/>
    </xf>
    <xf numFmtId="0" fontId="14" fillId="13" borderId="19"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23" xfId="0" applyFont="1" applyFill="1" applyBorder="1" applyAlignment="1">
      <alignment horizontal="center" vertical="center"/>
    </xf>
    <xf numFmtId="0" fontId="20" fillId="13" borderId="19"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44" xfId="0" applyFont="1" applyBorder="1" applyAlignment="1">
      <alignment horizontal="center" vertical="center"/>
    </xf>
    <xf numFmtId="3" fontId="16" fillId="0" borderId="1" xfId="0" applyNumberFormat="1" applyFont="1" applyBorder="1" applyAlignment="1">
      <alignment horizontal="center" vertical="center"/>
    </xf>
    <xf numFmtId="3" fontId="16" fillId="0"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39" xfId="0" applyFont="1" applyBorder="1" applyAlignment="1">
      <alignment horizontal="center" vertical="center"/>
    </xf>
    <xf numFmtId="0" fontId="16" fillId="0" borderId="39" xfId="0" applyFont="1" applyBorder="1" applyAlignment="1">
      <alignment vertical="center" wrapText="1"/>
    </xf>
    <xf numFmtId="0" fontId="16" fillId="0" borderId="37"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38" xfId="0" applyFont="1" applyBorder="1" applyAlignment="1">
      <alignment vertical="center" wrapText="1"/>
    </xf>
    <xf numFmtId="0" fontId="16" fillId="0" borderId="1" xfId="0" applyFont="1" applyFill="1" applyBorder="1" applyAlignment="1">
      <alignment vertical="center" wrapText="1"/>
    </xf>
    <xf numFmtId="0" fontId="0" fillId="0" borderId="0" xfId="0" applyFill="1" applyBorder="1" applyAlignment="1">
      <alignment horizontal="center"/>
    </xf>
    <xf numFmtId="0" fontId="0" fillId="0" borderId="8" xfId="0" quotePrefix="1" applyFill="1" applyBorder="1" applyAlignment="1">
      <alignment horizontal="center" vertical="center"/>
    </xf>
    <xf numFmtId="0" fontId="11" fillId="3" borderId="0" xfId="0" applyFont="1" applyFill="1"/>
    <xf numFmtId="0" fontId="11" fillId="0" borderId="0" xfId="0" applyFont="1" applyAlignment="1">
      <alignment horizontal="center"/>
    </xf>
    <xf numFmtId="0" fontId="11" fillId="0" borderId="0" xfId="0" applyFont="1" applyAlignment="1">
      <alignment wrapText="1"/>
    </xf>
    <xf numFmtId="0" fontId="11" fillId="2" borderId="1" xfId="0" applyFont="1" applyFill="1" applyBorder="1" applyAlignment="1">
      <alignment horizontal="center" vertical="center" wrapText="1"/>
    </xf>
    <xf numFmtId="2" fontId="11" fillId="16" borderId="1" xfId="0" applyNumberFormat="1" applyFont="1" applyFill="1" applyBorder="1" applyAlignment="1">
      <alignment horizontal="center" vertical="center" wrapText="1"/>
    </xf>
    <xf numFmtId="2" fontId="11" fillId="0" borderId="23" xfId="0" applyNumberFormat="1" applyFont="1" applyFill="1" applyBorder="1" applyAlignment="1">
      <alignment horizontal="center" vertical="center" wrapText="1"/>
    </xf>
    <xf numFmtId="0" fontId="11" fillId="0" borderId="0" xfId="0" applyFont="1"/>
    <xf numFmtId="168" fontId="17" fillId="0" borderId="0" xfId="0" applyNumberFormat="1" applyFont="1" applyBorder="1" applyAlignment="1">
      <alignment horizontal="center" vertical="center"/>
    </xf>
    <xf numFmtId="168" fontId="17" fillId="0" borderId="0" xfId="0" applyNumberFormat="1" applyFont="1" applyFill="1" applyBorder="1" applyAlignment="1">
      <alignment horizontal="center" vertical="center"/>
    </xf>
    <xf numFmtId="3" fontId="17" fillId="0" borderId="0" xfId="0" applyNumberFormat="1" applyFont="1" applyFill="1" applyBorder="1" applyAlignment="1">
      <alignment horizontal="center" vertical="center"/>
    </xf>
    <xf numFmtId="3" fontId="17" fillId="9" borderId="0" xfId="0" applyNumberFormat="1" applyFont="1" applyFill="1" applyBorder="1" applyAlignment="1">
      <alignment horizontal="center" vertical="center"/>
    </xf>
    <xf numFmtId="3" fontId="17" fillId="0" borderId="0" xfId="0" applyNumberFormat="1" applyFont="1" applyBorder="1" applyAlignment="1">
      <alignment horizontal="center" vertical="center"/>
    </xf>
    <xf numFmtId="168" fontId="17" fillId="0" borderId="44" xfId="0" applyNumberFormat="1" applyFont="1" applyBorder="1" applyAlignment="1">
      <alignment horizontal="center" vertical="center"/>
    </xf>
    <xf numFmtId="3" fontId="17" fillId="9" borderId="44" xfId="0" applyNumberFormat="1" applyFont="1" applyFill="1" applyBorder="1" applyAlignment="1">
      <alignment horizontal="center" vertical="center"/>
    </xf>
    <xf numFmtId="11" fontId="17" fillId="0" borderId="0" xfId="0" applyNumberFormat="1" applyFont="1" applyFill="1" applyBorder="1" applyAlignment="1">
      <alignment horizontal="center" vertical="center"/>
    </xf>
    <xf numFmtId="1" fontId="16" fillId="3" borderId="38" xfId="0" applyNumberFormat="1" applyFont="1" applyFill="1" applyBorder="1" applyAlignment="1">
      <alignment horizontal="center" vertical="center"/>
    </xf>
    <xf numFmtId="1" fontId="16" fillId="3" borderId="1" xfId="0" applyNumberFormat="1" applyFont="1" applyFill="1" applyBorder="1" applyAlignment="1">
      <alignment horizontal="center" vertical="center"/>
    </xf>
    <xf numFmtId="0" fontId="16" fillId="3" borderId="0" xfId="0" applyFont="1" applyFill="1" applyAlignment="1" applyProtection="1">
      <alignment vertical="center"/>
    </xf>
    <xf numFmtId="0" fontId="23" fillId="3" borderId="0" xfId="0" applyFont="1" applyFill="1" applyBorder="1" applyAlignment="1">
      <alignment horizontal="left" vertical="center"/>
    </xf>
    <xf numFmtId="0" fontId="14" fillId="7" borderId="24" xfId="0" applyFont="1" applyFill="1" applyBorder="1" applyAlignment="1">
      <alignment horizontal="center" vertical="center"/>
    </xf>
    <xf numFmtId="0" fontId="14" fillId="7" borderId="27" xfId="0" applyFont="1" applyFill="1" applyBorder="1" applyAlignment="1">
      <alignment horizontal="center" vertical="center"/>
    </xf>
    <xf numFmtId="0" fontId="14" fillId="13" borderId="19"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3" borderId="24" xfId="0" applyFont="1" applyFill="1" applyBorder="1" applyAlignment="1">
      <alignment horizontal="center" vertical="center" wrapText="1"/>
    </xf>
    <xf numFmtId="0" fontId="14" fillId="13" borderId="27"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13" borderId="2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13" borderId="26" xfId="0" applyFont="1" applyFill="1" applyBorder="1" applyAlignment="1">
      <alignment horizontal="center" vertical="center" wrapText="1"/>
    </xf>
    <xf numFmtId="0" fontId="14" fillId="13" borderId="29"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13" borderId="30"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20" fillId="2" borderId="27" xfId="0" applyFont="1" applyFill="1" applyBorder="1" applyAlignment="1">
      <alignment horizontal="center" vertical="center"/>
    </xf>
    <xf numFmtId="0" fontId="20" fillId="2" borderId="30" xfId="0" applyFont="1" applyFill="1" applyBorder="1" applyAlignment="1">
      <alignment horizontal="center" vertical="center"/>
    </xf>
    <xf numFmtId="0" fontId="20" fillId="0" borderId="41" xfId="0" quotePrefix="1" applyFont="1" applyFill="1" applyBorder="1" applyAlignment="1">
      <alignment horizontal="center" vertical="center" wrapText="1"/>
    </xf>
    <xf numFmtId="0" fontId="20" fillId="0" borderId="33"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23" xfId="0" applyFont="1" applyFill="1" applyBorder="1" applyAlignment="1">
      <alignment horizontal="center" vertical="center"/>
    </xf>
    <xf numFmtId="0" fontId="17" fillId="13" borderId="30" xfId="0" applyFont="1" applyFill="1" applyBorder="1" applyAlignment="1">
      <alignment horizontal="center" vertical="center" wrapText="1"/>
    </xf>
    <xf numFmtId="0" fontId="16" fillId="3" borderId="39" xfId="0" applyFont="1" applyFill="1" applyBorder="1" applyAlignment="1">
      <alignment horizontal="center" vertical="center"/>
    </xf>
    <xf numFmtId="0" fontId="16" fillId="3" borderId="43" xfId="0" applyFont="1" applyFill="1" applyBorder="1" applyAlignment="1">
      <alignment horizontal="center" vertical="center"/>
    </xf>
    <xf numFmtId="16" fontId="20" fillId="0" borderId="29" xfId="0" applyNumberFormat="1" applyFont="1" applyFill="1" applyBorder="1" applyAlignment="1">
      <alignment horizontal="center" vertical="center" wrapText="1"/>
    </xf>
    <xf numFmtId="0" fontId="20" fillId="0" borderId="31"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4" fillId="13" borderId="25" xfId="0" applyFont="1" applyFill="1" applyBorder="1" applyAlignment="1">
      <alignment horizontal="center" vertical="center" wrapText="1"/>
    </xf>
    <xf numFmtId="0" fontId="14" fillId="13" borderId="34" xfId="0" applyFont="1" applyFill="1" applyBorder="1" applyAlignment="1">
      <alignment horizontal="center" vertical="center" wrapText="1"/>
    </xf>
    <xf numFmtId="0" fontId="14" fillId="13" borderId="25" xfId="0" applyFont="1" applyFill="1" applyBorder="1" applyAlignment="1">
      <alignment horizontal="center" vertical="center"/>
    </xf>
    <xf numFmtId="0" fontId="14" fillId="13" borderId="34"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2" xfId="0" applyFont="1" applyFill="1" applyBorder="1" applyAlignment="1">
      <alignment horizontal="center" vertical="center"/>
    </xf>
    <xf numFmtId="0" fontId="20" fillId="0" borderId="41"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17" fillId="3" borderId="38" xfId="0" applyFont="1" applyFill="1" applyBorder="1" applyAlignment="1">
      <alignment horizontal="center" vertical="center"/>
    </xf>
    <xf numFmtId="0" fontId="17" fillId="3" borderId="37" xfId="0" applyFont="1" applyFill="1" applyBorder="1" applyAlignment="1">
      <alignment horizontal="center" vertical="center"/>
    </xf>
    <xf numFmtId="0" fontId="17" fillId="3" borderId="23" xfId="0" applyFont="1" applyFill="1" applyBorder="1" applyAlignment="1">
      <alignment horizontal="center" vertical="center"/>
    </xf>
    <xf numFmtId="164" fontId="17" fillId="0" borderId="1" xfId="0" applyNumberFormat="1" applyFont="1" applyFill="1" applyBorder="1" applyAlignment="1">
      <alignment horizontal="center" vertical="center" wrapText="1"/>
    </xf>
    <xf numFmtId="164" fontId="17" fillId="0" borderId="23" xfId="0" applyNumberFormat="1" applyFont="1" applyFill="1" applyBorder="1" applyAlignment="1">
      <alignment horizontal="center" vertical="center" wrapText="1"/>
    </xf>
    <xf numFmtId="0" fontId="20" fillId="13" borderId="28" xfId="0" applyFont="1" applyFill="1" applyBorder="1" applyAlignment="1">
      <alignment horizontal="center" vertical="center"/>
    </xf>
    <xf numFmtId="0" fontId="20" fillId="13" borderId="24" xfId="0" applyFont="1" applyFill="1" applyBorder="1" applyAlignment="1">
      <alignment horizontal="center" vertical="center"/>
    </xf>
    <xf numFmtId="0" fontId="20" fillId="13" borderId="27" xfId="0" applyFont="1" applyFill="1" applyBorder="1" applyAlignment="1">
      <alignment horizontal="center" vertical="center"/>
    </xf>
    <xf numFmtId="0" fontId="20" fillId="13" borderId="19"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0" fillId="13" borderId="29" xfId="0" applyFont="1" applyFill="1" applyBorder="1" applyAlignment="1">
      <alignment horizontal="center" vertical="center" wrapText="1"/>
    </xf>
    <xf numFmtId="0" fontId="20" fillId="13" borderId="69" xfId="0" applyFont="1" applyFill="1" applyBorder="1" applyAlignment="1">
      <alignment horizontal="center" vertical="center" wrapText="1"/>
    </xf>
    <xf numFmtId="0" fontId="20" fillId="13" borderId="70" xfId="0" applyFont="1" applyFill="1" applyBorder="1" applyAlignment="1">
      <alignment horizontal="center" vertical="center" wrapText="1"/>
    </xf>
    <xf numFmtId="0" fontId="20" fillId="13" borderId="6" xfId="0" applyFont="1" applyFill="1" applyBorder="1" applyAlignment="1">
      <alignment horizontal="center" vertical="center" wrapText="1"/>
    </xf>
    <xf numFmtId="0" fontId="20" fillId="13" borderId="9"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7" fillId="10" borderId="50"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6" fillId="0" borderId="77" xfId="0" applyFont="1" applyBorder="1" applyAlignment="1">
      <alignment horizontal="center" vertical="center"/>
    </xf>
    <xf numFmtId="0" fontId="6" fillId="0" borderId="9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91" xfId="0" applyFont="1" applyBorder="1" applyAlignment="1">
      <alignment horizontal="center" vertical="center"/>
    </xf>
    <xf numFmtId="0" fontId="6" fillId="0" borderId="55"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73"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59" xfId="0" applyFont="1" applyBorder="1" applyAlignment="1">
      <alignment horizontal="center" vertical="center" wrapText="1"/>
    </xf>
    <xf numFmtId="0" fontId="6" fillId="0" borderId="59"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7" fillId="12" borderId="50" xfId="0" applyFont="1" applyFill="1" applyBorder="1" applyAlignment="1">
      <alignment horizontal="center" vertical="center" wrapText="1"/>
    </xf>
    <xf numFmtId="0" fontId="7" fillId="11" borderId="50" xfId="0" applyFont="1" applyFill="1" applyBorder="1" applyAlignment="1">
      <alignment horizontal="center" vertical="center" wrapText="1"/>
    </xf>
    <xf numFmtId="0" fontId="7" fillId="11" borderId="51" xfId="0" applyFont="1" applyFill="1" applyBorder="1" applyAlignment="1">
      <alignment horizontal="center" vertical="center" wrapText="1"/>
    </xf>
    <xf numFmtId="0" fontId="6" fillId="0" borderId="59"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7" xfId="0" applyFont="1" applyFill="1" applyBorder="1" applyAlignment="1">
      <alignment horizontal="center" vertical="center"/>
    </xf>
    <xf numFmtId="3" fontId="16" fillId="0" borderId="39" xfId="0" applyNumberFormat="1" applyFont="1" applyBorder="1" applyAlignment="1">
      <alignment horizontal="center" vertical="center"/>
    </xf>
    <xf numFmtId="3" fontId="16" fillId="0" borderId="37" xfId="0" applyNumberFormat="1" applyFont="1" applyBorder="1" applyAlignment="1">
      <alignment horizontal="center" vertical="center"/>
    </xf>
    <xf numFmtId="3" fontId="16" fillId="0" borderId="38" xfId="0" applyNumberFormat="1" applyFont="1" applyBorder="1" applyAlignment="1">
      <alignment horizontal="center" vertical="center"/>
    </xf>
    <xf numFmtId="3" fontId="16" fillId="0" borderId="39" xfId="0" applyNumberFormat="1" applyFont="1" applyFill="1" applyBorder="1" applyAlignment="1">
      <alignment horizontal="center" vertical="center"/>
    </xf>
    <xf numFmtId="3" fontId="16" fillId="0" borderId="37" xfId="0" applyNumberFormat="1" applyFont="1" applyFill="1" applyBorder="1" applyAlignment="1">
      <alignment horizontal="center" vertical="center"/>
    </xf>
    <xf numFmtId="3" fontId="16" fillId="0" borderId="38"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center" vertical="center"/>
    </xf>
    <xf numFmtId="0" fontId="35" fillId="0" borderId="0" xfId="0" applyFont="1" applyFill="1" applyBorder="1" applyAlignment="1">
      <alignment horizontal="center" vertical="center"/>
    </xf>
    <xf numFmtId="0" fontId="49" fillId="0" borderId="0" xfId="0" applyFont="1" applyBorder="1" applyAlignment="1">
      <alignment horizontal="center" vertical="center"/>
    </xf>
    <xf numFmtId="0" fontId="20" fillId="0" borderId="0" xfId="0" applyFont="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0" xfId="0" applyFont="1" applyBorder="1" applyAlignment="1">
      <alignment horizontal="center" vertical="center"/>
    </xf>
    <xf numFmtId="0" fontId="16" fillId="0" borderId="44" xfId="0" applyFont="1" applyBorder="1" applyAlignment="1">
      <alignment horizontal="center" vertical="center"/>
    </xf>
    <xf numFmtId="0" fontId="16" fillId="0" borderId="35" xfId="0" applyFont="1" applyBorder="1" applyAlignment="1">
      <alignment horizontal="left" vertical="center"/>
    </xf>
    <xf numFmtId="0" fontId="16" fillId="0" borderId="40" xfId="0" applyFont="1" applyBorder="1" applyAlignment="1">
      <alignment horizontal="left" vertical="center"/>
    </xf>
    <xf numFmtId="170" fontId="16"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3" fontId="16" fillId="0" borderId="1" xfId="0" applyNumberFormat="1" applyFont="1" applyFill="1" applyBorder="1" applyAlignment="1">
      <alignment horizontal="center" vertical="center"/>
    </xf>
    <xf numFmtId="0" fontId="7" fillId="2" borderId="24"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29" xfId="0" applyFont="1" applyFill="1" applyBorder="1" applyAlignment="1">
      <alignment horizontal="center" vertical="center"/>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39"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vertical="center" wrapText="1"/>
    </xf>
    <xf numFmtId="0" fontId="16" fillId="0" borderId="37" xfId="0" applyFont="1" applyBorder="1" applyAlignment="1">
      <alignment vertical="center" wrapText="1"/>
    </xf>
    <xf numFmtId="0" fontId="16" fillId="0" borderId="37" xfId="0" applyFont="1" applyBorder="1" applyAlignment="1">
      <alignment horizontal="center" vertical="center"/>
    </xf>
    <xf numFmtId="0" fontId="16" fillId="0" borderId="1" xfId="0" applyFont="1" applyBorder="1" applyAlignment="1">
      <alignment horizontal="center" vertical="center"/>
    </xf>
    <xf numFmtId="0" fontId="16" fillId="0" borderId="39"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38" xfId="0" applyFont="1" applyBorder="1" applyAlignment="1">
      <alignment vertical="center" wrapText="1"/>
    </xf>
    <xf numFmtId="0" fontId="16" fillId="0" borderId="1" xfId="0" applyFont="1" applyFill="1" applyBorder="1" applyAlignment="1">
      <alignment vertical="center" wrapText="1"/>
    </xf>
    <xf numFmtId="0" fontId="20" fillId="0" borderId="1" xfId="0" applyFont="1" applyBorder="1" applyAlignment="1">
      <alignment vertical="center" wrapText="1"/>
    </xf>
    <xf numFmtId="0" fontId="20" fillId="0" borderId="1" xfId="0" applyFont="1" applyFill="1" applyBorder="1" applyAlignment="1">
      <alignment vertical="center" wrapText="1"/>
    </xf>
    <xf numFmtId="0" fontId="20" fillId="0" borderId="1" xfId="0" applyFont="1" applyBorder="1" applyAlignment="1">
      <alignment horizontal="center" vertical="center"/>
    </xf>
    <xf numFmtId="0" fontId="20" fillId="0" borderId="7" xfId="0" applyFont="1" applyBorder="1" applyAlignment="1">
      <alignment horizontal="center" vertical="center" wrapText="1"/>
    </xf>
    <xf numFmtId="0" fontId="0" fillId="3" borderId="1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6" xfId="0" applyFill="1" applyBorder="1" applyAlignment="1">
      <alignment horizontal="center" vertic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17" xfId="0" applyFont="1" applyFill="1" applyBorder="1" applyAlignment="1">
      <alignment horizontal="center"/>
    </xf>
  </cellXfs>
  <cellStyles count="4">
    <cellStyle name="Comma" xfId="1" builtinId="3"/>
    <cellStyle name="Hyperlink" xfId="3" builtinId="8"/>
    <cellStyle name="Normal" xfId="0" builtinId="0"/>
    <cellStyle name="Normal 5" xfId="2" xr:uid="{4F76EC22-EFEE-4DBB-A3F7-4CCFB2BDF786}"/>
  </cellStyles>
  <dxfs count="183">
    <dxf>
      <fill>
        <patternFill patternType="lightUp"/>
      </fill>
    </dxf>
    <dxf>
      <fill>
        <patternFill patternType="lightUp"/>
      </fill>
    </dxf>
    <dxf>
      <font>
        <color rgb="FF9C0006"/>
      </font>
      <fill>
        <patternFill>
          <bgColor rgb="FFFFC7CE"/>
        </patternFill>
      </fill>
    </dxf>
    <dxf>
      <fill>
        <patternFill patternType="lightUp"/>
      </fill>
    </dxf>
    <dxf>
      <font>
        <color rgb="FF9C0006"/>
      </font>
      <fill>
        <patternFill>
          <bgColor rgb="FFFFC7CE"/>
        </patternFill>
      </fill>
    </dxf>
    <dxf>
      <font>
        <color rgb="FF9C0006"/>
      </font>
      <fill>
        <patternFill>
          <bgColor rgb="FFFFC7CE"/>
        </patternFill>
      </fill>
    </dxf>
    <dxf>
      <fill>
        <patternFill patternType="lightUp"/>
      </fill>
    </dxf>
    <dxf>
      <font>
        <b/>
        <i val="0"/>
        <color auto="1"/>
      </font>
      <fill>
        <patternFill>
          <bgColor rgb="FFFFC7CE"/>
        </patternFill>
      </fill>
    </dxf>
    <dxf>
      <font>
        <b/>
        <i val="0"/>
        <color auto="1"/>
      </font>
      <fill>
        <patternFill patternType="solid">
          <bgColor rgb="FFFFC7CE"/>
        </patternFill>
      </fill>
    </dxf>
    <dxf>
      <font>
        <b/>
        <i val="0"/>
        <color auto="1"/>
      </font>
      <fill>
        <patternFill patternType="solid">
          <bgColor rgb="FFFFC7CE"/>
        </patternFill>
      </fill>
    </dxf>
    <dxf>
      <font>
        <b/>
        <i val="0"/>
        <color auto="1"/>
      </font>
      <fill>
        <patternFill patternType="none">
          <bgColor auto="1"/>
        </patternFill>
      </fill>
    </dxf>
    <dxf>
      <font>
        <b/>
        <i val="0"/>
        <color auto="1"/>
      </font>
      <fill>
        <patternFill patternType="none">
          <bgColor auto="1"/>
        </patternFill>
      </fill>
    </dxf>
    <dxf>
      <font>
        <b/>
        <i val="0"/>
        <color auto="1"/>
      </font>
      <fill>
        <patternFill patternType="none">
          <bgColor auto="1"/>
        </patternFill>
      </fill>
    </dxf>
    <dxf>
      <font>
        <b/>
        <i val="0"/>
        <color auto="1"/>
      </font>
      <fill>
        <patternFill patternType="solid">
          <bgColor rgb="FFFFC7CE"/>
        </patternFill>
      </fill>
    </dxf>
    <dxf>
      <font>
        <b/>
        <i val="0"/>
        <color auto="1"/>
      </font>
      <fill>
        <patternFill patternType="solid">
          <bgColor rgb="FFFFC7CE"/>
        </patternFill>
      </fill>
    </dxf>
    <dxf>
      <font>
        <b/>
        <i val="0"/>
        <color auto="1"/>
      </font>
      <fill>
        <patternFill patternType="solid">
          <bgColor rgb="FFFFC7CE"/>
        </patternFill>
      </fill>
    </dxf>
    <dxf>
      <font>
        <b/>
        <i val="0"/>
        <color auto="1"/>
      </font>
      <fill>
        <patternFill patternType="solid">
          <bgColor rgb="FFFFC7CE"/>
        </patternFill>
      </fill>
    </dxf>
    <dxf>
      <font>
        <b/>
        <i val="0"/>
        <color auto="1"/>
      </font>
      <fill>
        <patternFill patternType="solid">
          <bgColor rgb="FFFFC7CE"/>
        </patternFill>
      </fill>
    </dxf>
    <dxf>
      <font>
        <b/>
        <i val="0"/>
        <color auto="1"/>
      </font>
      <fill>
        <patternFill patternType="solid">
          <bgColor rgb="FFFFC7CE"/>
        </patternFill>
      </fill>
    </dxf>
    <dxf>
      <font>
        <b/>
        <i val="0"/>
        <color auto="1"/>
      </font>
      <fill>
        <patternFill patternType="solid">
          <bgColor rgb="FFFFC7CE"/>
        </patternFill>
      </fill>
    </dxf>
    <dxf>
      <font>
        <b/>
        <i val="0"/>
        <color auto="1"/>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patternType="lightUp">
          <fgColor theme="0" tint="-0.14996795556505021"/>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rgb="FFFFC7CE"/>
        </patternFill>
      </fill>
    </dxf>
    <dxf>
      <font>
        <b/>
        <i val="0"/>
        <color auto="1"/>
      </font>
      <fill>
        <patternFill>
          <bgColor rgb="FFFFC7CE"/>
        </patternFill>
      </fill>
    </dxf>
    <dxf>
      <font>
        <color auto="1"/>
      </font>
    </dxf>
    <dxf>
      <font>
        <b/>
        <i val="0"/>
      </font>
      <fill>
        <patternFill>
          <bgColor rgb="FFFFC7CE"/>
        </patternFill>
      </fill>
    </dxf>
    <dxf>
      <font>
        <b/>
        <i val="0"/>
      </font>
      <fill>
        <patternFill>
          <bgColor rgb="FFFFC7CE"/>
        </patternFill>
      </fill>
    </dxf>
    <dxf>
      <font>
        <b val="0"/>
        <i val="0"/>
        <color auto="1"/>
      </font>
      <fill>
        <patternFill patternType="none">
          <bgColor auto="1"/>
        </patternFill>
      </fill>
    </dxf>
    <dxf>
      <font>
        <b/>
        <i val="0"/>
      </font>
      <fill>
        <patternFill>
          <bgColor rgb="FFFFC7CE"/>
        </patternFill>
      </fill>
    </dxf>
    <dxf>
      <font>
        <b/>
        <i val="0"/>
      </font>
      <fill>
        <patternFill>
          <bgColor rgb="FFFFC7CE"/>
        </patternFill>
      </fill>
    </dxf>
    <dxf>
      <font>
        <color auto="1"/>
      </font>
    </dxf>
    <dxf>
      <font>
        <b/>
        <i val="0"/>
      </font>
    </dxf>
    <dxf>
      <font>
        <color rgb="FF339933"/>
      </font>
    </dxf>
    <dxf>
      <font>
        <b/>
        <i val="0"/>
      </font>
    </dxf>
    <dxf>
      <font>
        <color rgb="FF339933"/>
      </font>
    </dxf>
    <dxf>
      <numFmt numFmtId="15" formatCode="0.00E+00"/>
    </dxf>
    <dxf>
      <numFmt numFmtId="4" formatCode="#,##0.00"/>
    </dxf>
    <dxf>
      <font>
        <b val="0"/>
        <i val="0"/>
        <color rgb="FF339933"/>
      </font>
      <fill>
        <patternFill patternType="none">
          <bgColor auto="1"/>
        </patternFill>
      </fill>
    </dxf>
    <dxf>
      <font>
        <b/>
        <i val="0"/>
      </font>
    </dxf>
    <dxf>
      <fill>
        <patternFill>
          <bgColor theme="6" tint="0.39994506668294322"/>
        </patternFill>
      </fill>
    </dxf>
    <dxf>
      <fill>
        <patternFill>
          <bgColor theme="9" tint="0.59996337778862885"/>
        </patternFill>
      </fill>
    </dxf>
    <dxf>
      <font>
        <b val="0"/>
        <i val="0"/>
        <color rgb="FF339933"/>
      </font>
      <fill>
        <patternFill patternType="none">
          <bgColor auto="1"/>
        </patternFill>
      </fill>
    </dxf>
    <dxf>
      <font>
        <b/>
        <i val="0"/>
      </font>
    </dxf>
    <dxf>
      <numFmt numFmtId="15" formatCode="0.00E+00"/>
    </dxf>
    <dxf>
      <numFmt numFmtId="4" formatCode="#,##0.00"/>
    </dxf>
    <dxf>
      <numFmt numFmtId="15" formatCode="0.00E+00"/>
    </dxf>
    <dxf>
      <numFmt numFmtId="4" formatCode="#,##0.00"/>
    </dxf>
    <dxf>
      <numFmt numFmtId="15" formatCode="0.00E+00"/>
    </dxf>
    <dxf>
      <numFmt numFmtId="4" formatCode="#,##0.00"/>
    </dxf>
    <dxf>
      <numFmt numFmtId="15" formatCode="0.00E+00"/>
    </dxf>
    <dxf>
      <numFmt numFmtId="4" formatCode="#,##0.00"/>
    </dxf>
    <dxf>
      <font>
        <b val="0"/>
        <i val="0"/>
        <color rgb="FF339933"/>
      </font>
      <fill>
        <patternFill patternType="none">
          <bgColor auto="1"/>
        </patternFill>
      </fill>
    </dxf>
    <dxf>
      <numFmt numFmtId="15" formatCode="0.00E+00"/>
    </dxf>
    <dxf>
      <numFmt numFmtId="4" formatCode="#,##0.00"/>
    </dxf>
    <dxf>
      <font>
        <color auto="1"/>
      </font>
      <fill>
        <patternFill patternType="none">
          <bgColor auto="1"/>
        </patternFill>
      </fill>
    </dxf>
    <dxf>
      <numFmt numFmtId="15" formatCode="0.00E+00"/>
    </dxf>
    <dxf>
      <numFmt numFmtId="4" formatCode="#,##0.00"/>
    </dxf>
    <dxf>
      <font>
        <color theme="0"/>
      </font>
    </dxf>
    <dxf>
      <fill>
        <patternFill>
          <bgColor theme="9" tint="0.59996337778862885"/>
        </patternFill>
      </fill>
    </dxf>
    <dxf>
      <fill>
        <patternFill>
          <bgColor theme="6" tint="0.39994506668294322"/>
        </patternFill>
      </fill>
    </dxf>
    <dxf>
      <numFmt numFmtId="15" formatCode="0.00E+00"/>
    </dxf>
    <dxf>
      <numFmt numFmtId="4" formatCode="#,##0.00"/>
    </dxf>
    <dxf>
      <fill>
        <patternFill>
          <bgColor theme="6" tint="0.39994506668294322"/>
        </patternFill>
      </fill>
    </dxf>
    <dxf>
      <fill>
        <patternFill>
          <bgColor theme="9" tint="0.59996337778862885"/>
        </patternFill>
      </fill>
    </dxf>
    <dxf>
      <numFmt numFmtId="15" formatCode="0.00E+00"/>
    </dxf>
    <dxf>
      <numFmt numFmtId="4" formatCode="#,##0.00"/>
    </dxf>
    <dxf>
      <fill>
        <patternFill>
          <bgColor theme="9" tint="0.59996337778862885"/>
        </patternFill>
      </fill>
    </dxf>
    <dxf>
      <fill>
        <patternFill>
          <bgColor theme="6" tint="0.39994506668294322"/>
        </patternFill>
      </fill>
    </dxf>
    <dxf>
      <numFmt numFmtId="15" formatCode="0.00E+00"/>
    </dxf>
    <dxf>
      <numFmt numFmtId="4" formatCode="#,##0.00"/>
    </dxf>
    <dxf>
      <font>
        <b/>
        <i val="0"/>
      </font>
      <fill>
        <patternFill>
          <bgColor rgb="FFFFC7CE"/>
        </patternFill>
      </fill>
    </dxf>
    <dxf>
      <font>
        <color auto="1"/>
      </font>
    </dxf>
    <dxf>
      <font>
        <b/>
        <i val="0"/>
      </font>
      <fill>
        <patternFill>
          <bgColor rgb="FFFFC7CE"/>
        </patternFill>
      </fill>
    </dxf>
    <dxf>
      <font>
        <color auto="1"/>
      </font>
    </dxf>
    <dxf>
      <font>
        <b/>
        <i val="0"/>
      </font>
      <fill>
        <patternFill>
          <bgColor rgb="FFFFC7CE"/>
        </patternFill>
      </fill>
    </dxf>
    <dxf>
      <font>
        <color auto="1"/>
      </font>
    </dxf>
    <dxf>
      <font>
        <b/>
        <i val="0"/>
      </font>
    </dxf>
    <dxf>
      <font>
        <color rgb="FF00CC00"/>
      </font>
    </dxf>
    <dxf>
      <font>
        <b/>
        <i val="0"/>
      </font>
    </dxf>
    <dxf>
      <font>
        <color rgb="FF00CC00"/>
      </font>
    </dxf>
    <dxf>
      <fill>
        <patternFill>
          <bgColor theme="6" tint="0.39994506668294322"/>
        </patternFill>
      </fill>
    </dxf>
    <dxf>
      <fill>
        <patternFill>
          <bgColor theme="9" tint="0.59996337778862885"/>
        </patternFill>
      </fill>
    </dxf>
    <dxf>
      <numFmt numFmtId="15" formatCode="0.00E+00"/>
    </dxf>
    <dxf>
      <numFmt numFmtId="4" formatCode="#,##0.00"/>
    </dxf>
    <dxf>
      <fill>
        <patternFill>
          <bgColor theme="6" tint="0.39994506668294322"/>
        </patternFill>
      </fill>
    </dxf>
    <dxf>
      <fill>
        <patternFill>
          <bgColor theme="9" tint="0.59996337778862885"/>
        </patternFill>
      </fill>
    </dxf>
    <dxf>
      <numFmt numFmtId="15" formatCode="0.00E+00"/>
    </dxf>
    <dxf>
      <numFmt numFmtId="4" formatCode="#,##0.00"/>
    </dxf>
    <dxf>
      <fill>
        <patternFill>
          <bgColor theme="6" tint="0.39994506668294322"/>
        </patternFill>
      </fill>
    </dxf>
    <dxf>
      <fill>
        <patternFill>
          <bgColor theme="9" tint="0.59996337778862885"/>
        </patternFill>
      </fill>
    </dxf>
    <dxf>
      <numFmt numFmtId="15" formatCode="0.00E+00"/>
    </dxf>
    <dxf>
      <numFmt numFmtId="4" formatCode="#,##0.00"/>
    </dxf>
    <dxf>
      <fill>
        <patternFill>
          <bgColor theme="6" tint="0.39994506668294322"/>
        </patternFill>
      </fill>
    </dxf>
    <dxf>
      <fill>
        <patternFill>
          <bgColor theme="9" tint="0.59996337778862885"/>
        </patternFill>
      </fill>
    </dxf>
    <dxf>
      <numFmt numFmtId="15" formatCode="0.00E+00"/>
    </dxf>
    <dxf>
      <numFmt numFmtId="4" formatCode="#,##0.00"/>
    </dxf>
    <dxf>
      <fill>
        <patternFill>
          <bgColor theme="6" tint="0.39994506668294322"/>
        </patternFill>
      </fill>
    </dxf>
    <dxf>
      <fill>
        <patternFill>
          <bgColor theme="9" tint="0.59996337778862885"/>
        </patternFill>
      </fill>
    </dxf>
    <dxf>
      <numFmt numFmtId="15" formatCode="0.00E+00"/>
    </dxf>
    <dxf>
      <numFmt numFmtId="4" formatCode="#,##0.00"/>
    </dxf>
    <dxf>
      <fill>
        <patternFill>
          <bgColor theme="6" tint="0.39994506668294322"/>
        </patternFill>
      </fill>
    </dxf>
    <dxf>
      <fill>
        <patternFill>
          <bgColor theme="9" tint="0.59996337778862885"/>
        </patternFill>
      </fill>
    </dxf>
    <dxf>
      <numFmt numFmtId="15" formatCode="0.00E+00"/>
    </dxf>
    <dxf>
      <numFmt numFmtId="4" formatCode="#,##0.00"/>
    </dxf>
    <dxf>
      <font>
        <b/>
        <i val="0"/>
      </font>
      <fill>
        <patternFill>
          <bgColor rgb="FFFFC7CE"/>
        </patternFill>
      </fill>
    </dxf>
    <dxf>
      <font>
        <color auto="1"/>
      </font>
    </dxf>
    <dxf>
      <fill>
        <patternFill>
          <bgColor theme="6" tint="0.39994506668294322"/>
        </patternFill>
      </fill>
    </dxf>
    <dxf>
      <fill>
        <patternFill>
          <bgColor theme="9" tint="0.59996337778862885"/>
        </patternFill>
      </fill>
    </dxf>
    <dxf>
      <numFmt numFmtId="15" formatCode="0.00E+00"/>
    </dxf>
    <dxf>
      <numFmt numFmtId="4" formatCode="#,##0.00"/>
    </dxf>
    <dxf>
      <fill>
        <patternFill>
          <bgColor theme="9" tint="0.59996337778862885"/>
        </patternFill>
      </fill>
    </dxf>
    <dxf>
      <fill>
        <patternFill>
          <bgColor theme="6" tint="0.39994506668294322"/>
        </patternFill>
      </fill>
    </dxf>
    <dxf>
      <numFmt numFmtId="15" formatCode="0.00E+00"/>
    </dxf>
    <dxf>
      <numFmt numFmtId="4" formatCode="#,##0.00"/>
    </dxf>
    <dxf>
      <font>
        <color theme="0"/>
      </font>
    </dxf>
    <dxf>
      <font>
        <color theme="0"/>
      </font>
    </dxf>
    <dxf>
      <numFmt numFmtId="15" formatCode="0.00E+00"/>
    </dxf>
    <dxf>
      <numFmt numFmtId="3" formatCode="#,##0"/>
    </dxf>
    <dxf>
      <fill>
        <patternFill>
          <bgColor theme="9" tint="0.59996337778862885"/>
        </patternFill>
      </fill>
    </dxf>
    <dxf>
      <fill>
        <patternFill>
          <bgColor theme="6" tint="0.39994506668294322"/>
        </patternFill>
      </fill>
    </dxf>
    <dxf>
      <numFmt numFmtId="15" formatCode="0.00E+00"/>
    </dxf>
    <dxf>
      <numFmt numFmtId="4" formatCode="#,##0.00"/>
    </dxf>
    <dxf>
      <font>
        <b/>
        <i val="0"/>
      </font>
      <fill>
        <patternFill>
          <bgColor rgb="FFFFC7CE"/>
        </patternFill>
      </fill>
    </dxf>
    <dxf>
      <font>
        <b/>
        <i val="0"/>
      </font>
      <fill>
        <patternFill>
          <bgColor rgb="FFFFC7CE"/>
        </patternFill>
      </fill>
    </dxf>
    <dxf>
      <font>
        <b/>
        <i val="0"/>
      </font>
      <fill>
        <patternFill>
          <bgColor rgb="FFFFC7CE"/>
        </patternFill>
      </fill>
    </dxf>
    <dxf>
      <font>
        <b/>
        <i val="0"/>
      </font>
    </dxf>
    <dxf>
      <font>
        <color rgb="FF339933"/>
      </font>
    </dxf>
    <dxf>
      <font>
        <color auto="1"/>
      </font>
    </dxf>
    <dxf>
      <font>
        <b/>
        <i val="0"/>
      </font>
      <fill>
        <patternFill>
          <bgColor rgb="FFFFC7CE"/>
        </patternFill>
      </fill>
    </dxf>
    <dxf>
      <font>
        <color auto="1"/>
      </font>
    </dxf>
    <dxf>
      <font>
        <color auto="1"/>
      </font>
      <fill>
        <patternFill patternType="none">
          <bgColor auto="1"/>
        </patternFill>
      </fill>
    </dxf>
    <dxf>
      <font>
        <b/>
        <i val="0"/>
      </font>
      <fill>
        <patternFill>
          <bgColor rgb="FFFFC7CE"/>
        </patternFill>
      </fill>
    </dxf>
    <dxf>
      <fill>
        <patternFill>
          <bgColor theme="6" tint="0.39994506668294322"/>
        </patternFill>
      </fill>
    </dxf>
    <dxf>
      <fill>
        <patternFill>
          <bgColor theme="9" tint="0.59996337778862885"/>
        </patternFill>
      </fill>
    </dxf>
    <dxf>
      <fill>
        <patternFill>
          <bgColor theme="9" tint="0.59996337778862885"/>
        </patternFill>
      </fill>
    </dxf>
    <dxf>
      <fill>
        <patternFill>
          <bgColor theme="6" tint="0.39994506668294322"/>
        </patternFill>
      </fill>
    </dxf>
    <dxf>
      <numFmt numFmtId="15" formatCode="0.00E+00"/>
    </dxf>
    <dxf>
      <numFmt numFmtId="4" formatCode="#,##0.00"/>
    </dxf>
    <dxf>
      <numFmt numFmtId="15" formatCode="0.00E+00"/>
    </dxf>
    <dxf>
      <numFmt numFmtId="4" formatCode="#,##0.00"/>
    </dxf>
    <dxf>
      <font>
        <b val="0"/>
        <i val="0"/>
        <color rgb="FF339933"/>
      </font>
      <fill>
        <patternFill patternType="none">
          <bgColor auto="1"/>
        </patternFill>
      </fill>
    </dxf>
    <dxf>
      <font>
        <b/>
        <i val="0"/>
      </font>
    </dxf>
    <dxf>
      <numFmt numFmtId="15" formatCode="0.00E+00"/>
    </dxf>
    <dxf>
      <numFmt numFmtId="4" formatCode="#,##0.00"/>
    </dxf>
    <dxf>
      <font>
        <b val="0"/>
        <i val="0"/>
        <color auto="1"/>
      </font>
      <fill>
        <patternFill patternType="none">
          <bgColor auto="1"/>
        </patternFill>
      </fill>
    </dxf>
    <dxf>
      <font>
        <b/>
        <i val="0"/>
      </font>
      <fill>
        <patternFill>
          <bgColor rgb="FFFFC7CE"/>
        </patternFill>
      </fill>
    </dxf>
    <dxf>
      <numFmt numFmtId="15" formatCode="0.00E+00"/>
    </dxf>
    <dxf>
      <numFmt numFmtId="4" formatCode="#,##0.00"/>
    </dxf>
    <dxf>
      <font>
        <b/>
        <i val="0"/>
      </font>
      <fill>
        <patternFill>
          <bgColor rgb="FFFFC7CE"/>
        </patternFill>
      </fill>
    </dxf>
    <dxf>
      <font>
        <color auto="1"/>
      </font>
    </dxf>
    <dxf>
      <font>
        <b/>
        <i val="0"/>
      </font>
      <fill>
        <patternFill>
          <bgColor rgb="FFFFC7CE"/>
        </patternFill>
      </fill>
    </dxf>
    <dxf>
      <numFmt numFmtId="15" formatCode="0.00E+00"/>
    </dxf>
    <dxf>
      <numFmt numFmtId="4" formatCode="#,##0.00"/>
    </dxf>
    <dxf>
      <font>
        <color theme="0"/>
      </font>
    </dxf>
    <dxf>
      <fill>
        <patternFill>
          <bgColor theme="9" tint="0.59996337778862885"/>
        </patternFill>
      </fill>
    </dxf>
    <dxf>
      <fill>
        <patternFill>
          <bgColor theme="6" tint="0.39994506668294322"/>
        </patternFill>
      </fill>
    </dxf>
    <dxf>
      <numFmt numFmtId="15" formatCode="0.00E+00"/>
    </dxf>
    <dxf>
      <numFmt numFmtId="4" formatCode="#,##0.00"/>
    </dxf>
    <dxf>
      <fill>
        <patternFill>
          <bgColor theme="6" tint="0.39994506668294322"/>
        </patternFill>
      </fill>
    </dxf>
    <dxf>
      <fill>
        <patternFill>
          <bgColor theme="9" tint="0.59996337778862885"/>
        </patternFill>
      </fill>
    </dxf>
    <dxf>
      <numFmt numFmtId="15" formatCode="0.00E+00"/>
    </dxf>
    <dxf>
      <numFmt numFmtId="4" formatCode="#,##0.00"/>
    </dxf>
    <dxf>
      <fill>
        <patternFill>
          <bgColor theme="9" tint="0.59996337778862885"/>
        </patternFill>
      </fill>
    </dxf>
    <dxf>
      <fill>
        <patternFill>
          <bgColor theme="6" tint="0.39994506668294322"/>
        </patternFill>
      </fill>
    </dxf>
    <dxf>
      <numFmt numFmtId="15" formatCode="0.00E+00"/>
    </dxf>
    <dxf>
      <numFmt numFmtId="4" formatCode="#,##0.00"/>
    </dxf>
  </dxfs>
  <tableStyles count="0" defaultTableStyle="TableStyleMedium2" defaultPivotStyle="PivotStyleLight16"/>
  <colors>
    <mruColors>
      <color rgb="FFFFC7CE"/>
      <color rgb="FF339933"/>
      <color rgb="FFFF9999"/>
      <color rgb="FFCCFFCC"/>
      <color rgb="FF00CC0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'Spray Adhesives'!$C$76</c:f>
          <c:strCache>
            <c:ptCount val="1"/>
            <c:pt idx="0">
              <c:v>95th Percentile Cancer Risk Estimates</c:v>
            </c:pt>
          </c:strCache>
        </c:strRef>
      </c:tx>
      <c:layout>
        <c:manualLayout>
          <c:xMode val="edge"/>
          <c:yMode val="edge"/>
          <c:x val="0.21888413781850347"/>
          <c:y val="2.60518146960513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8005457340963504"/>
          <c:h val="0.58920985270720716"/>
        </c:manualLayout>
      </c:layout>
      <c:barChart>
        <c:barDir val="bar"/>
        <c:grouping val="stacked"/>
        <c:varyColors val="0"/>
        <c:ser>
          <c:idx val="0"/>
          <c:order val="0"/>
          <c:tx>
            <c:v>Cancer risk</c:v>
          </c:tx>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40FB-4F4E-ABBB-539F3AACF983}"/>
              </c:ext>
            </c:extLst>
          </c:dPt>
          <c:dPt>
            <c:idx val="1"/>
            <c:invertIfNegative val="0"/>
            <c:bubble3D val="0"/>
            <c:spPr>
              <a:solidFill>
                <a:srgbClr val="00B0F0"/>
              </a:solidFill>
              <a:ln>
                <a:noFill/>
              </a:ln>
              <a:effectLst/>
            </c:spPr>
            <c:extLst>
              <c:ext xmlns:c16="http://schemas.microsoft.com/office/drawing/2014/chart" uri="{C3380CC4-5D6E-409C-BE32-E72D297353CC}">
                <c16:uniqueId val="{00000003-40FB-4F4E-ABBB-539F3AACF983}"/>
              </c:ext>
            </c:extLst>
          </c:dPt>
          <c:dPt>
            <c:idx val="2"/>
            <c:invertIfNegative val="0"/>
            <c:bubble3D val="0"/>
            <c:spPr>
              <a:solidFill>
                <a:srgbClr val="00B0F0"/>
              </a:solidFill>
              <a:ln>
                <a:noFill/>
              </a:ln>
              <a:effectLst/>
            </c:spPr>
            <c:extLst>
              <c:ext xmlns:c16="http://schemas.microsoft.com/office/drawing/2014/chart" uri="{C3380CC4-5D6E-409C-BE32-E72D297353CC}">
                <c16:uniqueId val="{00000005-40FB-4F4E-ABBB-539F3AACF983}"/>
              </c:ext>
            </c:extLst>
          </c:dPt>
          <c:dPt>
            <c:idx val="3"/>
            <c:invertIfNegative val="0"/>
            <c:bubble3D val="0"/>
            <c:spPr>
              <a:solidFill>
                <a:srgbClr val="0070C0"/>
              </a:solidFill>
              <a:ln>
                <a:noFill/>
              </a:ln>
              <a:effectLst/>
            </c:spPr>
            <c:extLst>
              <c:ext xmlns:c16="http://schemas.microsoft.com/office/drawing/2014/chart" uri="{C3380CC4-5D6E-409C-BE32-E72D297353CC}">
                <c16:uniqueId val="{00000007-40FB-4F4E-ABBB-539F3AACF983}"/>
              </c:ext>
            </c:extLst>
          </c:dPt>
          <c:cat>
            <c:multiLvlStrRef>
              <c:f>'Spray Adhesives'!$C$77:$C$82</c:f>
            </c:multiLvlStrRef>
          </c:cat>
          <c:val>
            <c:numRef>
              <c:f>'Spray Adhesives'!$D$77:$D$82</c:f>
            </c:numRef>
          </c:val>
          <c:extLst>
            <c:ext xmlns:c16="http://schemas.microsoft.com/office/drawing/2014/chart" uri="{C3380CC4-5D6E-409C-BE32-E72D297353CC}">
              <c16:uniqueId val="{00000008-40FB-4F4E-ABBB-539F3AACF983}"/>
            </c:ext>
          </c:extLst>
        </c:ser>
        <c:dLbls>
          <c:showLegendKey val="0"/>
          <c:showVal val="0"/>
          <c:showCatName val="0"/>
          <c:showSerName val="0"/>
          <c:showPercent val="0"/>
          <c:showBubbleSize val="0"/>
        </c:dLbls>
        <c:gapWidth val="182"/>
        <c:overlap val="100"/>
        <c:axId val="580062808"/>
        <c:axId val="580066744"/>
      </c:barChart>
      <c:scatterChart>
        <c:scatterStyle val="lineMarker"/>
        <c:varyColors val="0"/>
        <c:ser>
          <c:idx val="1"/>
          <c:order val="1"/>
          <c:tx>
            <c:v>1.00E-06</c:v>
          </c:tx>
          <c:spPr>
            <a:ln w="28575" cap="rnd">
              <a:solidFill>
                <a:srgbClr val="FF0000"/>
              </a:solidFill>
              <a:round/>
            </a:ln>
            <a:effectLst/>
          </c:spPr>
          <c:marker>
            <c:symbol val="none"/>
          </c:marker>
          <c:xVal>
            <c:numRef>
              <c:f>'Look-up Values'!$B$18:$B$23</c:f>
              <c:numCache>
                <c:formatCode>General</c:formatCode>
                <c:ptCount val="6"/>
                <c:pt idx="0">
                  <c:v>9.9999999999999995E-7</c:v>
                </c:pt>
                <c:pt idx="1">
                  <c:v>9.9999999999999995E-7</c:v>
                </c:pt>
                <c:pt idx="2">
                  <c:v>9.9999999999999995E-7</c:v>
                </c:pt>
                <c:pt idx="3">
                  <c:v>9.9999999999999995E-7</c:v>
                </c:pt>
                <c:pt idx="4">
                  <c:v>9.9999999999999995E-7</c:v>
                </c:pt>
                <c:pt idx="5">
                  <c:v>9.9999999999999995E-7</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9-40FB-4F4E-ABBB-539F3AACF983}"/>
            </c:ext>
          </c:extLst>
        </c:ser>
        <c:ser>
          <c:idx val="2"/>
          <c:order val="2"/>
          <c:tx>
            <c:v>1.00E-05</c:v>
          </c:tx>
          <c:spPr>
            <a:ln w="28575" cap="rnd">
              <a:solidFill>
                <a:srgbClr val="FF0000"/>
              </a:solidFill>
              <a:round/>
            </a:ln>
            <a:effectLst/>
          </c:spPr>
          <c:marker>
            <c:symbol val="none"/>
          </c:marker>
          <c:xVal>
            <c:numRef>
              <c:f>'Look-up Values'!$C$18:$C$23</c:f>
              <c:numCache>
                <c:formatCode>General</c:formatCode>
                <c:ptCount val="6"/>
                <c:pt idx="0">
                  <c:v>1.0000000000000001E-5</c:v>
                </c:pt>
                <c:pt idx="1">
                  <c:v>1.0000000000000001E-5</c:v>
                </c:pt>
                <c:pt idx="2">
                  <c:v>1.0000000000000001E-5</c:v>
                </c:pt>
                <c:pt idx="3">
                  <c:v>1.0000000000000001E-5</c:v>
                </c:pt>
                <c:pt idx="4">
                  <c:v>1.0000000000000001E-5</c:v>
                </c:pt>
                <c:pt idx="5">
                  <c:v>1.0000000000000001E-5</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A-40FB-4F4E-ABBB-539F3AACF983}"/>
            </c:ext>
          </c:extLst>
        </c:ser>
        <c:ser>
          <c:idx val="3"/>
          <c:order val="3"/>
          <c:tx>
            <c:v>1.00E-04</c:v>
          </c:tx>
          <c:spPr>
            <a:ln w="28575" cap="rnd">
              <a:solidFill>
                <a:srgbClr val="FF0000"/>
              </a:solidFill>
              <a:round/>
            </a:ln>
            <a:effectLst/>
          </c:spPr>
          <c:marker>
            <c:symbol val="none"/>
          </c:marker>
          <c:xVal>
            <c:numRef>
              <c:f>'Look-up Values'!$D$18:$D$23</c:f>
              <c:numCache>
                <c:formatCode>General</c:formatCode>
                <c:ptCount val="6"/>
                <c:pt idx="0">
                  <c:v>1E-4</c:v>
                </c:pt>
                <c:pt idx="1">
                  <c:v>1E-4</c:v>
                </c:pt>
                <c:pt idx="2">
                  <c:v>1E-4</c:v>
                </c:pt>
                <c:pt idx="3">
                  <c:v>1E-4</c:v>
                </c:pt>
                <c:pt idx="4">
                  <c:v>1E-4</c:v>
                </c:pt>
                <c:pt idx="5">
                  <c:v>1E-4</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B-40FB-4F4E-ABBB-539F3AACF983}"/>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'Spray Adhesives'!$C$85</c:f>
          <c:strCache>
            <c:ptCount val="1"/>
            <c:pt idx="0">
              <c:v>50th Percentile Cancer Risk Estimates</c:v>
            </c:pt>
          </c:strCache>
        </c:strRef>
      </c:tx>
      <c:layout>
        <c:manualLayout>
          <c:xMode val="edge"/>
          <c:yMode val="edge"/>
          <c:x val="0.21888413781850347"/>
          <c:y val="2.60518146960513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8005457340963504"/>
          <c:h val="0.58920985270720716"/>
        </c:manualLayout>
      </c:layout>
      <c:barChart>
        <c:barDir val="bar"/>
        <c:grouping val="stacked"/>
        <c:varyColors val="0"/>
        <c:ser>
          <c:idx val="0"/>
          <c:order val="0"/>
          <c:tx>
            <c:v>Cancer risk</c:v>
          </c:tx>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D221-4739-BAC9-365443BA0378}"/>
              </c:ext>
            </c:extLst>
          </c:dPt>
          <c:dPt>
            <c:idx val="1"/>
            <c:invertIfNegative val="0"/>
            <c:bubble3D val="0"/>
            <c:spPr>
              <a:solidFill>
                <a:srgbClr val="00B0F0"/>
              </a:solidFill>
              <a:ln>
                <a:noFill/>
              </a:ln>
              <a:effectLst/>
            </c:spPr>
            <c:extLst>
              <c:ext xmlns:c16="http://schemas.microsoft.com/office/drawing/2014/chart" uri="{C3380CC4-5D6E-409C-BE32-E72D297353CC}">
                <c16:uniqueId val="{00000003-D221-4739-BAC9-365443BA0378}"/>
              </c:ext>
            </c:extLst>
          </c:dPt>
          <c:dPt>
            <c:idx val="2"/>
            <c:invertIfNegative val="0"/>
            <c:bubble3D val="0"/>
            <c:spPr>
              <a:solidFill>
                <a:srgbClr val="00B0F0"/>
              </a:solidFill>
              <a:ln>
                <a:noFill/>
              </a:ln>
              <a:effectLst/>
            </c:spPr>
            <c:extLst>
              <c:ext xmlns:c16="http://schemas.microsoft.com/office/drawing/2014/chart" uri="{C3380CC4-5D6E-409C-BE32-E72D297353CC}">
                <c16:uniqueId val="{00000005-D221-4739-BAC9-365443BA0378}"/>
              </c:ext>
            </c:extLst>
          </c:dPt>
          <c:dPt>
            <c:idx val="3"/>
            <c:invertIfNegative val="0"/>
            <c:bubble3D val="0"/>
            <c:spPr>
              <a:solidFill>
                <a:srgbClr val="0070C0"/>
              </a:solidFill>
              <a:ln>
                <a:noFill/>
              </a:ln>
              <a:effectLst/>
            </c:spPr>
            <c:extLst>
              <c:ext xmlns:c16="http://schemas.microsoft.com/office/drawing/2014/chart" uri="{C3380CC4-5D6E-409C-BE32-E72D297353CC}">
                <c16:uniqueId val="{00000007-D221-4739-BAC9-365443BA0378}"/>
              </c:ext>
            </c:extLst>
          </c:dPt>
          <c:dPt>
            <c:idx val="4"/>
            <c:invertIfNegative val="0"/>
            <c:bubble3D val="0"/>
            <c:spPr>
              <a:solidFill>
                <a:srgbClr val="0070C0"/>
              </a:solidFill>
              <a:ln>
                <a:noFill/>
              </a:ln>
              <a:effectLst/>
            </c:spPr>
            <c:extLst>
              <c:ext xmlns:c16="http://schemas.microsoft.com/office/drawing/2014/chart" uri="{C3380CC4-5D6E-409C-BE32-E72D297353CC}">
                <c16:uniqueId val="{0000000D-D221-4739-BAC9-365443BA0378}"/>
              </c:ext>
            </c:extLst>
          </c:dPt>
          <c:dPt>
            <c:idx val="5"/>
            <c:invertIfNegative val="0"/>
            <c:bubble3D val="0"/>
            <c:spPr>
              <a:solidFill>
                <a:srgbClr val="0070C0"/>
              </a:solidFill>
              <a:ln>
                <a:noFill/>
              </a:ln>
              <a:effectLst/>
            </c:spPr>
            <c:extLst>
              <c:ext xmlns:c16="http://schemas.microsoft.com/office/drawing/2014/chart" uri="{C3380CC4-5D6E-409C-BE32-E72D297353CC}">
                <c16:uniqueId val="{0000000C-D221-4739-BAC9-365443BA0378}"/>
              </c:ext>
            </c:extLst>
          </c:dPt>
          <c:cat>
            <c:multiLvlStrRef>
              <c:f>'Spray Adhesives'!$C$86:$C$91</c:f>
            </c:multiLvlStrRef>
          </c:cat>
          <c:val>
            <c:numRef>
              <c:f>'Spray Adhesives'!$D$86:$D$91</c:f>
            </c:numRef>
          </c:val>
          <c:extLst>
            <c:ext xmlns:c16="http://schemas.microsoft.com/office/drawing/2014/chart" uri="{C3380CC4-5D6E-409C-BE32-E72D297353CC}">
              <c16:uniqueId val="{00000008-D221-4739-BAC9-365443BA0378}"/>
            </c:ext>
          </c:extLst>
        </c:ser>
        <c:dLbls>
          <c:showLegendKey val="0"/>
          <c:showVal val="0"/>
          <c:showCatName val="0"/>
          <c:showSerName val="0"/>
          <c:showPercent val="0"/>
          <c:showBubbleSize val="0"/>
        </c:dLbls>
        <c:gapWidth val="182"/>
        <c:overlap val="100"/>
        <c:axId val="580062808"/>
        <c:axId val="580066744"/>
      </c:barChart>
      <c:scatterChart>
        <c:scatterStyle val="lineMarker"/>
        <c:varyColors val="0"/>
        <c:ser>
          <c:idx val="1"/>
          <c:order val="1"/>
          <c:tx>
            <c:v>1.00E-06</c:v>
          </c:tx>
          <c:spPr>
            <a:ln w="28575" cap="rnd">
              <a:solidFill>
                <a:srgbClr val="FF0000"/>
              </a:solidFill>
              <a:round/>
            </a:ln>
            <a:effectLst/>
          </c:spPr>
          <c:marker>
            <c:symbol val="none"/>
          </c:marker>
          <c:xVal>
            <c:numRef>
              <c:f>'Look-up Values'!$B$18:$B$23</c:f>
              <c:numCache>
                <c:formatCode>General</c:formatCode>
                <c:ptCount val="6"/>
                <c:pt idx="0">
                  <c:v>9.9999999999999995E-7</c:v>
                </c:pt>
                <c:pt idx="1">
                  <c:v>9.9999999999999995E-7</c:v>
                </c:pt>
                <c:pt idx="2">
                  <c:v>9.9999999999999995E-7</c:v>
                </c:pt>
                <c:pt idx="3">
                  <c:v>9.9999999999999995E-7</c:v>
                </c:pt>
                <c:pt idx="4">
                  <c:v>9.9999999999999995E-7</c:v>
                </c:pt>
                <c:pt idx="5">
                  <c:v>9.9999999999999995E-7</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9-D221-4739-BAC9-365443BA0378}"/>
            </c:ext>
          </c:extLst>
        </c:ser>
        <c:ser>
          <c:idx val="2"/>
          <c:order val="2"/>
          <c:tx>
            <c:v>1.00E-05</c:v>
          </c:tx>
          <c:spPr>
            <a:ln w="28575" cap="rnd">
              <a:solidFill>
                <a:srgbClr val="FF0000"/>
              </a:solidFill>
              <a:round/>
            </a:ln>
            <a:effectLst/>
          </c:spPr>
          <c:marker>
            <c:symbol val="none"/>
          </c:marker>
          <c:xVal>
            <c:numRef>
              <c:f>'Look-up Values'!$C$18:$C$23</c:f>
              <c:numCache>
                <c:formatCode>General</c:formatCode>
                <c:ptCount val="6"/>
                <c:pt idx="0">
                  <c:v>1.0000000000000001E-5</c:v>
                </c:pt>
                <c:pt idx="1">
                  <c:v>1.0000000000000001E-5</c:v>
                </c:pt>
                <c:pt idx="2">
                  <c:v>1.0000000000000001E-5</c:v>
                </c:pt>
                <c:pt idx="3">
                  <c:v>1.0000000000000001E-5</c:v>
                </c:pt>
                <c:pt idx="4">
                  <c:v>1.0000000000000001E-5</c:v>
                </c:pt>
                <c:pt idx="5">
                  <c:v>1.0000000000000001E-5</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A-D221-4739-BAC9-365443BA0378}"/>
            </c:ext>
          </c:extLst>
        </c:ser>
        <c:ser>
          <c:idx val="3"/>
          <c:order val="3"/>
          <c:tx>
            <c:v>1.00E-04</c:v>
          </c:tx>
          <c:spPr>
            <a:ln w="28575" cap="rnd">
              <a:solidFill>
                <a:srgbClr val="FF0000"/>
              </a:solidFill>
              <a:round/>
            </a:ln>
            <a:effectLst/>
          </c:spPr>
          <c:marker>
            <c:symbol val="none"/>
          </c:marker>
          <c:xVal>
            <c:numRef>
              <c:f>'Look-up Values'!$D$18:$D$23</c:f>
              <c:numCache>
                <c:formatCode>General</c:formatCode>
                <c:ptCount val="6"/>
                <c:pt idx="0">
                  <c:v>1E-4</c:v>
                </c:pt>
                <c:pt idx="1">
                  <c:v>1E-4</c:v>
                </c:pt>
                <c:pt idx="2">
                  <c:v>1E-4</c:v>
                </c:pt>
                <c:pt idx="3">
                  <c:v>1E-4</c:v>
                </c:pt>
                <c:pt idx="4">
                  <c:v>1E-4</c:v>
                </c:pt>
                <c:pt idx="5">
                  <c:v>1E-4</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B-D221-4739-BAC9-365443BA0378}"/>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'Dry Cleaning Model'!$C$86</c:f>
          <c:strCache>
            <c:ptCount val="1"/>
            <c:pt idx="0">
              <c:v>95th Percentile Cancer Risk Estimates</c:v>
            </c:pt>
          </c:strCache>
        </c:strRef>
      </c:tx>
      <c:layout>
        <c:manualLayout>
          <c:xMode val="edge"/>
          <c:yMode val="edge"/>
          <c:x val="0.21888413781850347"/>
          <c:y val="2.60518146960513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8005457340963504"/>
          <c:h val="0.58920985270720716"/>
        </c:manualLayout>
      </c:layout>
      <c:barChart>
        <c:barDir val="bar"/>
        <c:grouping val="stacked"/>
        <c:varyColors val="0"/>
        <c:ser>
          <c:idx val="0"/>
          <c:order val="0"/>
          <c:tx>
            <c:v>Cancer risk</c:v>
          </c:tx>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5924-4137-9CFD-298E1AF73595}"/>
              </c:ext>
            </c:extLst>
          </c:dPt>
          <c:dPt>
            <c:idx val="1"/>
            <c:invertIfNegative val="0"/>
            <c:bubble3D val="0"/>
            <c:spPr>
              <a:solidFill>
                <a:srgbClr val="00B0F0"/>
              </a:solidFill>
              <a:ln>
                <a:noFill/>
              </a:ln>
              <a:effectLst/>
            </c:spPr>
            <c:extLst>
              <c:ext xmlns:c16="http://schemas.microsoft.com/office/drawing/2014/chart" uri="{C3380CC4-5D6E-409C-BE32-E72D297353CC}">
                <c16:uniqueId val="{00000003-5924-4137-9CFD-298E1AF73595}"/>
              </c:ext>
            </c:extLst>
          </c:dPt>
          <c:dPt>
            <c:idx val="2"/>
            <c:invertIfNegative val="0"/>
            <c:bubble3D val="0"/>
            <c:spPr>
              <a:solidFill>
                <a:srgbClr val="00B0F0"/>
              </a:solidFill>
              <a:ln>
                <a:noFill/>
              </a:ln>
              <a:effectLst/>
            </c:spPr>
            <c:extLst>
              <c:ext xmlns:c16="http://schemas.microsoft.com/office/drawing/2014/chart" uri="{C3380CC4-5D6E-409C-BE32-E72D297353CC}">
                <c16:uniqueId val="{00000005-5924-4137-9CFD-298E1AF73595}"/>
              </c:ext>
            </c:extLst>
          </c:dPt>
          <c:dPt>
            <c:idx val="3"/>
            <c:invertIfNegative val="0"/>
            <c:bubble3D val="0"/>
            <c:spPr>
              <a:solidFill>
                <a:srgbClr val="0070C0"/>
              </a:solidFill>
              <a:ln>
                <a:noFill/>
              </a:ln>
              <a:effectLst/>
            </c:spPr>
            <c:extLst>
              <c:ext xmlns:c16="http://schemas.microsoft.com/office/drawing/2014/chart" uri="{C3380CC4-5D6E-409C-BE32-E72D297353CC}">
                <c16:uniqueId val="{00000007-5924-4137-9CFD-298E1AF73595}"/>
              </c:ext>
            </c:extLst>
          </c:dPt>
          <c:cat>
            <c:multiLvlStrRef>
              <c:f>'Dry Cleaning Model'!$C$87:$C$92</c:f>
            </c:multiLvlStrRef>
          </c:cat>
          <c:val>
            <c:numRef>
              <c:f>'Dry Cleaning Model'!$D$87:$D$92</c:f>
            </c:numRef>
          </c:val>
          <c:extLst>
            <c:ext xmlns:c16="http://schemas.microsoft.com/office/drawing/2014/chart" uri="{C3380CC4-5D6E-409C-BE32-E72D297353CC}">
              <c16:uniqueId val="{00000008-5924-4137-9CFD-298E1AF73595}"/>
            </c:ext>
          </c:extLst>
        </c:ser>
        <c:dLbls>
          <c:showLegendKey val="0"/>
          <c:showVal val="0"/>
          <c:showCatName val="0"/>
          <c:showSerName val="0"/>
          <c:showPercent val="0"/>
          <c:showBubbleSize val="0"/>
        </c:dLbls>
        <c:gapWidth val="182"/>
        <c:overlap val="100"/>
        <c:axId val="580062808"/>
        <c:axId val="580066744"/>
      </c:barChart>
      <c:scatterChart>
        <c:scatterStyle val="lineMarker"/>
        <c:varyColors val="0"/>
        <c:ser>
          <c:idx val="1"/>
          <c:order val="1"/>
          <c:tx>
            <c:v>1.00E-06</c:v>
          </c:tx>
          <c:spPr>
            <a:ln w="28575" cap="rnd">
              <a:solidFill>
                <a:srgbClr val="FF0000"/>
              </a:solidFill>
              <a:round/>
            </a:ln>
            <a:effectLst/>
          </c:spPr>
          <c:marker>
            <c:symbol val="none"/>
          </c:marker>
          <c:xVal>
            <c:numRef>
              <c:f>'Look-up Values'!$B$18:$B$23</c:f>
              <c:numCache>
                <c:formatCode>General</c:formatCode>
                <c:ptCount val="6"/>
                <c:pt idx="0">
                  <c:v>9.9999999999999995E-7</c:v>
                </c:pt>
                <c:pt idx="1">
                  <c:v>9.9999999999999995E-7</c:v>
                </c:pt>
                <c:pt idx="2">
                  <c:v>9.9999999999999995E-7</c:v>
                </c:pt>
                <c:pt idx="3">
                  <c:v>9.9999999999999995E-7</c:v>
                </c:pt>
                <c:pt idx="4">
                  <c:v>9.9999999999999995E-7</c:v>
                </c:pt>
                <c:pt idx="5">
                  <c:v>9.9999999999999995E-7</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9-5924-4137-9CFD-298E1AF73595}"/>
            </c:ext>
          </c:extLst>
        </c:ser>
        <c:ser>
          <c:idx val="2"/>
          <c:order val="2"/>
          <c:tx>
            <c:v>1.00E-05</c:v>
          </c:tx>
          <c:spPr>
            <a:ln w="28575" cap="rnd">
              <a:solidFill>
                <a:srgbClr val="FF0000"/>
              </a:solidFill>
              <a:round/>
            </a:ln>
            <a:effectLst/>
          </c:spPr>
          <c:marker>
            <c:symbol val="none"/>
          </c:marker>
          <c:xVal>
            <c:numRef>
              <c:f>'Look-up Values'!$C$18:$C$23</c:f>
              <c:numCache>
                <c:formatCode>General</c:formatCode>
                <c:ptCount val="6"/>
                <c:pt idx="0">
                  <c:v>1.0000000000000001E-5</c:v>
                </c:pt>
                <c:pt idx="1">
                  <c:v>1.0000000000000001E-5</c:v>
                </c:pt>
                <c:pt idx="2">
                  <c:v>1.0000000000000001E-5</c:v>
                </c:pt>
                <c:pt idx="3">
                  <c:v>1.0000000000000001E-5</c:v>
                </c:pt>
                <c:pt idx="4">
                  <c:v>1.0000000000000001E-5</c:v>
                </c:pt>
                <c:pt idx="5">
                  <c:v>1.0000000000000001E-5</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A-5924-4137-9CFD-298E1AF73595}"/>
            </c:ext>
          </c:extLst>
        </c:ser>
        <c:ser>
          <c:idx val="3"/>
          <c:order val="3"/>
          <c:tx>
            <c:v>1.00E-04</c:v>
          </c:tx>
          <c:spPr>
            <a:ln w="28575" cap="rnd">
              <a:solidFill>
                <a:srgbClr val="FF0000"/>
              </a:solidFill>
              <a:round/>
            </a:ln>
            <a:effectLst/>
          </c:spPr>
          <c:marker>
            <c:symbol val="none"/>
          </c:marker>
          <c:xVal>
            <c:numRef>
              <c:f>'Look-up Values'!$D$18:$D$23</c:f>
              <c:numCache>
                <c:formatCode>General</c:formatCode>
                <c:ptCount val="6"/>
                <c:pt idx="0">
                  <c:v>1E-4</c:v>
                </c:pt>
                <c:pt idx="1">
                  <c:v>1E-4</c:v>
                </c:pt>
                <c:pt idx="2">
                  <c:v>1E-4</c:v>
                </c:pt>
                <c:pt idx="3">
                  <c:v>1E-4</c:v>
                </c:pt>
                <c:pt idx="4">
                  <c:v>1E-4</c:v>
                </c:pt>
                <c:pt idx="5">
                  <c:v>1E-4</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B-5924-4137-9CFD-298E1AF73595}"/>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'Dry Cleaning Model'!$C$95</c:f>
          <c:strCache>
            <c:ptCount val="1"/>
            <c:pt idx="0">
              <c:v>50th Percentile Cancer Risk Estimates</c:v>
            </c:pt>
          </c:strCache>
        </c:strRef>
      </c:tx>
      <c:layout>
        <c:manualLayout>
          <c:xMode val="edge"/>
          <c:yMode val="edge"/>
          <c:x val="0.21888413781850347"/>
          <c:y val="2.60518146960513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8005457340963504"/>
          <c:h val="0.58920985270720716"/>
        </c:manualLayout>
      </c:layout>
      <c:barChart>
        <c:barDir val="bar"/>
        <c:grouping val="stacked"/>
        <c:varyColors val="0"/>
        <c:ser>
          <c:idx val="0"/>
          <c:order val="0"/>
          <c:tx>
            <c:v>Cancer risk</c:v>
          </c:tx>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A95-4C6E-8548-7A0B1F0F1DB8}"/>
              </c:ext>
            </c:extLst>
          </c:dPt>
          <c:dPt>
            <c:idx val="1"/>
            <c:invertIfNegative val="0"/>
            <c:bubble3D val="0"/>
            <c:spPr>
              <a:solidFill>
                <a:srgbClr val="00B0F0"/>
              </a:solidFill>
              <a:ln>
                <a:noFill/>
              </a:ln>
              <a:effectLst/>
            </c:spPr>
            <c:extLst>
              <c:ext xmlns:c16="http://schemas.microsoft.com/office/drawing/2014/chart" uri="{C3380CC4-5D6E-409C-BE32-E72D297353CC}">
                <c16:uniqueId val="{00000003-1A95-4C6E-8548-7A0B1F0F1DB8}"/>
              </c:ext>
            </c:extLst>
          </c:dPt>
          <c:dPt>
            <c:idx val="2"/>
            <c:invertIfNegative val="0"/>
            <c:bubble3D val="0"/>
            <c:spPr>
              <a:solidFill>
                <a:srgbClr val="00B0F0"/>
              </a:solidFill>
              <a:ln>
                <a:noFill/>
              </a:ln>
              <a:effectLst/>
            </c:spPr>
            <c:extLst>
              <c:ext xmlns:c16="http://schemas.microsoft.com/office/drawing/2014/chart" uri="{C3380CC4-5D6E-409C-BE32-E72D297353CC}">
                <c16:uniqueId val="{00000005-1A95-4C6E-8548-7A0B1F0F1DB8}"/>
              </c:ext>
            </c:extLst>
          </c:dPt>
          <c:dPt>
            <c:idx val="3"/>
            <c:invertIfNegative val="0"/>
            <c:bubble3D val="0"/>
            <c:spPr>
              <a:solidFill>
                <a:srgbClr val="0070C0"/>
              </a:solidFill>
              <a:ln>
                <a:noFill/>
              </a:ln>
              <a:effectLst/>
            </c:spPr>
            <c:extLst>
              <c:ext xmlns:c16="http://schemas.microsoft.com/office/drawing/2014/chart" uri="{C3380CC4-5D6E-409C-BE32-E72D297353CC}">
                <c16:uniqueId val="{00000007-1A95-4C6E-8548-7A0B1F0F1DB8}"/>
              </c:ext>
            </c:extLst>
          </c:dPt>
          <c:cat>
            <c:multiLvlStrRef>
              <c:f>'Dry Cleaning Model'!$C$96:$C$101</c:f>
            </c:multiLvlStrRef>
          </c:cat>
          <c:val>
            <c:numRef>
              <c:f>'Dry Cleaning Model'!$D$96:$D$101</c:f>
            </c:numRef>
          </c:val>
          <c:extLst>
            <c:ext xmlns:c16="http://schemas.microsoft.com/office/drawing/2014/chart" uri="{C3380CC4-5D6E-409C-BE32-E72D297353CC}">
              <c16:uniqueId val="{00000008-1A95-4C6E-8548-7A0B1F0F1DB8}"/>
            </c:ext>
          </c:extLst>
        </c:ser>
        <c:dLbls>
          <c:showLegendKey val="0"/>
          <c:showVal val="0"/>
          <c:showCatName val="0"/>
          <c:showSerName val="0"/>
          <c:showPercent val="0"/>
          <c:showBubbleSize val="0"/>
        </c:dLbls>
        <c:gapWidth val="182"/>
        <c:overlap val="100"/>
        <c:axId val="580062808"/>
        <c:axId val="580066744"/>
      </c:barChart>
      <c:scatterChart>
        <c:scatterStyle val="lineMarker"/>
        <c:varyColors val="0"/>
        <c:ser>
          <c:idx val="1"/>
          <c:order val="1"/>
          <c:tx>
            <c:v>1.00E-06</c:v>
          </c:tx>
          <c:spPr>
            <a:ln w="28575" cap="rnd">
              <a:solidFill>
                <a:srgbClr val="FF0000"/>
              </a:solidFill>
              <a:round/>
            </a:ln>
            <a:effectLst/>
          </c:spPr>
          <c:marker>
            <c:symbol val="none"/>
          </c:marker>
          <c:xVal>
            <c:numRef>
              <c:f>'Look-up Values'!$B$18:$B$23</c:f>
              <c:numCache>
                <c:formatCode>General</c:formatCode>
                <c:ptCount val="6"/>
                <c:pt idx="0">
                  <c:v>9.9999999999999995E-7</c:v>
                </c:pt>
                <c:pt idx="1">
                  <c:v>9.9999999999999995E-7</c:v>
                </c:pt>
                <c:pt idx="2">
                  <c:v>9.9999999999999995E-7</c:v>
                </c:pt>
                <c:pt idx="3">
                  <c:v>9.9999999999999995E-7</c:v>
                </c:pt>
                <c:pt idx="4">
                  <c:v>9.9999999999999995E-7</c:v>
                </c:pt>
                <c:pt idx="5">
                  <c:v>9.9999999999999995E-7</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9-1A95-4C6E-8548-7A0B1F0F1DB8}"/>
            </c:ext>
          </c:extLst>
        </c:ser>
        <c:ser>
          <c:idx val="2"/>
          <c:order val="2"/>
          <c:tx>
            <c:v>1.00E-05</c:v>
          </c:tx>
          <c:spPr>
            <a:ln w="28575" cap="rnd">
              <a:solidFill>
                <a:srgbClr val="FF0000"/>
              </a:solidFill>
              <a:round/>
            </a:ln>
            <a:effectLst/>
          </c:spPr>
          <c:marker>
            <c:symbol val="none"/>
          </c:marker>
          <c:xVal>
            <c:numRef>
              <c:f>'Look-up Values'!$C$18:$C$23</c:f>
              <c:numCache>
                <c:formatCode>General</c:formatCode>
                <c:ptCount val="6"/>
                <c:pt idx="0">
                  <c:v>1.0000000000000001E-5</c:v>
                </c:pt>
                <c:pt idx="1">
                  <c:v>1.0000000000000001E-5</c:v>
                </c:pt>
                <c:pt idx="2">
                  <c:v>1.0000000000000001E-5</c:v>
                </c:pt>
                <c:pt idx="3">
                  <c:v>1.0000000000000001E-5</c:v>
                </c:pt>
                <c:pt idx="4">
                  <c:v>1.0000000000000001E-5</c:v>
                </c:pt>
                <c:pt idx="5">
                  <c:v>1.0000000000000001E-5</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A-1A95-4C6E-8548-7A0B1F0F1DB8}"/>
            </c:ext>
          </c:extLst>
        </c:ser>
        <c:ser>
          <c:idx val="3"/>
          <c:order val="3"/>
          <c:tx>
            <c:v>1.00E-04</c:v>
          </c:tx>
          <c:spPr>
            <a:ln w="28575" cap="rnd">
              <a:solidFill>
                <a:srgbClr val="FF0000"/>
              </a:solidFill>
              <a:round/>
            </a:ln>
            <a:effectLst/>
          </c:spPr>
          <c:marker>
            <c:symbol val="none"/>
          </c:marker>
          <c:xVal>
            <c:numRef>
              <c:f>'Look-up Values'!$D$18:$D$23</c:f>
              <c:numCache>
                <c:formatCode>General</c:formatCode>
                <c:ptCount val="6"/>
                <c:pt idx="0">
                  <c:v>1E-4</c:v>
                </c:pt>
                <c:pt idx="1">
                  <c:v>1E-4</c:v>
                </c:pt>
                <c:pt idx="2">
                  <c:v>1E-4</c:v>
                </c:pt>
                <c:pt idx="3">
                  <c:v>1E-4</c:v>
                </c:pt>
                <c:pt idx="4">
                  <c:v>1E-4</c:v>
                </c:pt>
                <c:pt idx="5">
                  <c:v>1E-4</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B-1A95-4C6E-8548-7A0B1F0F1DB8}"/>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Summary of Inhalation Cancer Risks (Central tendency)</a:t>
            </a:r>
            <a:endParaRPr lang="en-US" sz="1400">
              <a:effectLst/>
            </a:endParaRPr>
          </a:p>
        </c:rich>
      </c:tx>
      <c:layout>
        <c:manualLayout>
          <c:xMode val="edge"/>
          <c:yMode val="edge"/>
          <c:x val="0.2829197095046031"/>
          <c:y val="2.00791539464233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7.0374819792329735E-2"/>
          <c:w val="0.68005457340963504"/>
          <c:h val="0.89217506492584076"/>
        </c:manualLayout>
      </c:layout>
      <c:barChart>
        <c:barDir val="bar"/>
        <c:grouping val="stacked"/>
        <c:varyColors val="0"/>
        <c:ser>
          <c:idx val="0"/>
          <c:order val="0"/>
          <c:tx>
            <c:strRef>
              <c:f>'Cancer Inhal Table'!$K$3</c:f>
              <c:strCache>
                <c:ptCount val="1"/>
                <c:pt idx="0">
                  <c:v>Central tendency</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21BF-4ABE-989B-4FF53EE79BEA}"/>
              </c:ext>
            </c:extLst>
          </c:dPt>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21BF-4ABE-989B-4FF53EE79BEA}"/>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1BF-4ABE-989B-4FF53EE79BEA}"/>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21BF-4ABE-989B-4FF53EE79BEA}"/>
              </c:ext>
            </c:extLst>
          </c:dPt>
          <c:cat>
            <c:strRef>
              <c:f>'Cancer Inhal Table'!$C$4:$C$41</c:f>
              <c:strCache>
                <c:ptCount val="38"/>
                <c:pt idx="0">
                  <c:v>Mfg, Worker (Monitoring)</c:v>
                </c:pt>
                <c:pt idx="1">
                  <c:v>Import, Worker (Model)</c:v>
                </c:pt>
                <c:pt idx="2">
                  <c:v>Processing - Inc. into Form., Worker (Monitoring)</c:v>
                </c:pt>
                <c:pt idx="3">
                  <c:v>Processing - Inc. into Form., ONU (Monitoring)</c:v>
                </c:pt>
                <c:pt idx="4">
                  <c:v>Vapor Degreasing, Open-Top, Worker (Monitoring)</c:v>
                </c:pt>
                <c:pt idx="5">
                  <c:v>Vapor Degreasing, Open-Top, ONU (Monitoring)</c:v>
                </c:pt>
                <c:pt idx="6">
                  <c:v>Vapor Degreasing, Open-Top, Worker (Model Pre-EC)</c:v>
                </c:pt>
                <c:pt idx="7">
                  <c:v>Vapor Degreasing, Open-Top, Worker (Model Post-EC)</c:v>
                </c:pt>
                <c:pt idx="8">
                  <c:v>Vapor Degreasing, Open-Top, ONU (Model Pre-EC)</c:v>
                </c:pt>
                <c:pt idx="9">
                  <c:v>Vapor Degreasing, Open-Top, ONU (Model Post-EC)</c:v>
                </c:pt>
                <c:pt idx="10">
                  <c:v>Vapor Degreasing, Closed-Loop, Worker (Model)</c:v>
                </c:pt>
                <c:pt idx="11">
                  <c:v>Vapor Degreasing, Closed-Loop, ONU (Model)</c:v>
                </c:pt>
                <c:pt idx="12">
                  <c:v>Cold Cleaning, Worker (Monitoring)</c:v>
                </c:pt>
                <c:pt idx="13">
                  <c:v>Cold Cleaning, ONU (Monitoring)</c:v>
                </c:pt>
                <c:pt idx="14">
                  <c:v>Cold Cleaning, Worker (Model)</c:v>
                </c:pt>
                <c:pt idx="15">
                  <c:v>Cold Cleaning, ONU (Model)</c:v>
                </c:pt>
                <c:pt idx="16">
                  <c:v>Aerosol Degreasing, Worker (Monitoring, Pre-EC)</c:v>
                </c:pt>
                <c:pt idx="17">
                  <c:v>Aerosol Degreasing, Worker (Monitoring, Post-EC)</c:v>
                </c:pt>
                <c:pt idx="18">
                  <c:v>Aerosol Degreasing, Worker (Model)</c:v>
                </c:pt>
                <c:pt idx="19">
                  <c:v>Aerosol Degreasing, ONU (Model)</c:v>
                </c:pt>
                <c:pt idx="20">
                  <c:v>Spray Adhesive, Sprayer (Monitoring, Pre-EC)</c:v>
                </c:pt>
                <c:pt idx="21">
                  <c:v>Spray Adhesive, Sprayer (Monitoring, Post-EC)</c:v>
                </c:pt>
                <c:pt idx="22">
                  <c:v>Spray Adhesive, Non-Sprayer (Monitoring, Pre-EC)</c:v>
                </c:pt>
                <c:pt idx="23">
                  <c:v>Spray Adhesive, Non-Sprayer (Monitoring, Post-EC)</c:v>
                </c:pt>
                <c:pt idx="24">
                  <c:v>Spray Adhesive, ONU (Monitoring, Pre-EC)</c:v>
                </c:pt>
                <c:pt idx="25">
                  <c:v>Spray Adhesive, ONU (Monitoring, Post-EC)</c:v>
                </c:pt>
                <c:pt idx="26">
                  <c:v>Dry Cleaning, Worker (Monitoring)</c:v>
                </c:pt>
                <c:pt idx="27">
                  <c:v>Dry Cleaning, ONU (Monitoring)</c:v>
                </c:pt>
                <c:pt idx="28">
                  <c:v>Dry Cleaning, Spotter (Model, 3rd Gen)</c:v>
                </c:pt>
                <c:pt idx="29">
                  <c:v>Dry Cleaning, Machine (Model, 3rd Gen)</c:v>
                </c:pt>
                <c:pt idx="30">
                  <c:v>Dry Cleaning, ONU (Model, 3rd Gen)</c:v>
                </c:pt>
                <c:pt idx="31">
                  <c:v>Dry Cleaning, Spotter (Model, 4th Gen)</c:v>
                </c:pt>
                <c:pt idx="32">
                  <c:v>Dry Cleaning, Spotter (Model, 4th Gen)</c:v>
                </c:pt>
                <c:pt idx="33">
                  <c:v>Dry Cleaning, Machine (Model, 4th Gen)</c:v>
                </c:pt>
                <c:pt idx="34">
                  <c:v>Spot Cleaning, Worker (Monitoring)</c:v>
                </c:pt>
                <c:pt idx="35">
                  <c:v>Spot Cleaning, Worker (Model)</c:v>
                </c:pt>
                <c:pt idx="36">
                  <c:v>Spot Cleaning, ONU (Model)</c:v>
                </c:pt>
                <c:pt idx="37">
                  <c:v>Disposal, Worker (Model)</c:v>
                </c:pt>
              </c:strCache>
            </c:strRef>
          </c:cat>
          <c:val>
            <c:numRef>
              <c:f>'Cancer Inhal Table'!$K$4:$K$41</c:f>
              <c:numCache>
                <c:formatCode>0.0E+00</c:formatCode>
                <c:ptCount val="38"/>
                <c:pt idx="0">
                  <c:v>1.4307692307692307E-4</c:v>
                </c:pt>
                <c:pt idx="1">
                  <c:v>6.0850537500703602E-6</c:v>
                </c:pt>
                <c:pt idx="2">
                  <c:v>1.1446153846153847E-2</c:v>
                </c:pt>
                <c:pt idx="3">
                  <c:v>2.4641025641025644E-4</c:v>
                </c:pt>
                <c:pt idx="4">
                  <c:v>1.0651282051282051E-2</c:v>
                </c:pt>
                <c:pt idx="5">
                  <c:v>1.5897435897435896E-4</c:v>
                </c:pt>
                <c:pt idx="6">
                  <c:v>2.8166083760542129E-3</c:v>
                </c:pt>
                <c:pt idx="7">
                  <c:v>2.8166083760542126E-4</c:v>
                </c:pt>
                <c:pt idx="8">
                  <c:v>1.4856885722110214E-3</c:v>
                </c:pt>
                <c:pt idx="9">
                  <c:v>1.4856885722110214E-4</c:v>
                </c:pt>
                <c:pt idx="10">
                  <c:v>5.6332167521084253E-5</c:v>
                </c:pt>
                <c:pt idx="11">
                  <c:v>2.9713771444220429E-5</c:v>
                </c:pt>
                <c:pt idx="12">
                  <c:v>6.8358974358974358E-3</c:v>
                </c:pt>
                <c:pt idx="13">
                  <c:v>4.1333333333333335E-3</c:v>
                </c:pt>
                <c:pt idx="14">
                  <c:v>8.2320894237686141E-4</c:v>
                </c:pt>
                <c:pt idx="15">
                  <c:v>4.3289529366010918E-4</c:v>
                </c:pt>
                <c:pt idx="16">
                  <c:v>2.5515384615384617E-2</c:v>
                </c:pt>
                <c:pt idx="17">
                  <c:v>8.7435897435897431E-3</c:v>
                </c:pt>
                <c:pt idx="18">
                  <c:v>9.5199999999999989E-3</c:v>
                </c:pt>
                <c:pt idx="19">
                  <c:v>1.6000000000000001E-4</c:v>
                </c:pt>
                <c:pt idx="20">
                  <c:v>0.2111179487179487</c:v>
                </c:pt>
                <c:pt idx="21">
                  <c:v>2.8313333333333329E-2</c:v>
                </c:pt>
                <c:pt idx="22">
                  <c:v>0.2022153846153846</c:v>
                </c:pt>
                <c:pt idx="23">
                  <c:v>2.8615384615384619E-2</c:v>
                </c:pt>
                <c:pt idx="24">
                  <c:v>4.7692307692307695E-3</c:v>
                </c:pt>
                <c:pt idx="25">
                  <c:v>3.1794871794871794E-3</c:v>
                </c:pt>
                <c:pt idx="26">
                  <c:v>4.6714615384615389E-2</c:v>
                </c:pt>
                <c:pt idx="27">
                  <c:v>1.9180256410256412E-2</c:v>
                </c:pt>
                <c:pt idx="28">
                  <c:v>1.5745507849587571E-3</c:v>
                </c:pt>
                <c:pt idx="29">
                  <c:v>7.5444008745928909E-3</c:v>
                </c:pt>
                <c:pt idx="30">
                  <c:v>9.7078575963957547E-4</c:v>
                </c:pt>
                <c:pt idx="31">
                  <c:v>1.2818568604192526E-3</c:v>
                </c:pt>
                <c:pt idx="32">
                  <c:v>1.2597371532554285E-3</c:v>
                </c:pt>
                <c:pt idx="33">
                  <c:v>6.9378028902990566E-4</c:v>
                </c:pt>
                <c:pt idx="34">
                  <c:v>1.4307692307692307E-3</c:v>
                </c:pt>
                <c:pt idx="35">
                  <c:v>1.1555588744618023E-3</c:v>
                </c:pt>
                <c:pt idx="36">
                  <c:v>5.8166150371387175E-4</c:v>
                </c:pt>
                <c:pt idx="37">
                  <c:v>6.0850537500703602E-6</c:v>
                </c:pt>
              </c:numCache>
            </c:numRef>
          </c:val>
          <c:extLst>
            <c:ext xmlns:c16="http://schemas.microsoft.com/office/drawing/2014/chart" uri="{C3380CC4-5D6E-409C-BE32-E72D297353CC}">
              <c16:uniqueId val="{00000008-21BF-4ABE-989B-4FF53EE79BEA}"/>
            </c:ext>
          </c:extLst>
        </c:ser>
        <c:dLbls>
          <c:showLegendKey val="0"/>
          <c:showVal val="0"/>
          <c:showCatName val="0"/>
          <c:showSerName val="0"/>
          <c:showPercent val="0"/>
          <c:showBubbleSize val="0"/>
        </c:dLbls>
        <c:gapWidth val="182"/>
        <c:overlap val="100"/>
        <c:axId val="580062808"/>
        <c:axId val="580066744"/>
      </c:barChart>
      <c:scatterChart>
        <c:scatterStyle val="lineMarker"/>
        <c:varyColors val="0"/>
        <c:ser>
          <c:idx val="1"/>
          <c:order val="1"/>
          <c:tx>
            <c:v>1.00E-06</c:v>
          </c:tx>
          <c:spPr>
            <a:ln w="28575" cap="rnd">
              <a:solidFill>
                <a:srgbClr val="FF0000"/>
              </a:solidFill>
              <a:round/>
            </a:ln>
            <a:effectLst/>
          </c:spPr>
          <c:marker>
            <c:symbol val="none"/>
          </c:marker>
          <c:xVal>
            <c:numRef>
              <c:f>'Look-up Values'!$B$18:$B$23</c:f>
              <c:numCache>
                <c:formatCode>General</c:formatCode>
                <c:ptCount val="6"/>
                <c:pt idx="0">
                  <c:v>9.9999999999999995E-7</c:v>
                </c:pt>
                <c:pt idx="1">
                  <c:v>9.9999999999999995E-7</c:v>
                </c:pt>
                <c:pt idx="2">
                  <c:v>9.9999999999999995E-7</c:v>
                </c:pt>
                <c:pt idx="3">
                  <c:v>9.9999999999999995E-7</c:v>
                </c:pt>
                <c:pt idx="4">
                  <c:v>9.9999999999999995E-7</c:v>
                </c:pt>
                <c:pt idx="5">
                  <c:v>9.9999999999999995E-7</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9-21BF-4ABE-989B-4FF53EE79BEA}"/>
            </c:ext>
          </c:extLst>
        </c:ser>
        <c:ser>
          <c:idx val="2"/>
          <c:order val="2"/>
          <c:tx>
            <c:v>1.00E-05</c:v>
          </c:tx>
          <c:spPr>
            <a:ln w="28575" cap="rnd">
              <a:solidFill>
                <a:srgbClr val="FF0000"/>
              </a:solidFill>
              <a:round/>
            </a:ln>
            <a:effectLst/>
          </c:spPr>
          <c:marker>
            <c:symbol val="none"/>
          </c:marker>
          <c:xVal>
            <c:numRef>
              <c:f>'Look-up Values'!$C$18:$C$23</c:f>
              <c:numCache>
                <c:formatCode>General</c:formatCode>
                <c:ptCount val="6"/>
                <c:pt idx="0">
                  <c:v>1.0000000000000001E-5</c:v>
                </c:pt>
                <c:pt idx="1">
                  <c:v>1.0000000000000001E-5</c:v>
                </c:pt>
                <c:pt idx="2">
                  <c:v>1.0000000000000001E-5</c:v>
                </c:pt>
                <c:pt idx="3">
                  <c:v>1.0000000000000001E-5</c:v>
                </c:pt>
                <c:pt idx="4">
                  <c:v>1.0000000000000001E-5</c:v>
                </c:pt>
                <c:pt idx="5">
                  <c:v>1.0000000000000001E-5</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A-21BF-4ABE-989B-4FF53EE79BEA}"/>
            </c:ext>
          </c:extLst>
        </c:ser>
        <c:ser>
          <c:idx val="3"/>
          <c:order val="3"/>
          <c:tx>
            <c:v>1.00E-04</c:v>
          </c:tx>
          <c:spPr>
            <a:ln w="28575" cap="rnd">
              <a:solidFill>
                <a:srgbClr val="FF0000"/>
              </a:solidFill>
              <a:round/>
            </a:ln>
            <a:effectLst/>
          </c:spPr>
          <c:marker>
            <c:symbol val="none"/>
          </c:marker>
          <c:xVal>
            <c:numRef>
              <c:f>'Look-up Values'!$D$18:$D$23</c:f>
              <c:numCache>
                <c:formatCode>General</c:formatCode>
                <c:ptCount val="6"/>
                <c:pt idx="0">
                  <c:v>1E-4</c:v>
                </c:pt>
                <c:pt idx="1">
                  <c:v>1E-4</c:v>
                </c:pt>
                <c:pt idx="2">
                  <c:v>1E-4</c:v>
                </c:pt>
                <c:pt idx="3">
                  <c:v>1E-4</c:v>
                </c:pt>
                <c:pt idx="4">
                  <c:v>1E-4</c:v>
                </c:pt>
                <c:pt idx="5">
                  <c:v>1E-4</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B-21BF-4ABE-989B-4FF53EE79BEA}"/>
            </c:ext>
          </c:extLst>
        </c:ser>
        <c:dLbls>
          <c:showLegendKey val="0"/>
          <c:showVal val="0"/>
          <c:showCatName val="0"/>
          <c:showSerName val="0"/>
          <c:showPercent val="0"/>
          <c:showBubbleSize val="0"/>
        </c:dLbls>
        <c:axId val="599810312"/>
        <c:axId val="599814248"/>
      </c:scatterChart>
      <c:catAx>
        <c:axId val="580062808"/>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t"/>
        <c:majorGridlines>
          <c:spPr>
            <a:ln w="9525" cap="flat" cmpd="sng" algn="ctr">
              <a:solidFill>
                <a:schemeClr val="tx1">
                  <a:lumMod val="15000"/>
                  <a:lumOff val="85000"/>
                </a:schemeClr>
              </a:solidFill>
              <a:round/>
            </a:ln>
            <a:effectLst/>
          </c:spPr>
        </c:majorGridlines>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Summary</a:t>
            </a:r>
            <a:r>
              <a:rPr lang="en-US" b="1" baseline="0"/>
              <a:t> of </a:t>
            </a:r>
            <a:r>
              <a:rPr lang="en-US" b="1"/>
              <a:t>Inhalation Cancer Risks (High-end)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5.9563862398234149E-2"/>
          <c:w val="0.68005457340963504"/>
          <c:h val="0.90298606333609666"/>
        </c:manualLayout>
      </c:layout>
      <c:barChart>
        <c:barDir val="bar"/>
        <c:grouping val="stacked"/>
        <c:varyColors val="0"/>
        <c:ser>
          <c:idx val="0"/>
          <c:order val="0"/>
          <c:tx>
            <c:strRef>
              <c:f>'Cancer Inhal Table'!$L$3</c:f>
              <c:strCache>
                <c:ptCount val="1"/>
                <c:pt idx="0">
                  <c:v>High-end</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6FA0-40FB-92D5-359E102DACB4}"/>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FA0-40FB-92D5-359E102DACB4}"/>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6FA0-40FB-92D5-359E102DACB4}"/>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7-6FA0-40FB-92D5-359E102DACB4}"/>
              </c:ext>
            </c:extLst>
          </c:dPt>
          <c:cat>
            <c:strRef>
              <c:f>'Cancer Inhal Table'!$C$4:$C$41</c:f>
              <c:strCache>
                <c:ptCount val="38"/>
                <c:pt idx="0">
                  <c:v>Mfg, Worker (Monitoring)</c:v>
                </c:pt>
                <c:pt idx="1">
                  <c:v>Import, Worker (Model)</c:v>
                </c:pt>
                <c:pt idx="2">
                  <c:v>Processing - Inc. into Form., Worker (Monitoring)</c:v>
                </c:pt>
                <c:pt idx="3">
                  <c:v>Processing - Inc. into Form., ONU (Monitoring)</c:v>
                </c:pt>
                <c:pt idx="4">
                  <c:v>Vapor Degreasing, Open-Top, Worker (Monitoring)</c:v>
                </c:pt>
                <c:pt idx="5">
                  <c:v>Vapor Degreasing, Open-Top, ONU (Monitoring)</c:v>
                </c:pt>
                <c:pt idx="6">
                  <c:v>Vapor Degreasing, Open-Top, Worker (Model Pre-EC)</c:v>
                </c:pt>
                <c:pt idx="7">
                  <c:v>Vapor Degreasing, Open-Top, Worker (Model Post-EC)</c:v>
                </c:pt>
                <c:pt idx="8">
                  <c:v>Vapor Degreasing, Open-Top, ONU (Model Pre-EC)</c:v>
                </c:pt>
                <c:pt idx="9">
                  <c:v>Vapor Degreasing, Open-Top, ONU (Model Post-EC)</c:v>
                </c:pt>
                <c:pt idx="10">
                  <c:v>Vapor Degreasing, Closed-Loop, Worker (Model)</c:v>
                </c:pt>
                <c:pt idx="11">
                  <c:v>Vapor Degreasing, Closed-Loop, ONU (Model)</c:v>
                </c:pt>
                <c:pt idx="12">
                  <c:v>Cold Cleaning, Worker (Monitoring)</c:v>
                </c:pt>
                <c:pt idx="13">
                  <c:v>Cold Cleaning, ONU (Monitoring)</c:v>
                </c:pt>
                <c:pt idx="14">
                  <c:v>Cold Cleaning, Worker (Model)</c:v>
                </c:pt>
                <c:pt idx="15">
                  <c:v>Cold Cleaning, ONU (Model)</c:v>
                </c:pt>
                <c:pt idx="16">
                  <c:v>Aerosol Degreasing, Worker (Monitoring, Pre-EC)</c:v>
                </c:pt>
                <c:pt idx="17">
                  <c:v>Aerosol Degreasing, Worker (Monitoring, Post-EC)</c:v>
                </c:pt>
                <c:pt idx="18">
                  <c:v>Aerosol Degreasing, Worker (Model)</c:v>
                </c:pt>
                <c:pt idx="19">
                  <c:v>Aerosol Degreasing, ONU (Model)</c:v>
                </c:pt>
                <c:pt idx="20">
                  <c:v>Spray Adhesive, Sprayer (Monitoring, Pre-EC)</c:v>
                </c:pt>
                <c:pt idx="21">
                  <c:v>Spray Adhesive, Sprayer (Monitoring, Post-EC)</c:v>
                </c:pt>
                <c:pt idx="22">
                  <c:v>Spray Adhesive, Non-Sprayer (Monitoring, Pre-EC)</c:v>
                </c:pt>
                <c:pt idx="23">
                  <c:v>Spray Adhesive, Non-Sprayer (Monitoring, Post-EC)</c:v>
                </c:pt>
                <c:pt idx="24">
                  <c:v>Spray Adhesive, ONU (Monitoring, Pre-EC)</c:v>
                </c:pt>
                <c:pt idx="25">
                  <c:v>Spray Adhesive, ONU (Monitoring, Post-EC)</c:v>
                </c:pt>
                <c:pt idx="26">
                  <c:v>Dry Cleaning, Worker (Monitoring)</c:v>
                </c:pt>
                <c:pt idx="27">
                  <c:v>Dry Cleaning, ONU (Monitoring)</c:v>
                </c:pt>
                <c:pt idx="28">
                  <c:v>Dry Cleaning, Spotter (Model, 3rd Gen)</c:v>
                </c:pt>
                <c:pt idx="29">
                  <c:v>Dry Cleaning, Machine (Model, 3rd Gen)</c:v>
                </c:pt>
                <c:pt idx="30">
                  <c:v>Dry Cleaning, ONU (Model, 3rd Gen)</c:v>
                </c:pt>
                <c:pt idx="31">
                  <c:v>Dry Cleaning, Spotter (Model, 4th Gen)</c:v>
                </c:pt>
                <c:pt idx="32">
                  <c:v>Dry Cleaning, Spotter (Model, 4th Gen)</c:v>
                </c:pt>
                <c:pt idx="33">
                  <c:v>Dry Cleaning, Machine (Model, 4th Gen)</c:v>
                </c:pt>
                <c:pt idx="34">
                  <c:v>Spot Cleaning, Worker (Monitoring)</c:v>
                </c:pt>
                <c:pt idx="35">
                  <c:v>Spot Cleaning, Worker (Model)</c:v>
                </c:pt>
                <c:pt idx="36">
                  <c:v>Spot Cleaning, ONU (Model)</c:v>
                </c:pt>
                <c:pt idx="37">
                  <c:v>Disposal, Worker (Model)</c:v>
                </c:pt>
              </c:strCache>
            </c:strRef>
          </c:cat>
          <c:val>
            <c:numRef>
              <c:f>'Cancer Inhal Table'!$L$4:$L$41</c:f>
              <c:numCache>
                <c:formatCode>0.0E+00</c:formatCode>
                <c:ptCount val="38"/>
                <c:pt idx="0">
                  <c:v>5.538461538461539E-4</c:v>
                </c:pt>
                <c:pt idx="1">
                  <c:v>1.1638081621684141E-4</c:v>
                </c:pt>
                <c:pt idx="3">
                  <c:v>5.6512820512820514E-4</c:v>
                </c:pt>
                <c:pt idx="4">
                  <c:v>0.10112820512820511</c:v>
                </c:pt>
                <c:pt idx="5">
                  <c:v>9.4358974358974262E-4</c:v>
                </c:pt>
                <c:pt idx="6">
                  <c:v>3.6762482134779707E-2</c:v>
                </c:pt>
                <c:pt idx="7">
                  <c:v>3.676248213477971E-3</c:v>
                </c:pt>
                <c:pt idx="8">
                  <c:v>2.0932687610737119E-2</c:v>
                </c:pt>
                <c:pt idx="9">
                  <c:v>2.0932687610737124E-3</c:v>
                </c:pt>
                <c:pt idx="10">
                  <c:v>7.3524964269559422E-4</c:v>
                </c:pt>
                <c:pt idx="11">
                  <c:v>4.1865375221474238E-4</c:v>
                </c:pt>
                <c:pt idx="12">
                  <c:v>1.5179487179487179E-2</c:v>
                </c:pt>
                <c:pt idx="13">
                  <c:v>5.3333333333333332E-3</c:v>
                </c:pt>
                <c:pt idx="14">
                  <c:v>1.8350406305307425E-2</c:v>
                </c:pt>
                <c:pt idx="15">
                  <c:v>1.0539359453576841E-2</c:v>
                </c:pt>
                <c:pt idx="16">
                  <c:v>6.4717948717948712E-2</c:v>
                </c:pt>
                <c:pt idx="17">
                  <c:v>1.1282051282051283E-2</c:v>
                </c:pt>
                <c:pt idx="18">
                  <c:v>3.6200000000000003E-2</c:v>
                </c:pt>
                <c:pt idx="19">
                  <c:v>1.4399999999999999E-3</c:v>
                </c:pt>
                <c:pt idx="20">
                  <c:v>0.52016410256410262</c:v>
                </c:pt>
                <c:pt idx="21">
                  <c:v>8.5948717948717848E-2</c:v>
                </c:pt>
                <c:pt idx="22">
                  <c:v>0.43251282051282064</c:v>
                </c:pt>
                <c:pt idx="23">
                  <c:v>5.9158974358974346E-2</c:v>
                </c:pt>
                <c:pt idx="24">
                  <c:v>0.26391794871794877</c:v>
                </c:pt>
                <c:pt idx="25">
                  <c:v>1.1241025641025641E-2</c:v>
                </c:pt>
                <c:pt idx="26">
                  <c:v>0.10298051282051281</c:v>
                </c:pt>
                <c:pt idx="27">
                  <c:v>4.2333333333333341E-2</c:v>
                </c:pt>
                <c:pt idx="28">
                  <c:v>4.5798606574311623E-3</c:v>
                </c:pt>
                <c:pt idx="29">
                  <c:v>3.4291140702307349E-2</c:v>
                </c:pt>
                <c:pt idx="30">
                  <c:v>3.7957279121692044E-3</c:v>
                </c:pt>
                <c:pt idx="31">
                  <c:v>3.2894632151118132E-3</c:v>
                </c:pt>
                <c:pt idx="32">
                  <c:v>3.7405137924904422E-3</c:v>
                </c:pt>
                <c:pt idx="33">
                  <c:v>2.3858227714852282E-3</c:v>
                </c:pt>
                <c:pt idx="34">
                  <c:v>9.6923076923076928E-3</c:v>
                </c:pt>
                <c:pt idx="35">
                  <c:v>2.7271998626659986E-3</c:v>
                </c:pt>
                <c:pt idx="36">
                  <c:v>1.7813049838053491E-3</c:v>
                </c:pt>
                <c:pt idx="37">
                  <c:v>1.1638081621684141E-4</c:v>
                </c:pt>
              </c:numCache>
            </c:numRef>
          </c:val>
          <c:extLst>
            <c:ext xmlns:c16="http://schemas.microsoft.com/office/drawing/2014/chart" uri="{C3380CC4-5D6E-409C-BE32-E72D297353CC}">
              <c16:uniqueId val="{00000008-6FA0-40FB-92D5-359E102DACB4}"/>
            </c:ext>
          </c:extLst>
        </c:ser>
        <c:dLbls>
          <c:showLegendKey val="0"/>
          <c:showVal val="0"/>
          <c:showCatName val="0"/>
          <c:showSerName val="0"/>
          <c:showPercent val="0"/>
          <c:showBubbleSize val="0"/>
        </c:dLbls>
        <c:gapWidth val="182"/>
        <c:overlap val="100"/>
        <c:axId val="580062808"/>
        <c:axId val="580066744"/>
      </c:barChart>
      <c:scatterChart>
        <c:scatterStyle val="lineMarker"/>
        <c:varyColors val="0"/>
        <c:ser>
          <c:idx val="1"/>
          <c:order val="1"/>
          <c:tx>
            <c:v>1.00E-06</c:v>
          </c:tx>
          <c:spPr>
            <a:ln w="28575" cap="rnd">
              <a:solidFill>
                <a:srgbClr val="FF0000"/>
              </a:solidFill>
              <a:round/>
            </a:ln>
            <a:effectLst/>
          </c:spPr>
          <c:marker>
            <c:symbol val="none"/>
          </c:marker>
          <c:xVal>
            <c:numRef>
              <c:f>'Look-up Values'!$B$18:$B$23</c:f>
              <c:numCache>
                <c:formatCode>General</c:formatCode>
                <c:ptCount val="6"/>
                <c:pt idx="0">
                  <c:v>9.9999999999999995E-7</c:v>
                </c:pt>
                <c:pt idx="1">
                  <c:v>9.9999999999999995E-7</c:v>
                </c:pt>
                <c:pt idx="2">
                  <c:v>9.9999999999999995E-7</c:v>
                </c:pt>
                <c:pt idx="3">
                  <c:v>9.9999999999999995E-7</c:v>
                </c:pt>
                <c:pt idx="4">
                  <c:v>9.9999999999999995E-7</c:v>
                </c:pt>
                <c:pt idx="5">
                  <c:v>9.9999999999999995E-7</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9-6FA0-40FB-92D5-359E102DACB4}"/>
            </c:ext>
          </c:extLst>
        </c:ser>
        <c:ser>
          <c:idx val="2"/>
          <c:order val="2"/>
          <c:tx>
            <c:v>1.00E-05</c:v>
          </c:tx>
          <c:spPr>
            <a:ln w="28575" cap="rnd">
              <a:solidFill>
                <a:srgbClr val="FF0000"/>
              </a:solidFill>
              <a:round/>
            </a:ln>
            <a:effectLst/>
          </c:spPr>
          <c:marker>
            <c:symbol val="none"/>
          </c:marker>
          <c:xVal>
            <c:numRef>
              <c:f>'Look-up Values'!$C$18:$C$23</c:f>
              <c:numCache>
                <c:formatCode>General</c:formatCode>
                <c:ptCount val="6"/>
                <c:pt idx="0">
                  <c:v>1.0000000000000001E-5</c:v>
                </c:pt>
                <c:pt idx="1">
                  <c:v>1.0000000000000001E-5</c:v>
                </c:pt>
                <c:pt idx="2">
                  <c:v>1.0000000000000001E-5</c:v>
                </c:pt>
                <c:pt idx="3">
                  <c:v>1.0000000000000001E-5</c:v>
                </c:pt>
                <c:pt idx="4">
                  <c:v>1.0000000000000001E-5</c:v>
                </c:pt>
                <c:pt idx="5">
                  <c:v>1.0000000000000001E-5</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A-6FA0-40FB-92D5-359E102DACB4}"/>
            </c:ext>
          </c:extLst>
        </c:ser>
        <c:ser>
          <c:idx val="3"/>
          <c:order val="3"/>
          <c:tx>
            <c:v>1.00E-04</c:v>
          </c:tx>
          <c:spPr>
            <a:ln w="28575" cap="rnd">
              <a:solidFill>
                <a:srgbClr val="FF0000"/>
              </a:solidFill>
              <a:round/>
            </a:ln>
            <a:effectLst/>
          </c:spPr>
          <c:marker>
            <c:symbol val="none"/>
          </c:marker>
          <c:xVal>
            <c:numRef>
              <c:f>'Look-up Values'!$D$18:$D$23</c:f>
              <c:numCache>
                <c:formatCode>General</c:formatCode>
                <c:ptCount val="6"/>
                <c:pt idx="0">
                  <c:v>1E-4</c:v>
                </c:pt>
                <c:pt idx="1">
                  <c:v>1E-4</c:v>
                </c:pt>
                <c:pt idx="2">
                  <c:v>1E-4</c:v>
                </c:pt>
                <c:pt idx="3">
                  <c:v>1E-4</c:v>
                </c:pt>
                <c:pt idx="4">
                  <c:v>1E-4</c:v>
                </c:pt>
                <c:pt idx="5">
                  <c:v>1E-4</c:v>
                </c:pt>
              </c:numCache>
            </c:numRef>
          </c:xVal>
          <c:yVal>
            <c:numRef>
              <c:f>'Look-up Values'!$E$18:$E$23</c:f>
              <c:numCache>
                <c:formatCode>General</c:formatCode>
                <c:ptCount val="6"/>
                <c:pt idx="0">
                  <c:v>7</c:v>
                </c:pt>
                <c:pt idx="1">
                  <c:v>5</c:v>
                </c:pt>
                <c:pt idx="2">
                  <c:v>4</c:v>
                </c:pt>
                <c:pt idx="3">
                  <c:v>3</c:v>
                </c:pt>
                <c:pt idx="4">
                  <c:v>2</c:v>
                </c:pt>
                <c:pt idx="5">
                  <c:v>0</c:v>
                </c:pt>
              </c:numCache>
            </c:numRef>
          </c:yVal>
          <c:smooth val="0"/>
          <c:extLst>
            <c:ext xmlns:c16="http://schemas.microsoft.com/office/drawing/2014/chart" uri="{C3380CC4-5D6E-409C-BE32-E72D297353CC}">
              <c16:uniqueId val="{0000000B-6FA0-40FB-92D5-359E102DACB4}"/>
            </c:ext>
          </c:extLst>
        </c:ser>
        <c:dLbls>
          <c:showLegendKey val="0"/>
          <c:showVal val="0"/>
          <c:showCatName val="0"/>
          <c:showSerName val="0"/>
          <c:showPercent val="0"/>
          <c:showBubbleSize val="0"/>
        </c:dLbls>
        <c:axId val="599810312"/>
        <c:axId val="599814248"/>
      </c:scatterChart>
      <c:catAx>
        <c:axId val="580062808"/>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t"/>
        <c:majorGridlines>
          <c:spPr>
            <a:ln w="9525" cap="flat" cmpd="sng" algn="ctr">
              <a:solidFill>
                <a:schemeClr val="tx1">
                  <a:lumMod val="15000"/>
                  <a:lumOff val="85000"/>
                </a:schemeClr>
              </a:solidFill>
              <a:round/>
            </a:ln>
            <a:effectLst/>
          </c:spPr>
        </c:majorGridlines>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11906</xdr:colOff>
      <xdr:row>44</xdr:row>
      <xdr:rowOff>142875</xdr:rowOff>
    </xdr:from>
    <xdr:to>
      <xdr:col>4</xdr:col>
      <xdr:colOff>726280</xdr:colOff>
      <xdr:row>58</xdr:row>
      <xdr:rowOff>134011</xdr:rowOff>
    </xdr:to>
    <xdr:graphicFrame macro="">
      <xdr:nvGraphicFramePr>
        <xdr:cNvPr id="13" name="Chart 12">
          <a:extLst>
            <a:ext uri="{FF2B5EF4-FFF2-40B4-BE49-F238E27FC236}">
              <a16:creationId xmlns:a16="http://schemas.microsoft.com/office/drawing/2014/main" id="{2F010924-3C04-4C67-B91B-95F36211D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11906</xdr:colOff>
      <xdr:row>59</xdr:row>
      <xdr:rowOff>117738</xdr:rowOff>
    </xdr:from>
    <xdr:to>
      <xdr:col>4</xdr:col>
      <xdr:colOff>730250</xdr:colOff>
      <xdr:row>74</xdr:row>
      <xdr:rowOff>132686</xdr:rowOff>
    </xdr:to>
    <xdr:graphicFrame macro="">
      <xdr:nvGraphicFramePr>
        <xdr:cNvPr id="15" name="Chart 14">
          <a:extLst>
            <a:ext uri="{FF2B5EF4-FFF2-40B4-BE49-F238E27FC236}">
              <a16:creationId xmlns:a16="http://schemas.microsoft.com/office/drawing/2014/main" id="{5DD87CDD-E256-4711-B79D-E9FC6350D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45</xdr:row>
      <xdr:rowOff>54241</xdr:rowOff>
    </xdr:from>
    <xdr:to>
      <xdr:col>5</xdr:col>
      <xdr:colOff>654845</xdr:colOff>
      <xdr:row>61</xdr:row>
      <xdr:rowOff>71437</xdr:rowOff>
    </xdr:to>
    <xdr:graphicFrame macro="">
      <xdr:nvGraphicFramePr>
        <xdr:cNvPr id="2" name="Chart 1">
          <a:extLst>
            <a:ext uri="{FF2B5EF4-FFF2-40B4-BE49-F238E27FC236}">
              <a16:creationId xmlns:a16="http://schemas.microsoft.com/office/drawing/2014/main" id="{11A5D42A-FA3E-44BF-B5D3-7A3EB7F27B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19654</xdr:colOff>
      <xdr:row>62</xdr:row>
      <xdr:rowOff>83154</xdr:rowOff>
    </xdr:from>
    <xdr:to>
      <xdr:col>5</xdr:col>
      <xdr:colOff>514047</xdr:colOff>
      <xdr:row>78</xdr:row>
      <xdr:rowOff>58416</xdr:rowOff>
    </xdr:to>
    <xdr:graphicFrame macro="">
      <xdr:nvGraphicFramePr>
        <xdr:cNvPr id="4" name="Chart 3">
          <a:extLst>
            <a:ext uri="{FF2B5EF4-FFF2-40B4-BE49-F238E27FC236}">
              <a16:creationId xmlns:a16="http://schemas.microsoft.com/office/drawing/2014/main" id="{A5D36566-BD20-4E07-8F69-E86BF6D2AA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154778</xdr:colOff>
      <xdr:row>46</xdr:row>
      <xdr:rowOff>40480</xdr:rowOff>
    </xdr:from>
    <xdr:to>
      <xdr:col>33</xdr:col>
      <xdr:colOff>128586</xdr:colOff>
      <xdr:row>92</xdr:row>
      <xdr:rowOff>47624</xdr:rowOff>
    </xdr:to>
    <xdr:graphicFrame macro="">
      <xdr:nvGraphicFramePr>
        <xdr:cNvPr id="10" name="Chart 9">
          <a:extLst>
            <a:ext uri="{FF2B5EF4-FFF2-40B4-BE49-F238E27FC236}">
              <a16:creationId xmlns:a16="http://schemas.microsoft.com/office/drawing/2014/main" id="{87EBFB0C-9A38-4C81-8CE4-CEBBD57B6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166686</xdr:colOff>
      <xdr:row>46</xdr:row>
      <xdr:rowOff>119062</xdr:rowOff>
    </xdr:from>
    <xdr:to>
      <xdr:col>12</xdr:col>
      <xdr:colOff>285748</xdr:colOff>
      <xdr:row>92</xdr:row>
      <xdr:rowOff>35720</xdr:rowOff>
    </xdr:to>
    <xdr:graphicFrame macro="">
      <xdr:nvGraphicFramePr>
        <xdr:cNvPr id="14" name="Chart 13">
          <a:extLst>
            <a:ext uri="{FF2B5EF4-FFF2-40B4-BE49-F238E27FC236}">
              <a16:creationId xmlns:a16="http://schemas.microsoft.com/office/drawing/2014/main" id="{6933C823-525C-48E8-8546-63E96C761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47625</xdr:colOff>
      <xdr:row>0</xdr:row>
      <xdr:rowOff>57151</xdr:rowOff>
    </xdr:from>
    <xdr:to>
      <xdr:col>5</xdr:col>
      <xdr:colOff>1209675</xdr:colOff>
      <xdr:row>5</xdr:row>
      <xdr:rowOff>76200</xdr:rowOff>
    </xdr:to>
    <xdr:sp macro="" textlink="">
      <xdr:nvSpPr>
        <xdr:cNvPr id="3" name="TextBox 2">
          <a:extLst>
            <a:ext uri="{FF2B5EF4-FFF2-40B4-BE49-F238E27FC236}">
              <a16:creationId xmlns:a16="http://schemas.microsoft.com/office/drawing/2014/main" id="{8982D6D0-903A-44C6-8B39-0F8CFD12B27C}"/>
            </a:ext>
          </a:extLst>
        </xdr:cNvPr>
        <xdr:cNvSpPr txBox="1"/>
      </xdr:nvSpPr>
      <xdr:spPr>
        <a:xfrm>
          <a:off x="47625" y="57151"/>
          <a:ext cx="3114675" cy="1009649"/>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900" b="1"/>
            <a:t>Key</a:t>
          </a:r>
          <a:endParaRPr lang="en-US" sz="900"/>
        </a:p>
        <a:p>
          <a:r>
            <a:rPr lang="en-US" sz="900"/>
            <a:t>             =  </a:t>
          </a:r>
          <a:r>
            <a:rPr lang="en-US" sz="900">
              <a:solidFill>
                <a:srgbClr val="FF0000"/>
              </a:solidFill>
            </a:rPr>
            <a:t>Risk</a:t>
          </a:r>
          <a:r>
            <a:rPr lang="en-US" sz="900"/>
            <a:t>.  </a:t>
          </a:r>
          <a:r>
            <a:rPr lang="en-US" sz="900" baseline="0"/>
            <a:t>       </a:t>
          </a:r>
          <a:r>
            <a:rPr lang="en-US" sz="900" i="1"/>
            <a:t>MOE</a:t>
          </a:r>
          <a:r>
            <a:rPr lang="en-US" sz="900" i="1" baseline="-25000"/>
            <a:t>acute or chronic</a:t>
          </a:r>
          <a:r>
            <a:rPr lang="en-US" sz="900" i="1" baseline="0"/>
            <a:t> &lt; MOE</a:t>
          </a:r>
          <a:r>
            <a:rPr lang="en-US" sz="900" i="1" baseline="-25000"/>
            <a:t>benchmark</a:t>
          </a:r>
          <a:endParaRPr lang="en-US" sz="900" i="0" baseline="0"/>
        </a:p>
        <a:p>
          <a:r>
            <a:rPr lang="en-US" sz="900" i="0" baseline="0"/>
            <a:t>                                  </a:t>
          </a:r>
          <a:r>
            <a:rPr lang="en-US" sz="900" i="1" baseline="0"/>
            <a:t>Cancer Risk &gt; Benchmark Cancer Risk Level</a:t>
          </a:r>
        </a:p>
        <a:p>
          <a:endParaRPr lang="en-US" sz="900" i="1" baseline="0"/>
        </a:p>
        <a:p>
          <a:pPr marL="0" marR="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latin typeface="+mn-lt"/>
              <a:ea typeface="+mn-ea"/>
              <a:cs typeface="+mn-cs"/>
            </a:rPr>
            <a:t>             =  </a:t>
          </a:r>
          <a:r>
            <a:rPr lang="en-US" sz="900">
              <a:solidFill>
                <a:srgbClr val="339933"/>
              </a:solidFill>
              <a:latin typeface="+mn-lt"/>
              <a:ea typeface="+mn-ea"/>
              <a:cs typeface="+mn-cs"/>
            </a:rPr>
            <a:t>No Risk</a:t>
          </a:r>
          <a:r>
            <a:rPr lang="en-US" sz="900">
              <a:solidFill>
                <a:schemeClr val="dk1"/>
              </a:solidFill>
              <a:latin typeface="+mn-lt"/>
              <a:ea typeface="+mn-ea"/>
              <a:cs typeface="+mn-cs"/>
            </a:rPr>
            <a:t>.   </a:t>
          </a:r>
          <a:r>
            <a:rPr lang="en-US" sz="900" i="1">
              <a:solidFill>
                <a:schemeClr val="dk1"/>
              </a:solidFill>
              <a:latin typeface="+mn-lt"/>
              <a:ea typeface="+mn-ea"/>
              <a:cs typeface="+mn-cs"/>
            </a:rPr>
            <a:t>MOE</a:t>
          </a:r>
          <a:r>
            <a:rPr lang="en-US" sz="900" i="1" baseline="-25000">
              <a:solidFill>
                <a:schemeClr val="dk1"/>
              </a:solidFill>
              <a:latin typeface="+mn-lt"/>
              <a:ea typeface="+mn-ea"/>
              <a:cs typeface="+mn-cs"/>
            </a:rPr>
            <a:t>acute or chronic</a:t>
          </a:r>
          <a:r>
            <a:rPr lang="en-US" sz="900" i="1" baseline="0">
              <a:solidFill>
                <a:schemeClr val="dk1"/>
              </a:solidFill>
              <a:latin typeface="+mn-lt"/>
              <a:ea typeface="+mn-ea"/>
              <a:cs typeface="+mn-cs"/>
            </a:rPr>
            <a:t> ≥ MOE</a:t>
          </a:r>
          <a:r>
            <a:rPr lang="en-US" sz="900" i="1" baseline="-25000">
              <a:solidFill>
                <a:schemeClr val="dk1"/>
              </a:solidFill>
              <a:latin typeface="+mn-lt"/>
              <a:ea typeface="+mn-ea"/>
              <a:cs typeface="+mn-cs"/>
            </a:rPr>
            <a:t>benchmark</a:t>
          </a:r>
          <a:endParaRPr lang="en-US" sz="900" i="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900" i="0" baseline="0">
              <a:solidFill>
                <a:schemeClr val="dk1"/>
              </a:solidFill>
              <a:latin typeface="+mn-lt"/>
              <a:ea typeface="+mn-ea"/>
              <a:cs typeface="+mn-cs"/>
            </a:rPr>
            <a:t>                                  </a:t>
          </a:r>
          <a:r>
            <a:rPr lang="en-US" sz="900" i="1" baseline="0">
              <a:solidFill>
                <a:schemeClr val="dk1"/>
              </a:solidFill>
              <a:latin typeface="+mn-lt"/>
              <a:ea typeface="+mn-ea"/>
              <a:cs typeface="+mn-cs"/>
            </a:rPr>
            <a:t>Cancer Risk ≤ Benchmark Cancer Risk Level</a:t>
          </a:r>
          <a:endParaRPr lang="en-US" sz="900" i="1">
            <a:solidFill>
              <a:schemeClr val="dk1"/>
            </a:solidFill>
            <a:latin typeface="+mn-lt"/>
            <a:ea typeface="+mn-ea"/>
            <a:cs typeface="+mn-cs"/>
          </a:endParaRPr>
        </a:p>
      </xdr:txBody>
    </xdr:sp>
    <xdr:clientData/>
  </xdr:twoCellAnchor>
  <xdr:twoCellAnchor>
    <xdr:from>
      <xdr:col>3</xdr:col>
      <xdr:colOff>190500</xdr:colOff>
      <xdr:row>1</xdr:row>
      <xdr:rowOff>80962</xdr:rowOff>
    </xdr:from>
    <xdr:to>
      <xdr:col>3</xdr:col>
      <xdr:colOff>400050</xdr:colOff>
      <xdr:row>1</xdr:row>
      <xdr:rowOff>209549</xdr:rowOff>
    </xdr:to>
    <xdr:sp macro="" textlink="">
      <xdr:nvSpPr>
        <xdr:cNvPr id="4" name="Rectangle 3">
          <a:extLst>
            <a:ext uri="{FF2B5EF4-FFF2-40B4-BE49-F238E27FC236}">
              <a16:creationId xmlns:a16="http://schemas.microsoft.com/office/drawing/2014/main" id="{299ABC30-CA92-4F84-9FDB-775ADCE3A014}"/>
            </a:ext>
          </a:extLst>
        </xdr:cNvPr>
        <xdr:cNvSpPr/>
      </xdr:nvSpPr>
      <xdr:spPr>
        <a:xfrm>
          <a:off x="685800" y="252412"/>
          <a:ext cx="209550" cy="128587"/>
        </a:xfrm>
        <a:prstGeom prst="rect">
          <a:avLst/>
        </a:prstGeom>
        <a:solidFill>
          <a:srgbClr val="FF9999"/>
        </a:solidFill>
        <a:ln w="12700">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xdr:col>
      <xdr:colOff>190500</xdr:colOff>
      <xdr:row>3</xdr:row>
      <xdr:rowOff>10477</xdr:rowOff>
    </xdr:from>
    <xdr:to>
      <xdr:col>3</xdr:col>
      <xdr:colOff>398388</xdr:colOff>
      <xdr:row>3</xdr:row>
      <xdr:rowOff>133350</xdr:rowOff>
    </xdr:to>
    <xdr:sp macro="" textlink="">
      <xdr:nvSpPr>
        <xdr:cNvPr id="5" name="Rectangle 4">
          <a:extLst>
            <a:ext uri="{FF2B5EF4-FFF2-40B4-BE49-F238E27FC236}">
              <a16:creationId xmlns:a16="http://schemas.microsoft.com/office/drawing/2014/main" id="{902002B7-9275-42BF-B0FE-C596087BBAE9}"/>
            </a:ext>
          </a:extLst>
        </xdr:cNvPr>
        <xdr:cNvSpPr/>
      </xdr:nvSpPr>
      <xdr:spPr>
        <a:xfrm>
          <a:off x="685800" y="677227"/>
          <a:ext cx="207888" cy="122873"/>
        </a:xfrm>
        <a:prstGeom prst="rect">
          <a:avLst/>
        </a:prstGeom>
        <a:solidFill>
          <a:srgbClr val="CCFFCC"/>
        </a:solidFill>
        <a:ln w="12700">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1818TDCEC029.aa.ad.epa.gov\OCSPP-OPPT-SHARE\HBCD\Needs%20header-header%20added\6.%20HBCD_Supplemental%20File_Occupational%20Risk%20Calcul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sepa-my.sharepoint.com/personal/hou_ariel_epa_gov/Documents/1-Bromopropane/2018%20Risk%20Eval/Exposure%20Results%20and%20Risk%20Calculations/1-BP_Supplemental%20File_Occupational%20Risk%20Calculato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1-BP%20Team%20Files\Final%20Supplemental%20Files\19.%201-BP_Supplemental%20File_Occupational%20Risk%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able of Contents"/>
      <sheetName val="Dashboard"/>
      <sheetName val="Risk Reduction Heat Map"/>
      <sheetName val="Exposure Results"/>
      <sheetName val="Exposure Factors"/>
      <sheetName val="Hazard Values"/>
      <sheetName val="ListValues"/>
    </sheetNames>
    <sheetDataSet>
      <sheetData sheetId="0" refreshError="1"/>
      <sheetData sheetId="1" refreshError="1"/>
      <sheetData sheetId="2">
        <row r="4">
          <cell r="E4">
            <v>1</v>
          </cell>
          <cell r="F4">
            <v>6.5000000000000002E-2</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Spray Adhesives"/>
      <sheetName val="Dry Cleaning Model"/>
      <sheetName val="Cancer Inhal Table"/>
      <sheetName val="RR"/>
      <sheetName val="Dermal"/>
      <sheetName val="Exposure Results"/>
      <sheetName val="Look-up Values"/>
      <sheetName val="ListValues"/>
    </sheetNames>
    <sheetDataSet>
      <sheetData sheetId="0"/>
      <sheetData sheetId="1"/>
      <sheetData sheetId="2"/>
      <sheetData sheetId="3">
        <row r="4">
          <cell r="K4">
            <v>1.4307692307692307E-4</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able of Contents"/>
      <sheetName val="Dashboard"/>
      <sheetName val="Spray Adhesives"/>
      <sheetName val="Dry Cleaning Model"/>
      <sheetName val="Cancer Inhal"/>
      <sheetName val="RR"/>
      <sheetName val="Dermal"/>
      <sheetName val="Exposure Results"/>
      <sheetName val="Look-up Values"/>
      <sheetName val="List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C5C3-442A-4694-8FB8-E055AF59DE04}">
  <sheetPr codeName="Sheet2"/>
  <dimension ref="B2:B8"/>
  <sheetViews>
    <sheetView tabSelected="1" zoomScale="90" zoomScaleNormal="90" workbookViewId="0">
      <selection activeCell="B2" sqref="B2"/>
    </sheetView>
  </sheetViews>
  <sheetFormatPr defaultRowHeight="15" x14ac:dyDescent="0.25"/>
  <cols>
    <col min="1" max="1" width="9.140625" style="430"/>
    <col min="2" max="2" width="74.7109375" style="433" bestFit="1" customWidth="1"/>
    <col min="3" max="16384" width="9.140625" style="430"/>
  </cols>
  <sheetData>
    <row r="2" spans="2:2" ht="20.25" x14ac:dyDescent="0.3">
      <c r="B2" s="429" t="s">
        <v>0</v>
      </c>
    </row>
    <row r="3" spans="2:2" x14ac:dyDescent="0.25">
      <c r="B3" s="431"/>
    </row>
    <row r="4" spans="2:2" ht="14.25" x14ac:dyDescent="0.2">
      <c r="B4" s="432" t="s">
        <v>1</v>
      </c>
    </row>
    <row r="5" spans="2:2" ht="14.25" x14ac:dyDescent="0.2">
      <c r="B5" s="432" t="s">
        <v>2</v>
      </c>
    </row>
    <row r="6" spans="2:2" ht="14.25" x14ac:dyDescent="0.2">
      <c r="B6" s="432"/>
    </row>
    <row r="7" spans="2:2" ht="14.25" x14ac:dyDescent="0.2">
      <c r="B7" s="432"/>
    </row>
    <row r="8" spans="2:2" ht="14.25" x14ac:dyDescent="0.2">
      <c r="B8" s="434" t="s">
        <v>3</v>
      </c>
    </row>
  </sheetData>
  <pageMargins left="0.7" right="0.7" top="0.75" bottom="0.75" header="0.3" footer="0.3"/>
  <pageSetup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16CD3-62E7-4F08-ACEC-93620E1FF889}">
  <sheetPr codeName="Sheet11"/>
  <dimension ref="A1:Y95"/>
  <sheetViews>
    <sheetView zoomScale="90" zoomScaleNormal="90" workbookViewId="0">
      <pane xSplit="10" ySplit="2" topLeftCell="K3" activePane="bottomRight" state="frozen"/>
      <selection pane="topRight" activeCell="J1" sqref="J1"/>
      <selection pane="bottomLeft" activeCell="D3" sqref="D3"/>
      <selection pane="bottomRight" activeCell="E1" sqref="E1:E2"/>
    </sheetView>
  </sheetViews>
  <sheetFormatPr defaultRowHeight="12.75" x14ac:dyDescent="0.2"/>
  <cols>
    <col min="1" max="2" width="9.140625" style="399" hidden="1" customWidth="1"/>
    <col min="3" max="3" width="14.140625" style="391" hidden="1" customWidth="1"/>
    <col min="4" max="4" width="15.7109375" style="386" hidden="1" customWidth="1"/>
    <col min="5" max="5" width="22.5703125" style="395" customWidth="1"/>
    <col min="6" max="6" width="25.140625" style="395" customWidth="1"/>
    <col min="7" max="7" width="20.28515625" style="395" customWidth="1"/>
    <col min="8" max="8" width="11.140625" style="391" bestFit="1" customWidth="1"/>
    <col min="9" max="9" width="14.140625" style="391" bestFit="1" customWidth="1"/>
    <col min="10" max="10" width="14.28515625" style="386" customWidth="1"/>
    <col min="11" max="11" width="14.85546875" style="395" bestFit="1" customWidth="1"/>
    <col min="12" max="13" width="12.85546875" style="396" customWidth="1"/>
    <col min="14" max="14" width="12.85546875" style="397" customWidth="1"/>
    <col min="15" max="16" width="13.28515625" style="398" customWidth="1"/>
    <col min="17" max="20" width="13.28515625" style="391" customWidth="1"/>
    <col min="21" max="21" width="9.85546875" style="391" bestFit="1" customWidth="1"/>
    <col min="22" max="22" width="11.85546875" style="398" customWidth="1"/>
    <col min="23" max="23" width="10.5703125" style="391" customWidth="1"/>
    <col min="24" max="24" width="9.140625" style="201"/>
    <col min="25" max="25" width="9.140625" style="441"/>
    <col min="26" max="16384" width="9.140625" style="389"/>
  </cols>
  <sheetData>
    <row r="1" spans="1:25" s="290" customFormat="1" ht="30" customHeight="1" x14ac:dyDescent="0.25">
      <c r="A1" s="676" t="s">
        <v>110</v>
      </c>
      <c r="B1" s="675" t="s">
        <v>290</v>
      </c>
      <c r="C1" s="656" t="s">
        <v>291</v>
      </c>
      <c r="D1" s="655" t="s">
        <v>292</v>
      </c>
      <c r="E1" s="673" t="s">
        <v>293</v>
      </c>
      <c r="F1" s="673" t="s">
        <v>294</v>
      </c>
      <c r="G1" s="674" t="s">
        <v>295</v>
      </c>
      <c r="H1" s="675" t="s">
        <v>290</v>
      </c>
      <c r="I1" s="656" t="s">
        <v>296</v>
      </c>
      <c r="J1" s="655" t="s">
        <v>292</v>
      </c>
      <c r="K1" s="656" t="s">
        <v>27</v>
      </c>
      <c r="L1" s="656" t="s">
        <v>297</v>
      </c>
      <c r="M1" s="656"/>
      <c r="N1" s="656"/>
      <c r="O1" s="656" t="s">
        <v>298</v>
      </c>
      <c r="P1" s="656"/>
      <c r="Q1" s="656"/>
      <c r="R1" s="656" t="s">
        <v>298</v>
      </c>
      <c r="S1" s="656"/>
      <c r="T1" s="656"/>
      <c r="U1" s="656" t="s">
        <v>299</v>
      </c>
      <c r="V1" s="656" t="s">
        <v>300</v>
      </c>
      <c r="W1" s="656" t="s">
        <v>301</v>
      </c>
      <c r="X1" s="656" t="s">
        <v>302</v>
      </c>
      <c r="Y1" s="440"/>
    </row>
    <row r="2" spans="1:25" s="290" customFormat="1" ht="51" x14ac:dyDescent="0.25">
      <c r="A2" s="676"/>
      <c r="B2" s="675"/>
      <c r="C2" s="656"/>
      <c r="D2" s="655"/>
      <c r="E2" s="673"/>
      <c r="F2" s="673"/>
      <c r="G2" s="674"/>
      <c r="H2" s="675"/>
      <c r="I2" s="656"/>
      <c r="J2" s="655"/>
      <c r="K2" s="656"/>
      <c r="L2" s="384" t="s">
        <v>303</v>
      </c>
      <c r="M2" s="384" t="s">
        <v>304</v>
      </c>
      <c r="N2" s="385" t="s">
        <v>305</v>
      </c>
      <c r="O2" s="384" t="s">
        <v>303</v>
      </c>
      <c r="P2" s="384" t="s">
        <v>304</v>
      </c>
      <c r="Q2" s="494" t="s">
        <v>305</v>
      </c>
      <c r="R2" s="384" t="s">
        <v>303</v>
      </c>
      <c r="S2" s="384" t="s">
        <v>304</v>
      </c>
      <c r="T2" s="494" t="s">
        <v>305</v>
      </c>
      <c r="U2" s="656"/>
      <c r="V2" s="656"/>
      <c r="W2" s="656"/>
      <c r="X2" s="656"/>
      <c r="Y2" s="440"/>
    </row>
    <row r="3" spans="1:25" ht="27" customHeight="1" x14ac:dyDescent="0.2">
      <c r="A3" s="399">
        <v>1</v>
      </c>
      <c r="B3" s="499" t="s">
        <v>37</v>
      </c>
      <c r="C3" s="499" t="s">
        <v>306</v>
      </c>
      <c r="D3" s="486" t="str">
        <f>J3</f>
        <v>Monitoring data</v>
      </c>
      <c r="E3" s="657" t="s">
        <v>307</v>
      </c>
      <c r="F3" s="657" t="s">
        <v>308</v>
      </c>
      <c r="G3" s="657" t="s">
        <v>309</v>
      </c>
      <c r="H3" s="665" t="s">
        <v>37</v>
      </c>
      <c r="I3" s="665" t="s">
        <v>306</v>
      </c>
      <c r="J3" s="625" t="s">
        <v>310</v>
      </c>
      <c r="K3" s="495" t="s">
        <v>233</v>
      </c>
      <c r="L3" s="387">
        <f>IF(C3="Inhalation",IF(K3="Central Tendency",'Look-up Values'!$G$13/_xlfn.MAXIFS('Exposure Results'!$H$5:$H$44,'Exposure Results'!$A$5:$A$44,A3,'Exposure Results'!$D$5:$D$44,B3, 'Exposure Results'!$Q$5:$Q$44, D3),'Look-up Values'!$G$13/_xlfn.MAXIFS('Exposure Results'!$G$5:$G$44,'Exposure Results'!$A$5:$A$44,A3,'Exposure Results'!$D$5:$D$44,B3, 'Exposure Results'!$Q$5:$Q$44, D3)),11/_xlfn.MAXIFS(Dermal!$E$15:$E$24,Dermal!$A$15:$A$24, A3,Dermal!$D$15:$D$24, K3))</f>
        <v>188.88888888888889</v>
      </c>
      <c r="M3" s="387">
        <f>IF(C3="Inhalation",IF(K3="Central Tendency",'Look-up Values'!$G$14/_xlfn.MAXIFS('Exposure Results'!$N$5:$N$44,'Exposure Results'!$A$5:$A$44,A3,'Exposure Results'!$D$5:$D$44,B3, 'Exposure Results'!$Q$5:$Q$44, D3),'Look-up Values'!$G$14/_xlfn.MAXIFS('Exposure Results'!$M$5:$M$44,'Exposure Results'!$A$5:$A$44,A3,'Exposure Results'!$D$5:$D$44,B3, 'Exposure Results'!$Q$5:$Q$44, D3)),11/(_xlfn.MAXIFS(Dermal!$E$15:$E$24,Dermal!$A$15:$A$24, A3,Dermal!$D$15:$D$24, K3)*Dermal!$P$15))</f>
        <v>265.17094017094018</v>
      </c>
      <c r="N3" s="408">
        <f>IF(C3="Inhalation",IF(K3="Central Tendency",'Look-up Values'!$K$12*_xlfn.MAXIFS('Exposure Results'!$L$5:$L$44,'Exposure Results'!$A$5:$A$44,A3,'Exposure Results'!$D$5:$D$44,B3, 'Exposure Results'!$Q$5:$Q$44, D3),'Look-up Values'!$K$12*_xlfn.MAXIFS('Exposure Results'!$K$5:$K$44,'Exposure Results'!$A$5:$A$44,A3,'Exposure Results'!$D$5:$D$44,B3, 'Exposure Results'!$Q$5:$Q$44, D3)), _xlfn.MAXIFS(Dermal!$E$124:$E$133,Dermal!$A$124:$A$133, A3, Dermal!$D$124:$D$133, K3))</f>
        <v>1.4307692307692307E-4</v>
      </c>
      <c r="O3" s="387">
        <f>IFERROR(IF(C3="Inhalation", L3*U3, L3*X3), "")</f>
        <v>1888.8888888888889</v>
      </c>
      <c r="P3" s="491">
        <f>IFERROR(IF(C3="Inhalation", M3*V3, M3*X3), "")</f>
        <v>2651.7094017094018</v>
      </c>
      <c r="Q3" s="410">
        <f t="shared" ref="Q3:Q32" si="0">IFERROR(IF(C3="Inhalation", N3/W3, N3/X3), "")</f>
        <v>1.4307692307692308E-5</v>
      </c>
      <c r="R3" s="388" t="str">
        <f>ROUND(IFERROR(IF(C3="Inhalation", L3*U3, L3*X3), ""), 0)&amp;CHAR(10)&amp;" (APF "&amp;U3&amp;")"</f>
        <v>1889
 (APF 10)</v>
      </c>
      <c r="S3" s="387" t="str">
        <f>ROUND(IFERROR(IF(C3="Inhalation", M3*V3, M3*X3), ""), 0)&amp;CHAR(10)&amp;" (APF "&amp;V3&amp;")"</f>
        <v>2652
 (APF 10)</v>
      </c>
      <c r="T3" s="408" t="str">
        <f>IF(C3="Inhalation", TEXT(IFERROR(N3/W3, ""), "0.00E+00")&amp;CHAR(10)&amp;" (APF "&amp;W3&amp;")", TEXT(IFERROR(N3/X3, ""), "0.00E+00")&amp;CHAR(10)&amp;" (PF "&amp;X3&amp;")")</f>
        <v>1.43E-05
 (APF 10)</v>
      </c>
      <c r="U3" s="480">
        <v>10</v>
      </c>
      <c r="V3" s="499">
        <v>10</v>
      </c>
      <c r="W3" s="499">
        <v>10</v>
      </c>
      <c r="X3" s="363"/>
    </row>
    <row r="4" spans="1:25" ht="25.5" x14ac:dyDescent="0.2">
      <c r="A4" s="399">
        <v>1</v>
      </c>
      <c r="B4" s="499" t="s">
        <v>37</v>
      </c>
      <c r="C4" s="499" t="s">
        <v>306</v>
      </c>
      <c r="D4" s="486" t="str">
        <f>J3</f>
        <v>Monitoring data</v>
      </c>
      <c r="E4" s="657"/>
      <c r="F4" s="657"/>
      <c r="G4" s="657"/>
      <c r="H4" s="665"/>
      <c r="I4" s="665"/>
      <c r="J4" s="625"/>
      <c r="K4" s="495" t="s">
        <v>38</v>
      </c>
      <c r="L4" s="387">
        <f>IF(C4="Inhalation",IF(K4="Central Tendency",'Look-up Values'!$G$13/_xlfn.MAXIFS('Exposure Results'!$H$5:$H$44,'Exposure Results'!$A$5:$A$44,A4,'Exposure Results'!$D$5:$D$44,B4, 'Exposure Results'!$Q$5:$Q$44, D4),'Look-up Values'!$G$13/_xlfn.MAXIFS('Exposure Results'!$G$5:$G$44,'Exposure Results'!$A$5:$A$44,A4,'Exposure Results'!$D$5:$D$44,B4, 'Exposure Results'!$Q$5:$Q$44, D4)),11/_xlfn.MAXIFS(Dermal!$E$15:$E$24,Dermal!$A$15:$A$24, A4,Dermal!$D$15:$D$24, K4))</f>
        <v>62.962962962962962</v>
      </c>
      <c r="M4" s="387">
        <f>IF(C4="Inhalation",IF(K4="Central Tendency",'Look-up Values'!$G$14/_xlfn.MAXIFS('Exposure Results'!$N$5:$N$44,'Exposure Results'!$A$5:$A$44,A4,'Exposure Results'!$D$5:$D$44,B4, 'Exposure Results'!$Q$5:$Q$44, D4),'Look-up Values'!$G$14/_xlfn.MAXIFS('Exposure Results'!$M$5:$M$44,'Exposure Results'!$A$5:$A$44,A4,'Exposure Results'!$D$5:$D$44,B4, 'Exposure Results'!$Q$5:$Q$44, D4)),11/(_xlfn.MAXIFS(Dermal!$E$15:$E$24,Dermal!$A$15:$A$24, A4,Dermal!$D$15:$D$24, K4)*Dermal!$P$15))</f>
        <v>88.390313390313395</v>
      </c>
      <c r="N4" s="408">
        <f>IF(C4="Inhalation",IF(K4="Central Tendency",'Look-up Values'!$K$12*_xlfn.MAXIFS('Exposure Results'!$L$5:$L$44,'Exposure Results'!$A$5:$A$44,A4,'Exposure Results'!$D$5:$D$44,B4, 'Exposure Results'!$Q$5:$Q$44, D4),'Look-up Values'!$K$12*_xlfn.MAXIFS('Exposure Results'!$K$5:$K$44,'Exposure Results'!$A$5:$A$44,A4,'Exposure Results'!$D$5:$D$44,B4, 'Exposure Results'!$Q$5:$Q$44, D4)), _xlfn.MAXIFS(Dermal!$E$124:$E$133,Dermal!$A$124:$A$133, A4, Dermal!$D$124:$D$133, K4))</f>
        <v>5.538461538461539E-4</v>
      </c>
      <c r="O4" s="387">
        <f>IFERROR(IF(C4="Inhalation", L4*U4, L4*X4), "")</f>
        <v>629.62962962962956</v>
      </c>
      <c r="P4" s="491">
        <f>IFERROR(IF(C4="Inhalation", M4*V4, M4*X4), "")</f>
        <v>883.90313390313395</v>
      </c>
      <c r="Q4" s="410">
        <f t="shared" si="0"/>
        <v>5.5384615384615387E-5</v>
      </c>
      <c r="R4" s="388" t="str">
        <f>ROUND(IFERROR(IF(C4="Inhalation", L4*U4, L4*X4), ""), 0)&amp;CHAR(10)&amp;" (APF "&amp;U4&amp;")"</f>
        <v>630
 (APF 10)</v>
      </c>
      <c r="S4" s="387" t="str">
        <f>ROUND(IFERROR(IF(C4="Inhalation", M4*V4, M4*X4), ""), 0)&amp;CHAR(10)&amp;" (APF "&amp;V4&amp;")"</f>
        <v>884
 (APF 10)</v>
      </c>
      <c r="T4" s="408" t="str">
        <f>IF(C4="Inhalation", TEXT(IFERROR(N4/W4, ""), "0.00E+00")&amp;CHAR(10)&amp;" (APF "&amp;W4&amp;")", TEXT(IFERROR(N4/X4, ""), "0.00E+00")&amp;CHAR(10)&amp;" (PF "&amp;X4&amp;")")</f>
        <v>5.54E-05
 (APF 10)</v>
      </c>
      <c r="U4" s="480">
        <v>10</v>
      </c>
      <c r="V4" s="499">
        <v>10</v>
      </c>
      <c r="W4" s="499">
        <v>10</v>
      </c>
      <c r="X4" s="363"/>
    </row>
    <row r="5" spans="1:25" ht="15" customHeight="1" x14ac:dyDescent="0.2">
      <c r="A5" s="399" t="s">
        <v>215</v>
      </c>
      <c r="B5" s="499"/>
      <c r="C5" s="498" t="s">
        <v>17</v>
      </c>
      <c r="D5" s="497"/>
      <c r="E5" s="657"/>
      <c r="F5" s="657"/>
      <c r="G5" s="657"/>
      <c r="H5" s="665"/>
      <c r="I5" s="658" t="s">
        <v>17</v>
      </c>
      <c r="J5" s="660" t="s">
        <v>22</v>
      </c>
      <c r="K5" s="495" t="s">
        <v>233</v>
      </c>
      <c r="L5" s="387">
        <f>IF(C5="Inhalation",IF(K5="Central Tendency",'Look-up Values'!$G$13/_xlfn.MAXIFS('Exposure Results'!$H$5:$H$44,'Exposure Results'!$A$5:$A$44,A5,'Exposure Results'!$D$5:$D$44,B5, 'Exposure Results'!$Q$5:$Q$44, D5),'Look-up Values'!$G$13/_xlfn.MAXIFS('Exposure Results'!$G$5:$G$44,'Exposure Results'!$A$5:$A$44,A5,'Exposure Results'!$D$5:$D$44,B5, 'Exposure Results'!$Q$5:$Q$44, D5)),11/_xlfn.MAXIFS(Dermal!$E$15:$E$24,Dermal!$A$15:$A$24, A5,Dermal!$D$15:$D$24, K5))</f>
        <v>405.13788499608677</v>
      </c>
      <c r="M5" s="387">
        <f>IF(C5="Inhalation",IF(K5="Central Tendency",'Look-up Values'!$G$14/_xlfn.MAXIFS('Exposure Results'!$N$5:$N$44,'Exposure Results'!$A$5:$A$44,A5,'Exposure Results'!$D$5:$D$44,B5, 'Exposure Results'!$Q$5:$Q$44, D5),'Look-up Values'!$G$14/_xlfn.MAXIFS('Exposure Results'!$M$5:$M$44,'Exposure Results'!$A$5:$A$44,A5,'Exposure Results'!$D$5:$D$44,B5, 'Exposure Results'!$Q$5:$Q$44, D5)),11/(_xlfn.MAXIFS(Dermal!$E$15:$E$24,Dermal!$A$15:$A$24, A5,Dermal!$D$15:$D$24, K5)*Dermal!$P$15))</f>
        <v>568.75126162912181</v>
      </c>
      <c r="N5" s="408">
        <f>IF(C5="Inhalation",IF(K5="Central Tendency",'Look-up Values'!$K$12*_xlfn.MAXIFS('Exposure Results'!$L$5:$L$44,'Exposure Results'!$A$5:$A$44,A5,'Exposure Results'!$D$5:$D$44,B5, 'Exposure Results'!$Q$5:$Q$44, D5),'Look-up Values'!$K$12*_xlfn.MAXIFS('Exposure Results'!$K$5:$K$44,'Exposure Results'!$A$5:$A$44,A5,'Exposure Results'!$D$5:$D$44,B5, 'Exposure Results'!$Q$5:$Q$44, D5)), _xlfn.MAXIFS(Dermal!$E$124:$E$133,Dermal!$A$124:$A$133, A5, Dermal!$D$124:$D$133, K5))</f>
        <v>6.474528846153846E-5</v>
      </c>
      <c r="O5" s="491"/>
      <c r="P5" s="491"/>
      <c r="Q5" s="410" t="str">
        <f t="shared" si="0"/>
        <v/>
      </c>
      <c r="R5" s="284"/>
      <c r="S5" s="284"/>
      <c r="T5" s="410"/>
      <c r="U5" s="480"/>
      <c r="V5" s="491"/>
      <c r="W5" s="499"/>
      <c r="X5" s="363"/>
    </row>
    <row r="6" spans="1:25" ht="25.5" x14ac:dyDescent="0.2">
      <c r="A6" s="399" t="s">
        <v>215</v>
      </c>
      <c r="B6" s="499"/>
      <c r="C6" s="499" t="s">
        <v>17</v>
      </c>
      <c r="D6" s="501"/>
      <c r="E6" s="657"/>
      <c r="F6" s="657"/>
      <c r="G6" s="657"/>
      <c r="H6" s="665"/>
      <c r="I6" s="659"/>
      <c r="J6" s="661"/>
      <c r="K6" s="495" t="s">
        <v>38</v>
      </c>
      <c r="L6" s="387">
        <f>IF(C6="Inhalation",IF(K6="Central Tendency",'Look-up Values'!$G$13/_xlfn.MAXIFS('Exposure Results'!$H$5:$H$44,'Exposure Results'!$A$5:$A$44,A6,'Exposure Results'!$D$5:$D$44,B6, 'Exposure Results'!$Q$5:$Q$44, D6),'Look-up Values'!$G$13/_xlfn.MAXIFS('Exposure Results'!$G$5:$G$44,'Exposure Results'!$A$5:$A$44,A6,'Exposure Results'!$D$5:$D$44,B6, 'Exposure Results'!$Q$5:$Q$44, D6)),11/_xlfn.MAXIFS(Dermal!$E$15:$E$24,Dermal!$A$15:$A$24, A6,Dermal!$D$15:$D$24, K6))</f>
        <v>135.04596166536226</v>
      </c>
      <c r="M6" s="387">
        <f>IF(C6="Inhalation",IF(K6="Central Tendency",'Look-up Values'!$G$14/_xlfn.MAXIFS('Exposure Results'!$N$5:$N$44,'Exposure Results'!$A$5:$A$44,A6,'Exposure Results'!$D$5:$D$44,B6, 'Exposure Results'!$Q$5:$Q$44, D6),'Look-up Values'!$G$14/_xlfn.MAXIFS('Exposure Results'!$M$5:$M$44,'Exposure Results'!$A$5:$A$44,A6,'Exposure Results'!$D$5:$D$44,B6, 'Exposure Results'!$Q$5:$Q$44, D6)),11/(_xlfn.MAXIFS(Dermal!$E$15:$E$24,Dermal!$A$15:$A$24, A6,Dermal!$D$15:$D$24, K6)*Dermal!$P$15))</f>
        <v>189.58375387637395</v>
      </c>
      <c r="N6" s="408">
        <f>IF(C6="Inhalation",IF(K6="Central Tendency",'Look-up Values'!$K$12*_xlfn.MAXIFS('Exposure Results'!$L$5:$L$44,'Exposure Results'!$A$5:$A$44,A6,'Exposure Results'!$D$5:$D$44,B6, 'Exposure Results'!$Q$5:$Q$44, D6),'Look-up Values'!$K$12*_xlfn.MAXIFS('Exposure Results'!$K$5:$K$44,'Exposure Results'!$A$5:$A$44,A6,'Exposure Results'!$D$5:$D$44,B6, 'Exposure Results'!$Q$5:$Q$44, D6)), _xlfn.MAXIFS(Dermal!$E$124:$E$133,Dermal!$A$124:$A$133, A6, Dermal!$D$124:$D$133, K6))</f>
        <v>2.5062692307692305E-4</v>
      </c>
      <c r="O6" s="491"/>
      <c r="P6" s="491"/>
      <c r="Q6" s="410">
        <f t="shared" si="0"/>
        <v>5.0125384615384611E-5</v>
      </c>
      <c r="R6" s="284"/>
      <c r="S6" s="284"/>
      <c r="T6" s="408" t="str">
        <f>IF(C6="Inhalation", TEXT(IFERROR(N6/W6, ""), "0.00E+00")&amp;CHAR(10)&amp;" (APF "&amp;W6&amp;")", TEXT(IFERROR(N6/X6, ""), "0.00E+00")&amp;CHAR(10)&amp;" (PF "&amp;X6&amp;")")</f>
        <v>5.01E-05
 (PF 5)</v>
      </c>
      <c r="U6" s="480"/>
      <c r="V6" s="491"/>
      <c r="W6" s="499"/>
      <c r="X6" s="499">
        <v>5</v>
      </c>
    </row>
    <row r="7" spans="1:25" x14ac:dyDescent="0.2">
      <c r="A7" s="306" t="s">
        <v>120</v>
      </c>
      <c r="B7" s="499" t="s">
        <v>37</v>
      </c>
      <c r="C7" s="499" t="s">
        <v>306</v>
      </c>
      <c r="D7" s="495" t="str">
        <f>J7</f>
        <v>Model</v>
      </c>
      <c r="E7" s="657" t="s">
        <v>311</v>
      </c>
      <c r="F7" s="657" t="s">
        <v>312</v>
      </c>
      <c r="G7" s="657" t="s">
        <v>312</v>
      </c>
      <c r="H7" s="665" t="s">
        <v>37</v>
      </c>
      <c r="I7" s="665" t="s">
        <v>306</v>
      </c>
      <c r="J7" s="625" t="s">
        <v>22</v>
      </c>
      <c r="K7" s="495" t="s">
        <v>233</v>
      </c>
      <c r="L7" s="387">
        <f>IF(C7="Inhalation",IF(K7="Central Tendency",'Look-up Values'!$G$13/_xlfn.MAXIFS('Exposure Results'!$H$5:$H$44,'Exposure Results'!$A$5:$A$44,A7,'Exposure Results'!$D$5:$D$44,B7, 'Exposure Results'!$Q$5:$Q$44, D7),'Look-up Values'!$G$13/_xlfn.MAXIFS('Exposure Results'!$G$5:$G$44,'Exposure Results'!$A$5:$A$44,A7,'Exposure Results'!$D$5:$D$44,B7, 'Exposure Results'!$Q$5:$Q$44, D7)),11/_xlfn.MAXIFS(Dermal!$E$15:$E$24,Dermal!$A$15:$A$24, A7,Dermal!$D$15:$D$24, K7))</f>
        <v>4441.3150870406907</v>
      </c>
      <c r="M7" s="387">
        <f>IF(C7="Inhalation",IF(K7="Central Tendency",'Look-up Values'!$G$14/_xlfn.MAXIFS('Exposure Results'!$N$5:$N$44,'Exposure Results'!$A$5:$A$44,A7,'Exposure Results'!$D$5:$D$44,B7, 'Exposure Results'!$Q$5:$Q$44, D7),'Look-up Values'!$G$14/_xlfn.MAXIFS('Exposure Results'!$M$5:$M$44,'Exposure Results'!$A$5:$A$44,A7,'Exposure Results'!$D$5:$D$44,B7, 'Exposure Results'!$Q$5:$Q$44, D7)),11/(_xlfn.MAXIFS(Dermal!$E$15:$E$24,Dermal!$A$15:$A$24, A7,Dermal!$D$15:$D$24, K7)*Dermal!$P$15))</f>
        <v>6234.92310296097</v>
      </c>
      <c r="N7" s="408">
        <f>IF(C7="Inhalation",IF(K7="Central Tendency",'Look-up Values'!$K$12*_xlfn.MAXIFS('Exposure Results'!$L$5:$L$44,'Exposure Results'!$A$5:$A$44,A7,'Exposure Results'!$D$5:$D$44,B7, 'Exposure Results'!$Q$5:$Q$44, D7),'Look-up Values'!$K$12*_xlfn.MAXIFS('Exposure Results'!$K$5:$K$44,'Exposure Results'!$A$5:$A$44,A7,'Exposure Results'!$D$5:$D$44,B7, 'Exposure Results'!$Q$5:$Q$44, D7)), _xlfn.MAXIFS(Dermal!$E$124:$E$133,Dermal!$A$124:$A$133, A7, Dermal!$D$124:$D$133, K7))</f>
        <v>6.0850537500703602E-6</v>
      </c>
      <c r="O7" s="491"/>
      <c r="P7" s="390"/>
      <c r="Q7" s="410" t="str">
        <f t="shared" si="0"/>
        <v/>
      </c>
      <c r="R7" s="284"/>
      <c r="S7" s="284"/>
      <c r="T7" s="408"/>
      <c r="U7" s="480"/>
      <c r="V7" s="491"/>
      <c r="W7" s="499"/>
      <c r="X7" s="363"/>
    </row>
    <row r="8" spans="1:25" ht="25.5" x14ac:dyDescent="0.2">
      <c r="A8" s="306" t="s">
        <v>120</v>
      </c>
      <c r="B8" s="499" t="s">
        <v>37</v>
      </c>
      <c r="C8" s="499" t="s">
        <v>306</v>
      </c>
      <c r="D8" s="495" t="str">
        <f>J7</f>
        <v>Model</v>
      </c>
      <c r="E8" s="657"/>
      <c r="F8" s="657"/>
      <c r="G8" s="657"/>
      <c r="H8" s="665"/>
      <c r="I8" s="665"/>
      <c r="J8" s="625"/>
      <c r="K8" s="495" t="s">
        <v>38</v>
      </c>
      <c r="L8" s="387">
        <f>IF(C8="Inhalation",IF(K8="Central Tendency",'Look-up Values'!$G$13/_xlfn.MAXIFS('Exposure Results'!$H$5:$H$44,'Exposure Results'!$A$5:$A$44,A8,'Exposure Results'!$D$5:$D$44,B8, 'Exposure Results'!$Q$5:$Q$44, D8),'Look-up Values'!$G$13/_xlfn.MAXIFS('Exposure Results'!$G$5:$G$44,'Exposure Results'!$A$5:$A$44,A8,'Exposure Results'!$D$5:$D$44,B8, 'Exposure Results'!$Q$5:$Q$44, D8)),11/_xlfn.MAXIFS(Dermal!$E$15:$E$24,Dermal!$A$15:$A$24, A8,Dermal!$D$15:$D$24, K8))</f>
        <v>299.6352492220156</v>
      </c>
      <c r="M8" s="387">
        <f>IF(C8="Inhalation",IF(K8="Central Tendency",'Look-up Values'!$G$14/_xlfn.MAXIFS('Exposure Results'!$N$5:$N$44,'Exposure Results'!$A$5:$A$44,A8,'Exposure Results'!$D$5:$D$44,B8, 'Exposure Results'!$Q$5:$Q$44, D8),'Look-up Values'!$G$14/_xlfn.MAXIFS('Exposure Results'!$M$5:$M$44,'Exposure Results'!$A$5:$A$44,A8,'Exposure Results'!$D$5:$D$44,B8, 'Exposure Results'!$Q$5:$Q$44, D8)),11/(_xlfn.MAXIFS(Dermal!$E$15:$E$24,Dermal!$A$15:$A$24, A8,Dermal!$D$15:$D$24, K8)*Dermal!$P$15))</f>
        <v>420.64179217706038</v>
      </c>
      <c r="N8" s="408">
        <f>IF(C8="Inhalation",IF(K8="Central Tendency",'Look-up Values'!$K$12*_xlfn.MAXIFS('Exposure Results'!$L$5:$L$44,'Exposure Results'!$A$5:$A$44,A8,'Exposure Results'!$D$5:$D$44,B8, 'Exposure Results'!$Q$5:$Q$44, D8),'Look-up Values'!$K$12*_xlfn.MAXIFS('Exposure Results'!$K$5:$K$44,'Exposure Results'!$A$5:$A$44,A8,'Exposure Results'!$D$5:$D$44,B8, 'Exposure Results'!$Q$5:$Q$44, D8)), _xlfn.MAXIFS(Dermal!$E$124:$E$133,Dermal!$A$124:$A$133, A8, Dermal!$D$124:$D$133, K8))</f>
        <v>1.1638081621684141E-4</v>
      </c>
      <c r="O8" s="491"/>
      <c r="P8" s="390"/>
      <c r="Q8" s="410">
        <f t="shared" si="0"/>
        <v>1.1638081621684141E-5</v>
      </c>
      <c r="R8" s="284"/>
      <c r="S8" s="284"/>
      <c r="T8" s="408" t="str">
        <f t="shared" ref="T8" si="1">IF(C8="Inhalation", TEXT(IFERROR(N8/W8, ""), "0.00E+00")&amp;CHAR(10)&amp;" (APF "&amp;W8&amp;")", TEXT(IFERROR(N8/X8, ""), "0.00E+00")&amp;CHAR(10)&amp;" (PF "&amp;X8&amp;")")</f>
        <v>1.16E-05
 (APF 10)</v>
      </c>
      <c r="U8" s="480"/>
      <c r="V8" s="491"/>
      <c r="W8" s="499">
        <v>10</v>
      </c>
      <c r="X8" s="363"/>
    </row>
    <row r="9" spans="1:25" x14ac:dyDescent="0.2">
      <c r="A9" s="399" t="s">
        <v>215</v>
      </c>
      <c r="B9" s="489"/>
      <c r="C9" s="499" t="s">
        <v>17</v>
      </c>
      <c r="D9" s="497"/>
      <c r="E9" s="657"/>
      <c r="F9" s="657"/>
      <c r="G9" s="657"/>
      <c r="H9" s="665"/>
      <c r="I9" s="658" t="s">
        <v>17</v>
      </c>
      <c r="J9" s="660" t="s">
        <v>22</v>
      </c>
      <c r="K9" s="495" t="s">
        <v>233</v>
      </c>
      <c r="L9" s="387">
        <f>IF(C9="Inhalation",IF(K9="Central Tendency",'Look-up Values'!$G$13/_xlfn.MAXIFS('Exposure Results'!$H$5:$H$44,'Exposure Results'!$A$5:$A$44,A9,'Exposure Results'!$D$5:$D$44,B9, 'Exposure Results'!$Q$5:$Q$44, D9),'Look-up Values'!$G$13/_xlfn.MAXIFS('Exposure Results'!$G$5:$G$44,'Exposure Results'!$A$5:$A$44,A9,'Exposure Results'!$D$5:$D$44,B9, 'Exposure Results'!$Q$5:$Q$44, D9)),11/_xlfn.MAXIFS(Dermal!$E$15:$E$24,Dermal!$A$15:$A$24, A9,Dermal!$D$15:$D$24, K9))</f>
        <v>405.13788499608677</v>
      </c>
      <c r="M9" s="387">
        <f>IF(C9="Inhalation",IF(K9="Central Tendency",'Look-up Values'!$G$14/_xlfn.MAXIFS('Exposure Results'!$N$5:$N$44,'Exposure Results'!$A$5:$A$44,A9,'Exposure Results'!$D$5:$D$44,B9, 'Exposure Results'!$Q$5:$Q$44, D9),'Look-up Values'!$G$14/_xlfn.MAXIFS('Exposure Results'!$M$5:$M$44,'Exposure Results'!$A$5:$A$44,A9,'Exposure Results'!$D$5:$D$44,B9, 'Exposure Results'!$Q$5:$Q$44, D9)),11/(_xlfn.MAXIFS(Dermal!$E$15:$E$24,Dermal!$A$15:$A$24, A9,Dermal!$D$15:$D$24, K9)*Dermal!$P$15))</f>
        <v>568.75126162912181</v>
      </c>
      <c r="N9" s="408">
        <f>IF(C9="Inhalation",IF(K9="Central Tendency",'Look-up Values'!$K$12*_xlfn.MAXIFS('Exposure Results'!$L$5:$L$44,'Exposure Results'!$A$5:$A$44,A9,'Exposure Results'!$D$5:$D$44,B9, 'Exposure Results'!$Q$5:$Q$44, D9),'Look-up Values'!$K$12*_xlfn.MAXIFS('Exposure Results'!$K$5:$K$44,'Exposure Results'!$A$5:$A$44,A9,'Exposure Results'!$D$5:$D$44,B9, 'Exposure Results'!$Q$5:$Q$44, D9)), _xlfn.MAXIFS(Dermal!$E$124:$E$133,Dermal!$A$124:$A$133, A9, Dermal!$D$124:$D$133, K9))</f>
        <v>6.474528846153846E-5</v>
      </c>
      <c r="O9" s="491"/>
      <c r="P9" s="390"/>
      <c r="Q9" s="410" t="str">
        <f t="shared" si="0"/>
        <v/>
      </c>
      <c r="R9" s="284"/>
      <c r="S9" s="284"/>
      <c r="T9" s="410"/>
      <c r="U9" s="480"/>
      <c r="V9" s="491"/>
      <c r="W9" s="499"/>
      <c r="X9" s="363"/>
    </row>
    <row r="10" spans="1:25" ht="25.5" x14ac:dyDescent="0.2">
      <c r="A10" s="399" t="s">
        <v>215</v>
      </c>
      <c r="C10" s="499" t="s">
        <v>17</v>
      </c>
      <c r="D10" s="501"/>
      <c r="E10" s="657"/>
      <c r="F10" s="657"/>
      <c r="G10" s="657"/>
      <c r="H10" s="665"/>
      <c r="I10" s="659"/>
      <c r="J10" s="661"/>
      <c r="K10" s="495" t="s">
        <v>38</v>
      </c>
      <c r="L10" s="387">
        <f>IF(C10="Inhalation",IF(K10="Central Tendency",'Look-up Values'!$G$13/_xlfn.MAXIFS('Exposure Results'!$H$5:$H$44,'Exposure Results'!$A$5:$A$44,A10,'Exposure Results'!$D$5:$D$44,B10, 'Exposure Results'!$Q$5:$Q$44, D10),'Look-up Values'!$G$13/_xlfn.MAXIFS('Exposure Results'!$G$5:$G$44,'Exposure Results'!$A$5:$A$44,A10,'Exposure Results'!$D$5:$D$44,B10, 'Exposure Results'!$Q$5:$Q$44, D10)),11/_xlfn.MAXIFS(Dermal!$E$15:$E$24,Dermal!$A$15:$A$24, A10,Dermal!$D$15:$D$24, K10))</f>
        <v>135.04596166536226</v>
      </c>
      <c r="M10" s="387">
        <f>IF(C10="Inhalation",IF(K10="Central Tendency",'Look-up Values'!$G$14/_xlfn.MAXIFS('Exposure Results'!$N$5:$N$44,'Exposure Results'!$A$5:$A$44,A10,'Exposure Results'!$D$5:$D$44,B10, 'Exposure Results'!$Q$5:$Q$44, D10),'Look-up Values'!$G$14/_xlfn.MAXIFS('Exposure Results'!$M$5:$M$44,'Exposure Results'!$A$5:$A$44,A10,'Exposure Results'!$D$5:$D$44,B10, 'Exposure Results'!$Q$5:$Q$44, D10)),11/(_xlfn.MAXIFS(Dermal!$E$15:$E$24,Dermal!$A$15:$A$24, A10,Dermal!$D$15:$D$24, K10)*Dermal!$P$15))</f>
        <v>189.58375387637395</v>
      </c>
      <c r="N10" s="408">
        <f>IF(C10="Inhalation",IF(K10="Central Tendency",'Look-up Values'!$K$12*_xlfn.MAXIFS('Exposure Results'!$L$5:$L$44,'Exposure Results'!$A$5:$A$44,A10,'Exposure Results'!$D$5:$D$44,B10, 'Exposure Results'!$Q$5:$Q$44, D10),'Look-up Values'!$K$12*_xlfn.MAXIFS('Exposure Results'!$K$5:$K$44,'Exposure Results'!$A$5:$A$44,A10,'Exposure Results'!$D$5:$D$44,B10, 'Exposure Results'!$Q$5:$Q$44, D10)), _xlfn.MAXIFS(Dermal!$E$124:$E$133,Dermal!$A$124:$A$133, A10, Dermal!$D$124:$D$133, K10))</f>
        <v>2.5062692307692305E-4</v>
      </c>
      <c r="O10" s="491"/>
      <c r="P10" s="491"/>
      <c r="Q10" s="410">
        <f t="shared" si="0"/>
        <v>5.0125384615384611E-5</v>
      </c>
      <c r="R10" s="284"/>
      <c r="S10" s="284"/>
      <c r="T10" s="408" t="str">
        <f>IF(C10="Inhalation", TEXT(IFERROR(N10/W10, ""), "0.00E+00")&amp;CHAR(10)&amp;" (APF "&amp;W10&amp;")", TEXT(IFERROR(N10/X10, ""), "0.00E+00")&amp;CHAR(10)&amp;" (PF "&amp;X10&amp;")")</f>
        <v>5.01E-05
 (PF 5)</v>
      </c>
      <c r="U10" s="480"/>
      <c r="V10" s="491"/>
      <c r="W10" s="499"/>
      <c r="X10" s="499">
        <v>5</v>
      </c>
    </row>
    <row r="11" spans="1:25" x14ac:dyDescent="0.2">
      <c r="A11" s="306" t="s">
        <v>120</v>
      </c>
      <c r="B11" s="499" t="s">
        <v>37</v>
      </c>
      <c r="C11" s="499" t="s">
        <v>306</v>
      </c>
      <c r="D11" s="495" t="str">
        <f>$J$11</f>
        <v>Model</v>
      </c>
      <c r="E11" s="657" t="s">
        <v>313</v>
      </c>
      <c r="F11" s="657" t="s">
        <v>314</v>
      </c>
      <c r="G11" s="657" t="s">
        <v>315</v>
      </c>
      <c r="H11" s="665" t="s">
        <v>37</v>
      </c>
      <c r="I11" s="665" t="s">
        <v>306</v>
      </c>
      <c r="J11" s="625" t="s">
        <v>22</v>
      </c>
      <c r="K11" s="495" t="s">
        <v>233</v>
      </c>
      <c r="L11" s="387">
        <f>IF(C11="Inhalation",IF(K11="Central Tendency",'Look-up Values'!$G$13/_xlfn.MAXIFS('Exposure Results'!$H$5:$H$44,'Exposure Results'!$A$5:$A$44,A11,'Exposure Results'!$D$5:$D$44,B11, 'Exposure Results'!$Q$5:$Q$44, D11),'Look-up Values'!$G$13/_xlfn.MAXIFS('Exposure Results'!$G$5:$G$44,'Exposure Results'!$A$5:$A$44,A11,'Exposure Results'!$D$5:$D$44,B11, 'Exposure Results'!$Q$5:$Q$44, D11)),11/_xlfn.MAXIFS(Dermal!$E$15:$E$24,Dermal!$A$15:$A$24, A11,Dermal!$D$15:$D$24, K11))</f>
        <v>4441.3150870406907</v>
      </c>
      <c r="M11" s="387">
        <f>IF(C11="Inhalation",IF(K11="Central Tendency",'Look-up Values'!$G$14/_xlfn.MAXIFS('Exposure Results'!$N$5:$N$44,'Exposure Results'!$A$5:$A$44,A11,'Exposure Results'!$D$5:$D$44,B11, 'Exposure Results'!$Q$5:$Q$44, D11),'Look-up Values'!$G$14/_xlfn.MAXIFS('Exposure Results'!$M$5:$M$44,'Exposure Results'!$A$5:$A$44,A11,'Exposure Results'!$D$5:$D$44,B11, 'Exposure Results'!$Q$5:$Q$44, D11)),11/(_xlfn.MAXIFS(Dermal!$E$15:$E$24,Dermal!$A$15:$A$24, A11,Dermal!$D$15:$D$24, K11)*Dermal!$P$15))</f>
        <v>6234.92310296097</v>
      </c>
      <c r="N11" s="408">
        <f>IF(C11="Inhalation",IF(K11="Central Tendency",'Look-up Values'!$K$12*_xlfn.MAXIFS('Exposure Results'!$L$5:$L$44,'Exposure Results'!$A$5:$A$44,A11,'Exposure Results'!$D$5:$D$44,B11, 'Exposure Results'!$Q$5:$Q$44, D11),'Look-up Values'!$K$12*_xlfn.MAXIFS('Exposure Results'!$K$5:$K$44,'Exposure Results'!$A$5:$A$44,A11,'Exposure Results'!$D$5:$D$44,B11, 'Exposure Results'!$Q$5:$Q$44, D11)), _xlfn.MAXIFS(Dermal!$E$124:$E$133,Dermal!$A$124:$A$133, A11, Dermal!$D$124:$D$133, K11))</f>
        <v>6.0850537500703602E-6</v>
      </c>
      <c r="O11" s="491"/>
      <c r="P11" s="390"/>
      <c r="Q11" s="410" t="str">
        <f t="shared" si="0"/>
        <v/>
      </c>
      <c r="R11" s="284"/>
      <c r="S11" s="284"/>
      <c r="T11" s="410"/>
      <c r="U11" s="480"/>
      <c r="V11" s="491"/>
      <c r="W11" s="499"/>
      <c r="X11" s="363"/>
    </row>
    <row r="12" spans="1:25" ht="25.5" x14ac:dyDescent="0.2">
      <c r="A12" s="306" t="s">
        <v>120</v>
      </c>
      <c r="B12" s="499" t="s">
        <v>37</v>
      </c>
      <c r="C12" s="499" t="s">
        <v>306</v>
      </c>
      <c r="D12" s="495" t="str">
        <f>$J$11</f>
        <v>Model</v>
      </c>
      <c r="E12" s="657"/>
      <c r="F12" s="657"/>
      <c r="G12" s="657"/>
      <c r="H12" s="665"/>
      <c r="I12" s="665"/>
      <c r="J12" s="625"/>
      <c r="K12" s="495" t="s">
        <v>38</v>
      </c>
      <c r="L12" s="387">
        <f>IF(C12="Inhalation",IF(K12="Central Tendency",'Look-up Values'!$G$13/_xlfn.MAXIFS('Exposure Results'!$H$5:$H$44,'Exposure Results'!$A$5:$A$44,A12,'Exposure Results'!$D$5:$D$44,B12, 'Exposure Results'!$Q$5:$Q$44, D12),'Look-up Values'!$G$13/_xlfn.MAXIFS('Exposure Results'!$G$5:$G$44,'Exposure Results'!$A$5:$A$44,A12,'Exposure Results'!$D$5:$D$44,B12, 'Exposure Results'!$Q$5:$Q$44, D12)),11/_xlfn.MAXIFS(Dermal!$E$15:$E$24,Dermal!$A$15:$A$24, A12,Dermal!$D$15:$D$24, K12))</f>
        <v>299.6352492220156</v>
      </c>
      <c r="M12" s="387">
        <f>IF(C12="Inhalation",IF(K12="Central Tendency",'Look-up Values'!$G$14/_xlfn.MAXIFS('Exposure Results'!$N$5:$N$44,'Exposure Results'!$A$5:$A$44,A12,'Exposure Results'!$D$5:$D$44,B12, 'Exposure Results'!$Q$5:$Q$44, D12),'Look-up Values'!$G$14/_xlfn.MAXIFS('Exposure Results'!$M$5:$M$44,'Exposure Results'!$A$5:$A$44,A12,'Exposure Results'!$D$5:$D$44,B12, 'Exposure Results'!$Q$5:$Q$44, D12)),11/(_xlfn.MAXIFS(Dermal!$E$15:$E$24,Dermal!$A$15:$A$24, A12,Dermal!$D$15:$D$24, K12)*Dermal!$P$15))</f>
        <v>420.64179217706038</v>
      </c>
      <c r="N12" s="408">
        <f>IF(C12="Inhalation",IF(K12="Central Tendency",'Look-up Values'!$K$12*_xlfn.MAXIFS('Exposure Results'!$L$5:$L$44,'Exposure Results'!$A$5:$A$44,A12,'Exposure Results'!$D$5:$D$44,B12, 'Exposure Results'!$Q$5:$Q$44, D12),'Look-up Values'!$K$12*_xlfn.MAXIFS('Exposure Results'!$K$5:$K$44,'Exposure Results'!$A$5:$A$44,A12,'Exposure Results'!$D$5:$D$44,B12, 'Exposure Results'!$Q$5:$Q$44, D12)), _xlfn.MAXIFS(Dermal!$E$124:$E$133,Dermal!$A$124:$A$133, A12, Dermal!$D$124:$D$133, K12))</f>
        <v>1.1638081621684141E-4</v>
      </c>
      <c r="O12" s="491"/>
      <c r="P12" s="390"/>
      <c r="Q12" s="410">
        <f t="shared" si="0"/>
        <v>1.1638081621684141E-5</v>
      </c>
      <c r="R12" s="284"/>
      <c r="S12" s="284"/>
      <c r="T12" s="408" t="str">
        <f t="shared" ref="T12" si="2">IF(C12="Inhalation", TEXT(IFERROR(N12/W12, ""), "0.00E+00")&amp;CHAR(10)&amp;" (APF "&amp;W12&amp;")", TEXT(IFERROR(N12/X12, ""), "0.00E+00")&amp;CHAR(10)&amp;" (PF "&amp;X12&amp;")")</f>
        <v>1.16E-05
 (APF 10)</v>
      </c>
      <c r="U12" s="480"/>
      <c r="V12" s="491"/>
      <c r="W12" s="499">
        <v>10</v>
      </c>
      <c r="X12" s="363"/>
    </row>
    <row r="13" spans="1:25" x14ac:dyDescent="0.2">
      <c r="A13" s="399" t="s">
        <v>215</v>
      </c>
      <c r="B13" s="489"/>
      <c r="C13" s="498" t="s">
        <v>17</v>
      </c>
      <c r="D13" s="497"/>
      <c r="E13" s="657"/>
      <c r="F13" s="657"/>
      <c r="G13" s="657"/>
      <c r="H13" s="665"/>
      <c r="I13" s="658" t="s">
        <v>17</v>
      </c>
      <c r="J13" s="660" t="s">
        <v>22</v>
      </c>
      <c r="K13" s="495" t="s">
        <v>233</v>
      </c>
      <c r="L13" s="387">
        <f>IF(C13="Inhalation",IF(K13="Central Tendency",'Look-up Values'!$G$13/_xlfn.MAXIFS('Exposure Results'!$H$5:$H$44,'Exposure Results'!$A$5:$A$44,A13,'Exposure Results'!$D$5:$D$44,B13, 'Exposure Results'!$Q$5:$Q$44, D13),'Look-up Values'!$G$13/_xlfn.MAXIFS('Exposure Results'!$G$5:$G$44,'Exposure Results'!$A$5:$A$44,A13,'Exposure Results'!$D$5:$D$44,B13, 'Exposure Results'!$Q$5:$Q$44, D13)),11/_xlfn.MAXIFS(Dermal!$E$15:$E$24,Dermal!$A$15:$A$24, A13,Dermal!$D$15:$D$24, K13))</f>
        <v>405.13788499608677</v>
      </c>
      <c r="M13" s="387">
        <f>IF(C13="Inhalation",IF(K13="Central Tendency",'Look-up Values'!$G$14/_xlfn.MAXIFS('Exposure Results'!$N$5:$N$44,'Exposure Results'!$A$5:$A$44,A13,'Exposure Results'!$D$5:$D$44,B13, 'Exposure Results'!$Q$5:$Q$44, D13),'Look-up Values'!$G$14/_xlfn.MAXIFS('Exposure Results'!$M$5:$M$44,'Exposure Results'!$A$5:$A$44,A13,'Exposure Results'!$D$5:$D$44,B13, 'Exposure Results'!$Q$5:$Q$44, D13)),11/(_xlfn.MAXIFS(Dermal!$E$15:$E$24,Dermal!$A$15:$A$24, A13,Dermal!$D$15:$D$24, K13)*Dermal!$P$15))</f>
        <v>568.75126162912181</v>
      </c>
      <c r="N13" s="408">
        <f>IF(C13="Inhalation",IF(K13="Central Tendency",'Look-up Values'!$K$12*_xlfn.MAXIFS('Exposure Results'!$L$5:$L$44,'Exposure Results'!$A$5:$A$44,A13,'Exposure Results'!$D$5:$D$44,B13, 'Exposure Results'!$Q$5:$Q$44, D13),'Look-up Values'!$K$12*_xlfn.MAXIFS('Exposure Results'!$K$5:$K$44,'Exposure Results'!$A$5:$A$44,A13,'Exposure Results'!$D$5:$D$44,B13, 'Exposure Results'!$Q$5:$Q$44, D13)), _xlfn.MAXIFS(Dermal!$E$124:$E$133,Dermal!$A$124:$A$133, A13, Dermal!$D$124:$D$133, K13))</f>
        <v>6.474528846153846E-5</v>
      </c>
      <c r="O13" s="491"/>
      <c r="P13" s="390"/>
      <c r="Q13" s="410" t="str">
        <f t="shared" si="0"/>
        <v/>
      </c>
      <c r="R13" s="284"/>
      <c r="S13" s="284"/>
      <c r="T13" s="410"/>
      <c r="U13" s="480"/>
      <c r="V13" s="491"/>
      <c r="W13" s="499"/>
      <c r="X13" s="363"/>
    </row>
    <row r="14" spans="1:25" ht="25.5" x14ac:dyDescent="0.2">
      <c r="A14" s="399" t="s">
        <v>215</v>
      </c>
      <c r="C14" s="499" t="s">
        <v>17</v>
      </c>
      <c r="D14" s="501"/>
      <c r="E14" s="657"/>
      <c r="F14" s="657"/>
      <c r="G14" s="657"/>
      <c r="H14" s="665"/>
      <c r="I14" s="659"/>
      <c r="J14" s="661"/>
      <c r="K14" s="495" t="s">
        <v>38</v>
      </c>
      <c r="L14" s="387">
        <f>IF(C14="Inhalation",IF(K14="Central Tendency",'Look-up Values'!$G$13/_xlfn.MAXIFS('Exposure Results'!$H$5:$H$44,'Exposure Results'!$A$5:$A$44,A14,'Exposure Results'!$D$5:$D$44,B14, 'Exposure Results'!$Q$5:$Q$44, D14),'Look-up Values'!$G$13/_xlfn.MAXIFS('Exposure Results'!$G$5:$G$44,'Exposure Results'!$A$5:$A$44,A14,'Exposure Results'!$D$5:$D$44,B14, 'Exposure Results'!$Q$5:$Q$44, D14)),11/_xlfn.MAXIFS(Dermal!$E$15:$E$24,Dermal!$A$15:$A$24, A14,Dermal!$D$15:$D$24, K14))</f>
        <v>135.04596166536226</v>
      </c>
      <c r="M14" s="387">
        <f>IF(C14="Inhalation",IF(K14="Central Tendency",'Look-up Values'!$G$14/_xlfn.MAXIFS('Exposure Results'!$N$5:$N$44,'Exposure Results'!$A$5:$A$44,A14,'Exposure Results'!$D$5:$D$44,B14, 'Exposure Results'!$Q$5:$Q$44, D14),'Look-up Values'!$G$14/_xlfn.MAXIFS('Exposure Results'!$M$5:$M$44,'Exposure Results'!$A$5:$A$44,A14,'Exposure Results'!$D$5:$D$44,B14, 'Exposure Results'!$Q$5:$Q$44, D14)),11/(_xlfn.MAXIFS(Dermal!$E$15:$E$24,Dermal!$A$15:$A$24, A14,Dermal!$D$15:$D$24, K14)*Dermal!$P$15))</f>
        <v>189.58375387637395</v>
      </c>
      <c r="N14" s="408">
        <f>IF(C14="Inhalation",IF(K14="Central Tendency",'Look-up Values'!$K$12*_xlfn.MAXIFS('Exposure Results'!$L$5:$L$44,'Exposure Results'!$A$5:$A$44,A14,'Exposure Results'!$D$5:$D$44,B14, 'Exposure Results'!$Q$5:$Q$44, D14),'Look-up Values'!$K$12*_xlfn.MAXIFS('Exposure Results'!$K$5:$K$44,'Exposure Results'!$A$5:$A$44,A14,'Exposure Results'!$D$5:$D$44,B14, 'Exposure Results'!$Q$5:$Q$44, D14)), _xlfn.MAXIFS(Dermal!$E$124:$E$133,Dermal!$A$124:$A$133, A14, Dermal!$D$124:$D$133, K14))</f>
        <v>2.5062692307692305E-4</v>
      </c>
      <c r="O14" s="491"/>
      <c r="P14" s="491"/>
      <c r="Q14" s="410">
        <f t="shared" si="0"/>
        <v>5.0125384615384611E-5</v>
      </c>
      <c r="R14" s="284"/>
      <c r="S14" s="284"/>
      <c r="T14" s="408" t="str">
        <f>IF(C14="Inhalation", TEXT(IFERROR(N14/W14, ""), "0.00E+00")&amp;CHAR(10)&amp;" (APF "&amp;W14&amp;")", TEXT(IFERROR(N14/X14, ""), "0.00E+00")&amp;CHAR(10)&amp;" (PF "&amp;X14&amp;")")</f>
        <v>5.01E-05
 (PF 5)</v>
      </c>
      <c r="U14" s="480"/>
      <c r="V14" s="491"/>
      <c r="W14" s="499"/>
      <c r="X14" s="499">
        <v>5</v>
      </c>
    </row>
    <row r="15" spans="1:25" ht="25.5" x14ac:dyDescent="0.2">
      <c r="A15" s="399">
        <v>4</v>
      </c>
      <c r="B15" s="499" t="s">
        <v>37</v>
      </c>
      <c r="C15" s="499" t="s">
        <v>306</v>
      </c>
      <c r="D15" s="495" t="str">
        <f>$J$15</f>
        <v>Monitoring Data</v>
      </c>
      <c r="E15" s="672" t="s">
        <v>316</v>
      </c>
      <c r="F15" s="657" t="s">
        <v>317</v>
      </c>
      <c r="G15" s="657" t="s">
        <v>316</v>
      </c>
      <c r="H15" s="665" t="s">
        <v>37</v>
      </c>
      <c r="I15" s="665" t="s">
        <v>306</v>
      </c>
      <c r="J15" s="625" t="s">
        <v>80</v>
      </c>
      <c r="K15" s="495" t="s">
        <v>233</v>
      </c>
      <c r="L15" s="387">
        <f>IF(C15="Inhalation",IF(K15="Central Tendency",'Look-up Values'!$G$13/_xlfn.MAXIFS('Exposure Results'!$H$5:$H$44,'Exposure Results'!$A$5:$A$44,A15,'Exposure Results'!$D$5:$D$44,B15, 'Exposure Results'!$Q$5:$Q$44, D15),'Look-up Values'!$G$13/_xlfn.MAXIFS('Exposure Results'!$G$5:$G$44,'Exposure Results'!$A$5:$A$44,A15,'Exposure Results'!$D$5:$D$44,B15, 'Exposure Results'!$Q$5:$Q$44, D15)),11/_xlfn.MAXIFS(Dermal!$E$15:$E$24,Dermal!$A$15:$A$24, A15,Dermal!$D$15:$D$24, K15))</f>
        <v>2.3611111111111112</v>
      </c>
      <c r="M15" s="387">
        <f>IF(C15="Inhalation",IF(K15="Central Tendency",'Look-up Values'!$G$14/_xlfn.MAXIFS('Exposure Results'!$N$5:$N$44,'Exposure Results'!$A$5:$A$44,A15,'Exposure Results'!$D$5:$D$44,B15, 'Exposure Results'!$Q$5:$Q$44, D15),'Look-up Values'!$G$14/_xlfn.MAXIFS('Exposure Results'!$M$5:$M$44,'Exposure Results'!$A$5:$A$44,A15,'Exposure Results'!$D$5:$D$44,B15, 'Exposure Results'!$Q$5:$Q$44, D15)),11/(_xlfn.MAXIFS(Dermal!$E$15:$E$24,Dermal!$A$15:$A$24, A15,Dermal!$D$15:$D$24, K15)*Dermal!$P$15))</f>
        <v>3.3146367521367521</v>
      </c>
      <c r="N15" s="408">
        <f>IF(C15="Inhalation",IF(K15="Central Tendency",'Look-up Values'!$K$12*_xlfn.MAXIFS('Exposure Results'!$L$5:$L$44,'Exposure Results'!$A$5:$A$44,A15,'Exposure Results'!$D$5:$D$44,B15, 'Exposure Results'!$Q$5:$Q$44, D15),'Look-up Values'!$K$12*_xlfn.MAXIFS('Exposure Results'!$K$5:$K$44,'Exposure Results'!$A$5:$A$44,A15,'Exposure Results'!$D$5:$D$44,B15, 'Exposure Results'!$Q$5:$Q$44, D15)), _xlfn.MAXIFS(Dermal!$E$124:$E$133,Dermal!$A$124:$A$133, A15, Dermal!$D$124:$D$133, K15))</f>
        <v>1.1446153846153847E-2</v>
      </c>
      <c r="O15" s="387">
        <f>IFERROR(IF(C15="Inhalation", L15*U15, L15*X15), "")</f>
        <v>118.05555555555556</v>
      </c>
      <c r="P15" s="491">
        <f>IFERROR(IF(C15="Inhalation", M15*V15, M15*X15), "")</f>
        <v>165.73183760683762</v>
      </c>
      <c r="Q15" s="410">
        <f t="shared" si="0"/>
        <v>2.2892307692307695E-4</v>
      </c>
      <c r="R15" s="388" t="str">
        <f>ROUND(IFERROR(IF(C15="Inhalation", L15*U15, L15*X15), ""), 0)&amp;CHAR(10)&amp;" (APF "&amp;U15&amp;")"</f>
        <v>118
 (APF 50)</v>
      </c>
      <c r="S15" s="387" t="str">
        <f>ROUND(IFERROR(IF(C15="Inhalation", M15*V15, M15*X15), ""), 0)&amp;CHAR(10)&amp;" (APF "&amp;V15&amp;")"</f>
        <v>166
 (APF 50)</v>
      </c>
      <c r="T15" s="408" t="str">
        <f>IF(C15="Inhalation", TEXT(IFERROR(N15/W15, ""), "0.00E+00")&amp;CHAR(10)&amp;" (APF "&amp;W15&amp;")", TEXT(IFERROR(N15/X15, ""), "0.00E+00")&amp;CHAR(10)&amp;" (PF "&amp;X15&amp;")")</f>
        <v>2.29E-04
 (APF 50)</v>
      </c>
      <c r="U15" s="480">
        <v>50</v>
      </c>
      <c r="V15" s="491">
        <v>50</v>
      </c>
      <c r="W15" s="499">
        <v>50</v>
      </c>
      <c r="X15" s="363"/>
    </row>
    <row r="16" spans="1:25" x14ac:dyDescent="0.2">
      <c r="A16" s="399">
        <v>4</v>
      </c>
      <c r="B16" s="499" t="s">
        <v>37</v>
      </c>
      <c r="C16" s="499" t="s">
        <v>306</v>
      </c>
      <c r="D16" s="495" t="str">
        <f>$J$15</f>
        <v>Monitoring Data</v>
      </c>
      <c r="E16" s="672"/>
      <c r="F16" s="657"/>
      <c r="G16" s="657"/>
      <c r="H16" s="665"/>
      <c r="I16" s="665"/>
      <c r="J16" s="625"/>
      <c r="K16" s="495" t="s">
        <v>38</v>
      </c>
      <c r="L16" s="387"/>
      <c r="M16" s="387"/>
      <c r="N16" s="408"/>
      <c r="O16" s="491"/>
      <c r="P16" s="491"/>
      <c r="Q16" s="410" t="str">
        <f t="shared" si="0"/>
        <v/>
      </c>
      <c r="R16" s="284"/>
      <c r="S16" s="284"/>
      <c r="T16" s="388"/>
      <c r="U16" s="480"/>
      <c r="V16" s="491"/>
      <c r="W16" s="499"/>
      <c r="X16" s="363"/>
    </row>
    <row r="17" spans="1:24" x14ac:dyDescent="0.2">
      <c r="A17" s="399" t="s">
        <v>215</v>
      </c>
      <c r="B17" s="489"/>
      <c r="C17" s="498" t="s">
        <v>17</v>
      </c>
      <c r="D17" s="497"/>
      <c r="E17" s="672"/>
      <c r="F17" s="657"/>
      <c r="G17" s="657"/>
      <c r="H17" s="665"/>
      <c r="I17" s="658" t="s">
        <v>17</v>
      </c>
      <c r="J17" s="660" t="s">
        <v>22</v>
      </c>
      <c r="K17" s="495" t="s">
        <v>233</v>
      </c>
      <c r="L17" s="387">
        <f>IF(C17="Inhalation",IF(K17="Central Tendency",'Look-up Values'!$G$13/_xlfn.MAXIFS('Exposure Results'!$H$5:$H$44,'Exposure Results'!$A$5:$A$44,A17,'Exposure Results'!$D$5:$D$44,B17, 'Exposure Results'!$Q$5:$Q$44, D17),'Look-up Values'!$G$13/_xlfn.MAXIFS('Exposure Results'!$G$5:$G$44,'Exposure Results'!$A$5:$A$44,A17,'Exposure Results'!$D$5:$D$44,B17, 'Exposure Results'!$Q$5:$Q$44, D17)),11/_xlfn.MAXIFS(Dermal!$E$15:$E$24,Dermal!$A$15:$A$24, A17,Dermal!$D$15:$D$24, K17))</f>
        <v>405.13788499608677</v>
      </c>
      <c r="M17" s="387">
        <f>IF(C17="Inhalation",IF(K17="Central Tendency",'Look-up Values'!$G$14/_xlfn.MAXIFS('Exposure Results'!$N$5:$N$44,'Exposure Results'!$A$5:$A$44,A17,'Exposure Results'!$D$5:$D$44,B17, 'Exposure Results'!$Q$5:$Q$44, D17),'Look-up Values'!$G$14/_xlfn.MAXIFS('Exposure Results'!$M$5:$M$44,'Exposure Results'!$A$5:$A$44,A17,'Exposure Results'!$D$5:$D$44,B17, 'Exposure Results'!$Q$5:$Q$44, D17)),11/(_xlfn.MAXIFS(Dermal!$E$15:$E$24,Dermal!$A$15:$A$24, A17,Dermal!$D$15:$D$24, K17)*Dermal!$P$15))</f>
        <v>568.75126162912181</v>
      </c>
      <c r="N17" s="408">
        <f>IF(C17="Inhalation",IF(K17="Central Tendency",'Look-up Values'!$K$12*_xlfn.MAXIFS('Exposure Results'!$L$5:$L$44,'Exposure Results'!$A$5:$A$44,A17,'Exposure Results'!$D$5:$D$44,B17, 'Exposure Results'!$Q$5:$Q$44, D17),'Look-up Values'!$K$12*_xlfn.MAXIFS('Exposure Results'!$K$5:$K$44,'Exposure Results'!$A$5:$A$44,A17,'Exposure Results'!$D$5:$D$44,B17, 'Exposure Results'!$Q$5:$Q$44, D17)), _xlfn.MAXIFS(Dermal!$E$124:$E$133,Dermal!$A$124:$A$133, A17, Dermal!$D$124:$D$133, K17))</f>
        <v>6.474528846153846E-5</v>
      </c>
      <c r="O17" s="491"/>
      <c r="P17" s="491"/>
      <c r="Q17" s="410" t="str">
        <f t="shared" si="0"/>
        <v/>
      </c>
      <c r="R17" s="284"/>
      <c r="S17" s="284"/>
      <c r="T17" s="388"/>
      <c r="U17" s="480"/>
      <c r="V17" s="491"/>
      <c r="W17" s="499"/>
      <c r="X17" s="363"/>
    </row>
    <row r="18" spans="1:24" ht="25.5" x14ac:dyDescent="0.2">
      <c r="A18" s="399" t="s">
        <v>215</v>
      </c>
      <c r="C18" s="499" t="s">
        <v>17</v>
      </c>
      <c r="D18" s="501"/>
      <c r="E18" s="672"/>
      <c r="F18" s="657"/>
      <c r="G18" s="657"/>
      <c r="H18" s="665"/>
      <c r="I18" s="659"/>
      <c r="J18" s="661"/>
      <c r="K18" s="495" t="s">
        <v>38</v>
      </c>
      <c r="L18" s="387">
        <f>IF(C18="Inhalation",IF(K18="Central Tendency",'Look-up Values'!$G$13/_xlfn.MAXIFS('Exposure Results'!$H$5:$H$44,'Exposure Results'!$A$5:$A$44,A18,'Exposure Results'!$D$5:$D$44,B18, 'Exposure Results'!$Q$5:$Q$44, D18),'Look-up Values'!$G$13/_xlfn.MAXIFS('Exposure Results'!$G$5:$G$44,'Exposure Results'!$A$5:$A$44,A18,'Exposure Results'!$D$5:$D$44,B18, 'Exposure Results'!$Q$5:$Q$44, D18)),11/_xlfn.MAXIFS(Dermal!$E$15:$E$24,Dermal!$A$15:$A$24, A18,Dermal!$D$15:$D$24, K18))</f>
        <v>135.04596166536226</v>
      </c>
      <c r="M18" s="387">
        <f>IF(C18="Inhalation",IF(K18="Central Tendency",'Look-up Values'!$G$14/_xlfn.MAXIFS('Exposure Results'!$N$5:$N$44,'Exposure Results'!$A$5:$A$44,A18,'Exposure Results'!$D$5:$D$44,B18, 'Exposure Results'!$Q$5:$Q$44, D18),'Look-up Values'!$G$14/_xlfn.MAXIFS('Exposure Results'!$M$5:$M$44,'Exposure Results'!$A$5:$A$44,A18,'Exposure Results'!$D$5:$D$44,B18, 'Exposure Results'!$Q$5:$Q$44, D18)),11/(_xlfn.MAXIFS(Dermal!$E$15:$E$24,Dermal!$A$15:$A$24, A18,Dermal!$D$15:$D$24, K18)*Dermal!$P$15))</f>
        <v>189.58375387637395</v>
      </c>
      <c r="N18" s="408">
        <f>IF(C18="Inhalation",IF(K18="Central Tendency",'Look-up Values'!$K$12*_xlfn.MAXIFS('Exposure Results'!$L$5:$L$44,'Exposure Results'!$A$5:$A$44,A18,'Exposure Results'!$D$5:$D$44,B18, 'Exposure Results'!$Q$5:$Q$44, D18),'Look-up Values'!$K$12*_xlfn.MAXIFS('Exposure Results'!$K$5:$K$44,'Exposure Results'!$A$5:$A$44,A18,'Exposure Results'!$D$5:$D$44,B18, 'Exposure Results'!$Q$5:$Q$44, D18)), _xlfn.MAXIFS(Dermal!$E$124:$E$133,Dermal!$A$124:$A$133, A18, Dermal!$D$124:$D$133, K18))</f>
        <v>2.5062692307692305E-4</v>
      </c>
      <c r="O18" s="491"/>
      <c r="P18" s="491"/>
      <c r="Q18" s="410">
        <f t="shared" si="0"/>
        <v>5.0125384615384611E-5</v>
      </c>
      <c r="R18" s="284"/>
      <c r="S18" s="284"/>
      <c r="T18" s="388" t="str">
        <f>IF(C18="Inhalation", TEXT(IFERROR(N18/W18, ""), "0.00E+00")&amp;CHAR(10)&amp;" (APF "&amp;W18&amp;")", TEXT(IFERROR(N18/X18, ""), "0.00E+00")&amp;CHAR(10)&amp;" (PF "&amp;X18&amp;")")</f>
        <v>5.01E-05
 (PF 5)</v>
      </c>
      <c r="U18" s="480"/>
      <c r="V18" s="491"/>
      <c r="W18" s="499"/>
      <c r="X18" s="499">
        <v>5</v>
      </c>
    </row>
    <row r="19" spans="1:24" ht="12.75" customHeight="1" x14ac:dyDescent="0.2">
      <c r="A19" s="399">
        <v>4</v>
      </c>
      <c r="B19" s="399" t="s">
        <v>39</v>
      </c>
      <c r="C19" s="499" t="s">
        <v>306</v>
      </c>
      <c r="D19" s="495" t="str">
        <f>$J$19</f>
        <v>Monitoring Data</v>
      </c>
      <c r="E19" s="672"/>
      <c r="F19" s="657"/>
      <c r="G19" s="657"/>
      <c r="H19" s="665" t="s">
        <v>39</v>
      </c>
      <c r="I19" s="665" t="s">
        <v>306</v>
      </c>
      <c r="J19" s="625" t="s">
        <v>80</v>
      </c>
      <c r="K19" s="495" t="s">
        <v>233</v>
      </c>
      <c r="L19" s="387">
        <f>IF(C19="Inhalation",IF(K19="Central Tendency",'Look-up Values'!$G$13/_xlfn.MAXIFS('Exposure Results'!$H$5:$H$44,'Exposure Results'!$A$5:$A$44,A19,'Exposure Results'!$D$5:$D$44,B19, 'Exposure Results'!$Q$5:$Q$44, D19),'Look-up Values'!$G$13/_xlfn.MAXIFS('Exposure Results'!$G$5:$G$44,'Exposure Results'!$A$5:$A$44,A19,'Exposure Results'!$D$5:$D$44,B19, 'Exposure Results'!$Q$5:$Q$44, D19)),11/_xlfn.MAXIFS(Dermal!$E$15:$E$24,Dermal!$A$15:$A$24, A19,Dermal!$D$15:$D$24, K19))</f>
        <v>109.6774193548387</v>
      </c>
      <c r="M19" s="387">
        <f>IF(C19="Inhalation",IF(K19="Central Tendency",'Look-up Values'!$G$14/_xlfn.MAXIFS('Exposure Results'!$N$5:$N$44,'Exposure Results'!$A$5:$A$44,A19,'Exposure Results'!$D$5:$D$44,B19, 'Exposure Results'!$Q$5:$Q$44, D19),'Look-up Values'!$G$14/_xlfn.MAXIFS('Exposure Results'!$M$5:$M$44,'Exposure Results'!$A$5:$A$44,A19,'Exposure Results'!$D$5:$D$44,B19, 'Exposure Results'!$Q$5:$Q$44, D19)),11/(_xlfn.MAXIFS(Dermal!$E$15:$E$24,Dermal!$A$15:$A$24, A19,Dermal!$D$15:$D$24, K19)*Dermal!$P$15))</f>
        <v>153.97022332506205</v>
      </c>
      <c r="N19" s="408">
        <f>IF(C19="Inhalation",IF(K19="Central Tendency",'Look-up Values'!$K$12*_xlfn.MAXIFS('Exposure Results'!$L$5:$L$44,'Exposure Results'!$A$5:$A$44,A19,'Exposure Results'!$D$5:$D$44,B19, 'Exposure Results'!$Q$5:$Q$44, D19),'Look-up Values'!$K$12*_xlfn.MAXIFS('Exposure Results'!$K$5:$K$44,'Exposure Results'!$A$5:$A$44,A19,'Exposure Results'!$D$5:$D$44,B19, 'Exposure Results'!$Q$5:$Q$44, D19)), _xlfn.MAXIFS(Dermal!$E$124:$E$133,Dermal!$A$124:$A$133, A19, Dermal!$D$124:$D$133, K19))</f>
        <v>2.4641025641025644E-4</v>
      </c>
      <c r="O19" s="390"/>
      <c r="P19" s="390"/>
      <c r="Q19" s="410" t="str">
        <f t="shared" si="0"/>
        <v/>
      </c>
      <c r="R19" s="284" t="s">
        <v>122</v>
      </c>
      <c r="S19" s="284" t="s">
        <v>122</v>
      </c>
      <c r="T19" s="284" t="s">
        <v>122</v>
      </c>
      <c r="U19" s="480"/>
      <c r="V19" s="491"/>
      <c r="W19" s="499"/>
      <c r="X19" s="363"/>
    </row>
    <row r="20" spans="1:24" x14ac:dyDescent="0.2">
      <c r="A20" s="399">
        <v>4</v>
      </c>
      <c r="B20" s="399" t="s">
        <v>39</v>
      </c>
      <c r="C20" s="499" t="s">
        <v>306</v>
      </c>
      <c r="D20" s="495" t="str">
        <f>$J$19</f>
        <v>Monitoring Data</v>
      </c>
      <c r="E20" s="672"/>
      <c r="F20" s="657"/>
      <c r="G20" s="657"/>
      <c r="H20" s="665"/>
      <c r="I20" s="665"/>
      <c r="J20" s="625"/>
      <c r="K20" s="495" t="s">
        <v>38</v>
      </c>
      <c r="L20" s="387">
        <f>IF(C20="Inhalation",IF(K20="Central Tendency",'Look-up Values'!$G$13/_xlfn.MAXIFS('Exposure Results'!$H$5:$H$44,'Exposure Results'!$A$5:$A$44,A20,'Exposure Results'!$D$5:$D$44,B20, 'Exposure Results'!$Q$5:$Q$44, D20),'Look-up Values'!$G$13/_xlfn.MAXIFS('Exposure Results'!$G$5:$G$44,'Exposure Results'!$A$5:$A$44,A20,'Exposure Results'!$D$5:$D$44,B20, 'Exposure Results'!$Q$5:$Q$44, D20)),11/_xlfn.MAXIFS(Dermal!$E$15:$E$24,Dermal!$A$15:$A$24, A20,Dermal!$D$15:$D$24, K20))</f>
        <v>61.705989110707797</v>
      </c>
      <c r="M20" s="387">
        <f>IF(C20="Inhalation",IF(K20="Central Tendency",'Look-up Values'!$G$14/_xlfn.MAXIFS('Exposure Results'!$N$5:$N$44,'Exposure Results'!$A$5:$A$44,A20,'Exposure Results'!$D$5:$D$44,B20, 'Exposure Results'!$Q$5:$Q$44, D20),'Look-up Values'!$G$14/_xlfn.MAXIFS('Exposure Results'!$M$5:$M$44,'Exposure Results'!$A$5:$A$44,A20,'Exposure Results'!$D$5:$D$44,B20, 'Exposure Results'!$Q$5:$Q$44, D20)),11/(_xlfn.MAXIFS(Dermal!$E$15:$E$24,Dermal!$A$15:$A$24, A20,Dermal!$D$15:$D$24, K20)*Dermal!$P$15))</f>
        <v>86.625715482339785</v>
      </c>
      <c r="N20" s="408">
        <f>IF(C20="Inhalation",IF(K20="Central Tendency",'Look-up Values'!$K$12*_xlfn.MAXIFS('Exposure Results'!$L$5:$L$44,'Exposure Results'!$A$5:$A$44,A20,'Exposure Results'!$D$5:$D$44,B20, 'Exposure Results'!$Q$5:$Q$44, D20),'Look-up Values'!$K$12*_xlfn.MAXIFS('Exposure Results'!$K$5:$K$44,'Exposure Results'!$A$5:$A$44,A20,'Exposure Results'!$D$5:$D$44,B20, 'Exposure Results'!$Q$5:$Q$44, D20)), _xlfn.MAXIFS(Dermal!$E$124:$E$133,Dermal!$A$124:$A$133, A20, Dermal!$D$124:$D$133, K20))</f>
        <v>5.6512820512820514E-4</v>
      </c>
      <c r="O20" s="491"/>
      <c r="P20" s="390"/>
      <c r="Q20" s="410" t="str">
        <f t="shared" si="0"/>
        <v/>
      </c>
      <c r="R20" s="284" t="s">
        <v>122</v>
      </c>
      <c r="S20" s="284" t="s">
        <v>122</v>
      </c>
      <c r="T20" s="284" t="s">
        <v>122</v>
      </c>
      <c r="U20" s="480"/>
      <c r="V20" s="491"/>
      <c r="W20" s="499"/>
      <c r="X20" s="363"/>
    </row>
    <row r="21" spans="1:24" x14ac:dyDescent="0.2">
      <c r="A21" s="306" t="s">
        <v>120</v>
      </c>
      <c r="B21" s="499" t="s">
        <v>37</v>
      </c>
      <c r="C21" s="499" t="s">
        <v>306</v>
      </c>
      <c r="D21" s="495" t="str">
        <f>$J$21</f>
        <v>Model</v>
      </c>
      <c r="E21" s="657" t="s">
        <v>318</v>
      </c>
      <c r="F21" s="657" t="s">
        <v>319</v>
      </c>
      <c r="G21" s="657" t="s">
        <v>320</v>
      </c>
      <c r="H21" s="665" t="s">
        <v>37</v>
      </c>
      <c r="I21" s="665" t="s">
        <v>306</v>
      </c>
      <c r="J21" s="625" t="s">
        <v>22</v>
      </c>
      <c r="K21" s="495" t="s">
        <v>233</v>
      </c>
      <c r="L21" s="387">
        <f>IF(C21="Inhalation",IF(K21="Central Tendency",'Look-up Values'!$G$13/_xlfn.MAXIFS('Exposure Results'!$H$5:$H$44,'Exposure Results'!$A$5:$A$44,A21,'Exposure Results'!$D$5:$D$44,B21, 'Exposure Results'!$Q$5:$Q$44, D21),'Look-up Values'!$G$13/_xlfn.MAXIFS('Exposure Results'!$G$5:$G$44,'Exposure Results'!$A$5:$A$44,A21,'Exposure Results'!$D$5:$D$44,B21, 'Exposure Results'!$Q$5:$Q$44, D21)),11/_xlfn.MAXIFS(Dermal!$E$15:$E$24,Dermal!$A$15:$A$24, A21,Dermal!$D$15:$D$24, K21))</f>
        <v>4441.3150870406907</v>
      </c>
      <c r="M21" s="387">
        <f>IF(C21="Inhalation",IF(K21="Central Tendency",'Look-up Values'!$G$14/_xlfn.MAXIFS('Exposure Results'!$N$5:$N$44,'Exposure Results'!$A$5:$A$44,A21,'Exposure Results'!$D$5:$D$44,B21, 'Exposure Results'!$Q$5:$Q$44, D21),'Look-up Values'!$G$14/_xlfn.MAXIFS('Exposure Results'!$M$5:$M$44,'Exposure Results'!$A$5:$A$44,A21,'Exposure Results'!$D$5:$D$44,B21, 'Exposure Results'!$Q$5:$Q$44, D21)),11/(_xlfn.MAXIFS(Dermal!$E$15:$E$24,Dermal!$A$15:$A$24, A21,Dermal!$D$15:$D$24, K21)*Dermal!$P$15))</f>
        <v>6234.92310296097</v>
      </c>
      <c r="N21" s="408">
        <f>IF(C21="Inhalation",IF(K21="Central Tendency",'Look-up Values'!$K$12*_xlfn.MAXIFS('Exposure Results'!$L$5:$L$44,'Exposure Results'!$A$5:$A$44,A21,'Exposure Results'!$D$5:$D$44,B21, 'Exposure Results'!$Q$5:$Q$44, D21),'Look-up Values'!$K$12*_xlfn.MAXIFS('Exposure Results'!$K$5:$K$44,'Exposure Results'!$A$5:$A$44,A21,'Exposure Results'!$D$5:$D$44,B21, 'Exposure Results'!$Q$5:$Q$44, D21)), _xlfn.MAXIFS(Dermal!$E$124:$E$133,Dermal!$A$124:$A$133, A21, Dermal!$D$124:$D$133, K21))</f>
        <v>6.0850537500703602E-6</v>
      </c>
      <c r="O21" s="390"/>
      <c r="P21" s="390"/>
      <c r="Q21" s="410" t="str">
        <f t="shared" si="0"/>
        <v/>
      </c>
      <c r="R21" s="284"/>
      <c r="S21" s="284"/>
      <c r="T21" s="284"/>
      <c r="U21" s="480"/>
      <c r="V21" s="491"/>
      <c r="W21" s="499"/>
      <c r="X21" s="363"/>
    </row>
    <row r="22" spans="1:24" ht="25.5" x14ac:dyDescent="0.2">
      <c r="A22" s="306" t="s">
        <v>120</v>
      </c>
      <c r="B22" s="499" t="s">
        <v>37</v>
      </c>
      <c r="C22" s="499" t="s">
        <v>306</v>
      </c>
      <c r="D22" s="495" t="str">
        <f>$J$21</f>
        <v>Model</v>
      </c>
      <c r="E22" s="657"/>
      <c r="F22" s="657"/>
      <c r="G22" s="657"/>
      <c r="H22" s="665"/>
      <c r="I22" s="665"/>
      <c r="J22" s="625"/>
      <c r="K22" s="495" t="s">
        <v>38</v>
      </c>
      <c r="L22" s="387">
        <f>IF(C22="Inhalation",IF(K22="Central Tendency",'Look-up Values'!$G$13/_xlfn.MAXIFS('Exposure Results'!$H$5:$H$44,'Exposure Results'!$A$5:$A$44,A22,'Exposure Results'!$D$5:$D$44,B22, 'Exposure Results'!$Q$5:$Q$44, D22),'Look-up Values'!$G$13/_xlfn.MAXIFS('Exposure Results'!$G$5:$G$44,'Exposure Results'!$A$5:$A$44,A22,'Exposure Results'!$D$5:$D$44,B22, 'Exposure Results'!$Q$5:$Q$44, D22)),11/_xlfn.MAXIFS(Dermal!$E$15:$E$24,Dermal!$A$15:$A$24, A22,Dermal!$D$15:$D$24, K22))</f>
        <v>299.6352492220156</v>
      </c>
      <c r="M22" s="387">
        <f>IF(C22="Inhalation",IF(K22="Central Tendency",'Look-up Values'!$G$14/_xlfn.MAXIFS('Exposure Results'!$N$5:$N$44,'Exposure Results'!$A$5:$A$44,A22,'Exposure Results'!$D$5:$D$44,B22, 'Exposure Results'!$Q$5:$Q$44, D22),'Look-up Values'!$G$14/_xlfn.MAXIFS('Exposure Results'!$M$5:$M$44,'Exposure Results'!$A$5:$A$44,A22,'Exposure Results'!$D$5:$D$44,B22, 'Exposure Results'!$Q$5:$Q$44, D22)),11/(_xlfn.MAXIFS(Dermal!$E$15:$E$24,Dermal!$A$15:$A$24, A22,Dermal!$D$15:$D$24, K22)*Dermal!$P$15))</f>
        <v>420.64179217706038</v>
      </c>
      <c r="N22" s="408">
        <f>IF(C22="Inhalation",IF(K22="Central Tendency",'Look-up Values'!$K$12*_xlfn.MAXIFS('Exposure Results'!$L$5:$L$44,'Exposure Results'!$A$5:$A$44,A22,'Exposure Results'!$D$5:$D$44,B22, 'Exposure Results'!$Q$5:$Q$44, D22),'Look-up Values'!$K$12*_xlfn.MAXIFS('Exposure Results'!$K$5:$K$44,'Exposure Results'!$A$5:$A$44,A22,'Exposure Results'!$D$5:$D$44,B22, 'Exposure Results'!$Q$5:$Q$44, D22)), _xlfn.MAXIFS(Dermal!$E$124:$E$133,Dermal!$A$124:$A$133, A22, Dermal!$D$124:$D$133, K22))</f>
        <v>1.1638081621684141E-4</v>
      </c>
      <c r="O22" s="390"/>
      <c r="P22" s="390"/>
      <c r="Q22" s="410">
        <f t="shared" si="0"/>
        <v>1.1638081621684141E-5</v>
      </c>
      <c r="R22" s="284"/>
      <c r="S22" s="284"/>
      <c r="T22" s="388" t="str">
        <f>IF(C22="Inhalation", TEXT(IFERROR(N22/W22, ""), "0.00E+00")&amp;CHAR(10)&amp;" (APF "&amp;W22&amp;")", TEXT(IFERROR(N22/X22, ""), "0.00E+00")&amp;CHAR(10)&amp;" (PF "&amp;X22&amp;")")</f>
        <v>1.16E-05
 (APF 10)</v>
      </c>
      <c r="U22" s="480"/>
      <c r="V22" s="491"/>
      <c r="W22" s="499">
        <v>10</v>
      </c>
      <c r="X22" s="363"/>
    </row>
    <row r="23" spans="1:24" x14ac:dyDescent="0.2">
      <c r="A23" s="399" t="s">
        <v>215</v>
      </c>
      <c r="B23" s="489"/>
      <c r="C23" s="498" t="s">
        <v>17</v>
      </c>
      <c r="D23" s="497"/>
      <c r="E23" s="657"/>
      <c r="F23" s="657"/>
      <c r="G23" s="657"/>
      <c r="H23" s="665"/>
      <c r="I23" s="658" t="s">
        <v>17</v>
      </c>
      <c r="J23" s="660" t="s">
        <v>22</v>
      </c>
      <c r="K23" s="495" t="s">
        <v>233</v>
      </c>
      <c r="L23" s="387">
        <f>IF(C23="Inhalation",IF(K23="Central Tendency",'Look-up Values'!$G$13/_xlfn.MAXIFS('Exposure Results'!$H$5:$H$44,'Exposure Results'!$A$5:$A$44,A23,'Exposure Results'!$D$5:$D$44,B23, 'Exposure Results'!$Q$5:$Q$44, D23),'Look-up Values'!$G$13/_xlfn.MAXIFS('Exposure Results'!$G$5:$G$44,'Exposure Results'!$A$5:$A$44,A23,'Exposure Results'!$D$5:$D$44,B23, 'Exposure Results'!$Q$5:$Q$44, D23)),11/_xlfn.MAXIFS(Dermal!$E$15:$E$24,Dermal!$A$15:$A$24, A23,Dermal!$D$15:$D$24, K23))</f>
        <v>405.13788499608677</v>
      </c>
      <c r="M23" s="387">
        <f>IF(C23="Inhalation",IF(K23="Central Tendency",'Look-up Values'!$G$14/_xlfn.MAXIFS('Exposure Results'!$N$5:$N$44,'Exposure Results'!$A$5:$A$44,A23,'Exposure Results'!$D$5:$D$44,B23, 'Exposure Results'!$Q$5:$Q$44, D23),'Look-up Values'!$G$14/_xlfn.MAXIFS('Exposure Results'!$M$5:$M$44,'Exposure Results'!$A$5:$A$44,A23,'Exposure Results'!$D$5:$D$44,B23, 'Exposure Results'!$Q$5:$Q$44, D23)),11/(_xlfn.MAXIFS(Dermal!$E$15:$E$24,Dermal!$A$15:$A$24, A23,Dermal!$D$15:$D$24, K23)*Dermal!$P$15))</f>
        <v>568.75126162912181</v>
      </c>
      <c r="N23" s="408">
        <f>IF(C23="Inhalation",IF(K23="Central Tendency",'Look-up Values'!$K$12*_xlfn.MAXIFS('Exposure Results'!$L$5:$L$44,'Exposure Results'!$A$5:$A$44,A23,'Exposure Results'!$D$5:$D$44,B23, 'Exposure Results'!$Q$5:$Q$44, D23),'Look-up Values'!$K$12*_xlfn.MAXIFS('Exposure Results'!$K$5:$K$44,'Exposure Results'!$A$5:$A$44,A23,'Exposure Results'!$D$5:$D$44,B23, 'Exposure Results'!$Q$5:$Q$44, D23)), _xlfn.MAXIFS(Dermal!$E$124:$E$133,Dermal!$A$124:$A$133, A23, Dermal!$D$124:$D$133, K23))</f>
        <v>6.474528846153846E-5</v>
      </c>
      <c r="O23" s="390"/>
      <c r="P23" s="390"/>
      <c r="Q23" s="410" t="str">
        <f t="shared" si="0"/>
        <v/>
      </c>
      <c r="R23" s="284"/>
      <c r="S23" s="284"/>
      <c r="T23" s="388"/>
      <c r="U23" s="480"/>
      <c r="V23" s="491"/>
      <c r="W23" s="499"/>
      <c r="X23" s="363"/>
    </row>
    <row r="24" spans="1:24" ht="25.5" x14ac:dyDescent="0.2">
      <c r="A24" s="399" t="s">
        <v>215</v>
      </c>
      <c r="C24" s="499" t="s">
        <v>17</v>
      </c>
      <c r="D24" s="501"/>
      <c r="E24" s="657"/>
      <c r="F24" s="657"/>
      <c r="G24" s="657"/>
      <c r="H24" s="665"/>
      <c r="I24" s="659"/>
      <c r="J24" s="661"/>
      <c r="K24" s="495" t="s">
        <v>38</v>
      </c>
      <c r="L24" s="387">
        <f>IF(C24="Inhalation",IF(K24="Central Tendency",'Look-up Values'!$G$13/_xlfn.MAXIFS('Exposure Results'!$H$5:$H$44,'Exposure Results'!$A$5:$A$44,A24,'Exposure Results'!$D$5:$D$44,B24, 'Exposure Results'!$Q$5:$Q$44, D24),'Look-up Values'!$G$13/_xlfn.MAXIFS('Exposure Results'!$G$5:$G$44,'Exposure Results'!$A$5:$A$44,A24,'Exposure Results'!$D$5:$D$44,B24, 'Exposure Results'!$Q$5:$Q$44, D24)),11/_xlfn.MAXIFS(Dermal!$E$15:$E$24,Dermal!$A$15:$A$24, A24,Dermal!$D$15:$D$24, K24))</f>
        <v>135.04596166536226</v>
      </c>
      <c r="M24" s="387">
        <f>IF(C24="Inhalation",IF(K24="Central Tendency",'Look-up Values'!$G$14/_xlfn.MAXIFS('Exposure Results'!$N$5:$N$44,'Exposure Results'!$A$5:$A$44,A24,'Exposure Results'!$D$5:$D$44,B24, 'Exposure Results'!$Q$5:$Q$44, D24),'Look-up Values'!$G$14/_xlfn.MAXIFS('Exposure Results'!$M$5:$M$44,'Exposure Results'!$A$5:$A$44,A24,'Exposure Results'!$D$5:$D$44,B24, 'Exposure Results'!$Q$5:$Q$44, D24)),11/(_xlfn.MAXIFS(Dermal!$E$15:$E$24,Dermal!$A$15:$A$24, A24,Dermal!$D$15:$D$24, K24)*Dermal!$P$15))</f>
        <v>189.58375387637395</v>
      </c>
      <c r="N24" s="408">
        <f>IF(C24="Inhalation",IF(K24="Central Tendency",'Look-up Values'!$K$12*_xlfn.MAXIFS('Exposure Results'!$L$5:$L$44,'Exposure Results'!$A$5:$A$44,A24,'Exposure Results'!$D$5:$D$44,B24, 'Exposure Results'!$Q$5:$Q$44, D24),'Look-up Values'!$K$12*_xlfn.MAXIFS('Exposure Results'!$K$5:$K$44,'Exposure Results'!$A$5:$A$44,A24,'Exposure Results'!$D$5:$D$44,B24, 'Exposure Results'!$Q$5:$Q$44, D24)), _xlfn.MAXIFS(Dermal!$E$124:$E$133,Dermal!$A$124:$A$133, A24, Dermal!$D$124:$D$133, K24))</f>
        <v>2.5062692307692305E-4</v>
      </c>
      <c r="O24" s="491"/>
      <c r="P24" s="491"/>
      <c r="Q24" s="410">
        <f t="shared" si="0"/>
        <v>5.0125384615384611E-5</v>
      </c>
      <c r="R24" s="284"/>
      <c r="S24" s="284"/>
      <c r="T24" s="388" t="str">
        <f t="shared" ref="T24:T32" si="3">IF(C24="Inhalation", TEXT(IFERROR(N24/W24, ""), "0.00E+00")&amp;CHAR(10)&amp;" (APF "&amp;W24&amp;")", TEXT(IFERROR(N24/X24, ""), "0.00E+00")&amp;CHAR(10)&amp;" (PF "&amp;X24&amp;")")</f>
        <v>5.01E-05
 (PF 5)</v>
      </c>
      <c r="U24" s="480"/>
      <c r="V24" s="491"/>
      <c r="W24" s="499">
        <v>10</v>
      </c>
      <c r="X24" s="499">
        <v>5</v>
      </c>
    </row>
    <row r="25" spans="1:24" x14ac:dyDescent="0.2">
      <c r="A25" s="306" t="s">
        <v>120</v>
      </c>
      <c r="B25" s="499" t="s">
        <v>37</v>
      </c>
      <c r="C25" s="499" t="s">
        <v>306</v>
      </c>
      <c r="D25" s="495" t="str">
        <f>$J$25</f>
        <v>Model</v>
      </c>
      <c r="E25" s="657" t="s">
        <v>321</v>
      </c>
      <c r="F25" s="657" t="s">
        <v>322</v>
      </c>
      <c r="G25" s="657" t="s">
        <v>323</v>
      </c>
      <c r="H25" s="665" t="s">
        <v>37</v>
      </c>
      <c r="I25" s="665" t="s">
        <v>306</v>
      </c>
      <c r="J25" s="625" t="s">
        <v>22</v>
      </c>
      <c r="K25" s="495" t="s">
        <v>233</v>
      </c>
      <c r="L25" s="387">
        <f>IF(C25="Inhalation",IF(K25="Central Tendency",'Look-up Values'!$G$13/_xlfn.MAXIFS('Exposure Results'!$H$5:$H$44,'Exposure Results'!$A$5:$A$44,A25,'Exposure Results'!$D$5:$D$44,B25, 'Exposure Results'!$Q$5:$Q$44, D25),'Look-up Values'!$G$13/_xlfn.MAXIFS('Exposure Results'!$G$5:$G$44,'Exposure Results'!$A$5:$A$44,A25,'Exposure Results'!$D$5:$D$44,B25, 'Exposure Results'!$Q$5:$Q$44, D25)),11/_xlfn.MAXIFS(Dermal!$E$15:$E$24,Dermal!$A$15:$A$24, A25,Dermal!$D$15:$D$24, K25))</f>
        <v>4441.3150870406907</v>
      </c>
      <c r="M25" s="387">
        <f>IF(C25="Inhalation",IF(K25="Central Tendency",'Look-up Values'!$G$14/_xlfn.MAXIFS('Exposure Results'!$N$5:$N$44,'Exposure Results'!$A$5:$A$44,A25,'Exposure Results'!$D$5:$D$44,B25, 'Exposure Results'!$Q$5:$Q$44, D25),'Look-up Values'!$G$14/_xlfn.MAXIFS('Exposure Results'!$M$5:$M$44,'Exposure Results'!$A$5:$A$44,A25,'Exposure Results'!$D$5:$D$44,B25, 'Exposure Results'!$Q$5:$Q$44, D25)),11/(_xlfn.MAXIFS(Dermal!$E$15:$E$24,Dermal!$A$15:$A$24, A25,Dermal!$D$15:$D$24, K25)*Dermal!$P$15))</f>
        <v>6234.92310296097</v>
      </c>
      <c r="N25" s="408">
        <f>IF(C25="Inhalation",IF(K25="Central Tendency",'Look-up Values'!$K$12*_xlfn.MAXIFS('Exposure Results'!$L$5:$L$44,'Exposure Results'!$A$5:$A$44,A25,'Exposure Results'!$D$5:$D$44,B25, 'Exposure Results'!$Q$5:$Q$44, D25),'Look-up Values'!$K$12*_xlfn.MAXIFS('Exposure Results'!$K$5:$K$44,'Exposure Results'!$A$5:$A$44,A25,'Exposure Results'!$D$5:$D$44,B25, 'Exposure Results'!$Q$5:$Q$44, D25)), _xlfn.MAXIFS(Dermal!$E$124:$E$133,Dermal!$A$124:$A$133, A25, Dermal!$D$124:$D$133, K25))</f>
        <v>6.0850537500703602E-6</v>
      </c>
      <c r="O25" s="390"/>
      <c r="P25" s="390"/>
      <c r="Q25" s="410" t="str">
        <f t="shared" si="0"/>
        <v/>
      </c>
      <c r="R25" s="284"/>
      <c r="S25" s="284"/>
      <c r="T25" s="388"/>
      <c r="U25" s="480"/>
      <c r="V25" s="491"/>
      <c r="W25" s="499"/>
      <c r="X25" s="363"/>
    </row>
    <row r="26" spans="1:24" ht="25.5" x14ac:dyDescent="0.2">
      <c r="A26" s="306" t="s">
        <v>120</v>
      </c>
      <c r="B26" s="499" t="s">
        <v>37</v>
      </c>
      <c r="C26" s="499" t="s">
        <v>306</v>
      </c>
      <c r="D26" s="495" t="str">
        <f>$J$25</f>
        <v>Model</v>
      </c>
      <c r="E26" s="657"/>
      <c r="F26" s="657"/>
      <c r="G26" s="657"/>
      <c r="H26" s="665"/>
      <c r="I26" s="665"/>
      <c r="J26" s="625"/>
      <c r="K26" s="495" t="s">
        <v>38</v>
      </c>
      <c r="L26" s="387">
        <f>IF(C26="Inhalation",IF(K26="Central Tendency",'Look-up Values'!$G$13/_xlfn.MAXIFS('Exposure Results'!$H$5:$H$44,'Exposure Results'!$A$5:$A$44,A26,'Exposure Results'!$D$5:$D$44,B26, 'Exposure Results'!$Q$5:$Q$44, D26),'Look-up Values'!$G$13/_xlfn.MAXIFS('Exposure Results'!$G$5:$G$44,'Exposure Results'!$A$5:$A$44,A26,'Exposure Results'!$D$5:$D$44,B26, 'Exposure Results'!$Q$5:$Q$44, D26)),11/_xlfn.MAXIFS(Dermal!$E$15:$E$24,Dermal!$A$15:$A$24, A26,Dermal!$D$15:$D$24, K26))</f>
        <v>299.6352492220156</v>
      </c>
      <c r="M26" s="387">
        <f>IF(C26="Inhalation",IF(K26="Central Tendency",'Look-up Values'!$G$14/_xlfn.MAXIFS('Exposure Results'!$N$5:$N$44,'Exposure Results'!$A$5:$A$44,A26,'Exposure Results'!$D$5:$D$44,B26, 'Exposure Results'!$Q$5:$Q$44, D26),'Look-up Values'!$G$14/_xlfn.MAXIFS('Exposure Results'!$M$5:$M$44,'Exposure Results'!$A$5:$A$44,A26,'Exposure Results'!$D$5:$D$44,B26, 'Exposure Results'!$Q$5:$Q$44, D26)),11/(_xlfn.MAXIFS(Dermal!$E$15:$E$24,Dermal!$A$15:$A$24, A26,Dermal!$D$15:$D$24, K26)*Dermal!$P$15))</f>
        <v>420.64179217706038</v>
      </c>
      <c r="N26" s="408">
        <f>IF(C26="Inhalation",IF(K26="Central Tendency",'Look-up Values'!$K$12*_xlfn.MAXIFS('Exposure Results'!$L$5:$L$44,'Exposure Results'!$A$5:$A$44,A26,'Exposure Results'!$D$5:$D$44,B26, 'Exposure Results'!$Q$5:$Q$44, D26),'Look-up Values'!$K$12*_xlfn.MAXIFS('Exposure Results'!$K$5:$K$44,'Exposure Results'!$A$5:$A$44,A26,'Exposure Results'!$D$5:$D$44,B26, 'Exposure Results'!$Q$5:$Q$44, D26)), _xlfn.MAXIFS(Dermal!$E$124:$E$133,Dermal!$A$124:$A$133, A26, Dermal!$D$124:$D$133, K26))</f>
        <v>1.1638081621684141E-4</v>
      </c>
      <c r="O26" s="390"/>
      <c r="P26" s="390"/>
      <c r="Q26" s="410">
        <f t="shared" si="0"/>
        <v>1.1638081621684141E-5</v>
      </c>
      <c r="R26" s="284"/>
      <c r="S26" s="284"/>
      <c r="T26" s="388" t="str">
        <f t="shared" si="3"/>
        <v>1.16E-05
 (APF 10)</v>
      </c>
      <c r="U26" s="480"/>
      <c r="V26" s="491"/>
      <c r="W26" s="499">
        <v>10</v>
      </c>
      <c r="X26" s="363"/>
    </row>
    <row r="27" spans="1:24" x14ac:dyDescent="0.2">
      <c r="A27" s="399" t="s">
        <v>215</v>
      </c>
      <c r="B27" s="489"/>
      <c r="C27" s="498" t="s">
        <v>17</v>
      </c>
      <c r="D27" s="497"/>
      <c r="E27" s="657"/>
      <c r="F27" s="657"/>
      <c r="G27" s="657"/>
      <c r="H27" s="665"/>
      <c r="I27" s="658" t="s">
        <v>17</v>
      </c>
      <c r="J27" s="660" t="s">
        <v>22</v>
      </c>
      <c r="K27" s="495" t="s">
        <v>233</v>
      </c>
      <c r="L27" s="387">
        <f>IF(C27="Inhalation",IF(K27="Central Tendency",'Look-up Values'!$G$13/_xlfn.MAXIFS('Exposure Results'!$H$5:$H$44,'Exposure Results'!$A$5:$A$44,A27,'Exposure Results'!$D$5:$D$44,B27, 'Exposure Results'!$Q$5:$Q$44, D27),'Look-up Values'!$G$13/_xlfn.MAXIFS('Exposure Results'!$G$5:$G$44,'Exposure Results'!$A$5:$A$44,A27,'Exposure Results'!$D$5:$D$44,B27, 'Exposure Results'!$Q$5:$Q$44, D27)),11/_xlfn.MAXIFS(Dermal!$E$15:$E$24,Dermal!$A$15:$A$24, A27,Dermal!$D$15:$D$24, K27))</f>
        <v>405.13788499608677</v>
      </c>
      <c r="M27" s="387">
        <f>IF(C27="Inhalation",IF(K27="Central Tendency",'Look-up Values'!$G$14/_xlfn.MAXIFS('Exposure Results'!$N$5:$N$44,'Exposure Results'!$A$5:$A$44,A27,'Exposure Results'!$D$5:$D$44,B27, 'Exposure Results'!$Q$5:$Q$44, D27),'Look-up Values'!$G$14/_xlfn.MAXIFS('Exposure Results'!$M$5:$M$44,'Exposure Results'!$A$5:$A$44,A27,'Exposure Results'!$D$5:$D$44,B27, 'Exposure Results'!$Q$5:$Q$44, D27)),11/(_xlfn.MAXIFS(Dermal!$E$15:$E$24,Dermal!$A$15:$A$24, A27,Dermal!$D$15:$D$24, K27)*Dermal!$P$15))</f>
        <v>568.75126162912181</v>
      </c>
      <c r="N27" s="408">
        <f>IF(C27="Inhalation",IF(K27="Central Tendency",'Look-up Values'!$K$12*_xlfn.MAXIFS('Exposure Results'!$L$5:$L$44,'Exposure Results'!$A$5:$A$44,A27,'Exposure Results'!$D$5:$D$44,B27, 'Exposure Results'!$Q$5:$Q$44, D27),'Look-up Values'!$K$12*_xlfn.MAXIFS('Exposure Results'!$K$5:$K$44,'Exposure Results'!$A$5:$A$44,A27,'Exposure Results'!$D$5:$D$44,B27, 'Exposure Results'!$Q$5:$Q$44, D27)), _xlfn.MAXIFS(Dermal!$E$124:$E$133,Dermal!$A$124:$A$133, A27, Dermal!$D$124:$D$133, K27))</f>
        <v>6.474528846153846E-5</v>
      </c>
      <c r="O27" s="390"/>
      <c r="P27" s="390"/>
      <c r="Q27" s="410" t="str">
        <f t="shared" si="0"/>
        <v/>
      </c>
      <c r="R27" s="284"/>
      <c r="S27" s="284"/>
      <c r="T27" s="388"/>
      <c r="U27" s="480"/>
      <c r="V27" s="491"/>
      <c r="W27" s="499"/>
      <c r="X27" s="363"/>
    </row>
    <row r="28" spans="1:24" ht="25.5" x14ac:dyDescent="0.2">
      <c r="A28" s="399" t="s">
        <v>215</v>
      </c>
      <c r="C28" s="499" t="s">
        <v>17</v>
      </c>
      <c r="D28" s="501"/>
      <c r="E28" s="657"/>
      <c r="F28" s="657"/>
      <c r="G28" s="657"/>
      <c r="H28" s="665"/>
      <c r="I28" s="659"/>
      <c r="J28" s="661"/>
      <c r="K28" s="495" t="s">
        <v>38</v>
      </c>
      <c r="L28" s="387">
        <f>IF(C28="Inhalation",IF(K28="Central Tendency",'Look-up Values'!$G$13/_xlfn.MAXIFS('Exposure Results'!$H$5:$H$44,'Exposure Results'!$A$5:$A$44,A28,'Exposure Results'!$D$5:$D$44,B28, 'Exposure Results'!$Q$5:$Q$44, D28),'Look-up Values'!$G$13/_xlfn.MAXIFS('Exposure Results'!$G$5:$G$44,'Exposure Results'!$A$5:$A$44,A28,'Exposure Results'!$D$5:$D$44,B28, 'Exposure Results'!$Q$5:$Q$44, D28)),11/_xlfn.MAXIFS(Dermal!$E$15:$E$24,Dermal!$A$15:$A$24, A28,Dermal!$D$15:$D$24, K28))</f>
        <v>135.04596166536226</v>
      </c>
      <c r="M28" s="387">
        <f>IF(C28="Inhalation",IF(K28="Central Tendency",'Look-up Values'!$G$14/_xlfn.MAXIFS('Exposure Results'!$N$5:$N$44,'Exposure Results'!$A$5:$A$44,A28,'Exposure Results'!$D$5:$D$44,B28, 'Exposure Results'!$Q$5:$Q$44, D28),'Look-up Values'!$G$14/_xlfn.MAXIFS('Exposure Results'!$M$5:$M$44,'Exposure Results'!$A$5:$A$44,A28,'Exposure Results'!$D$5:$D$44,B28, 'Exposure Results'!$Q$5:$Q$44, D28)),11/(_xlfn.MAXIFS(Dermal!$E$15:$E$24,Dermal!$A$15:$A$24, A28,Dermal!$D$15:$D$24, K28)*Dermal!$P$15))</f>
        <v>189.58375387637395</v>
      </c>
      <c r="N28" s="408">
        <f>IF(C28="Inhalation",IF(K28="Central Tendency",'Look-up Values'!$K$12*_xlfn.MAXIFS('Exposure Results'!$L$5:$L$44,'Exposure Results'!$A$5:$A$44,A28,'Exposure Results'!$D$5:$D$44,B28, 'Exposure Results'!$Q$5:$Q$44, D28),'Look-up Values'!$K$12*_xlfn.MAXIFS('Exposure Results'!$K$5:$K$44,'Exposure Results'!$A$5:$A$44,A28,'Exposure Results'!$D$5:$D$44,B28, 'Exposure Results'!$Q$5:$Q$44, D28)), _xlfn.MAXIFS(Dermal!$E$124:$E$133,Dermal!$A$124:$A$133, A28, Dermal!$D$124:$D$133, K28))</f>
        <v>2.5062692307692305E-4</v>
      </c>
      <c r="O28" s="491"/>
      <c r="P28" s="491"/>
      <c r="Q28" s="410">
        <f t="shared" si="0"/>
        <v>5.0125384615384611E-5</v>
      </c>
      <c r="R28" s="284"/>
      <c r="S28" s="284"/>
      <c r="T28" s="388" t="str">
        <f t="shared" si="3"/>
        <v>5.01E-05
 (PF 5)</v>
      </c>
      <c r="U28" s="480"/>
      <c r="V28" s="491"/>
      <c r="W28" s="499">
        <v>10</v>
      </c>
      <c r="X28" s="499">
        <v>5</v>
      </c>
    </row>
    <row r="29" spans="1:24" x14ac:dyDescent="0.2">
      <c r="A29" s="399">
        <v>6</v>
      </c>
      <c r="B29" s="499" t="s">
        <v>37</v>
      </c>
      <c r="C29" s="499" t="s">
        <v>306</v>
      </c>
      <c r="D29" s="497" t="str">
        <f>$J$29</f>
        <v>Model</v>
      </c>
      <c r="E29" s="657" t="s">
        <v>324</v>
      </c>
      <c r="F29" s="657" t="s">
        <v>325</v>
      </c>
      <c r="G29" s="657" t="s">
        <v>170</v>
      </c>
      <c r="H29" s="665" t="s">
        <v>37</v>
      </c>
      <c r="I29" s="665" t="s">
        <v>306</v>
      </c>
      <c r="J29" s="660" t="s">
        <v>22</v>
      </c>
      <c r="K29" s="495" t="s">
        <v>233</v>
      </c>
      <c r="L29" s="387">
        <f>IF(C29="Inhalation",IF(K29="Central Tendency",'Look-up Values'!$G$13/_xlfn.MAXIFS('Exposure Results'!$H$5:$H$44,'Exposure Results'!$A$5:$A$44,A29,'Exposure Results'!$D$5:$D$44,B29, 'Exposure Results'!$Q$5:$Q$44, D29),'Look-up Values'!$G$13/_xlfn.MAXIFS('Exposure Results'!$G$5:$G$44,'Exposure Results'!$A$5:$A$44,A29,'Exposure Results'!$D$5:$D$44,B29, 'Exposure Results'!$Q$5:$Q$44, D29)),11/_xlfn.MAXIFS(Dermal!$E$15:$E$24,Dermal!$A$15:$A$24, A29,Dermal!$D$15:$D$24, K29))</f>
        <v>4441.3150870406907</v>
      </c>
      <c r="M29" s="387">
        <f>IF(C29="Inhalation",IF(K29="Central Tendency",'Look-up Values'!$G$14/_xlfn.MAXIFS('Exposure Results'!$N$5:$N$44,'Exposure Results'!$A$5:$A$44,A29,'Exposure Results'!$D$5:$D$44,B29, 'Exposure Results'!$Q$5:$Q$44, D29),'Look-up Values'!$G$14/_xlfn.MAXIFS('Exposure Results'!$M$5:$M$44,'Exposure Results'!$A$5:$A$44,A29,'Exposure Results'!$D$5:$D$44,B29, 'Exposure Results'!$Q$5:$Q$44, D29)),11/(_xlfn.MAXIFS(Dermal!$E$15:$E$24,Dermal!$A$15:$A$24, A29,Dermal!$D$15:$D$24, K29)*Dermal!$P$15))</f>
        <v>6234.92310296097</v>
      </c>
      <c r="N29" s="408">
        <f>IF(C29="Inhalation",IF(K29="Central Tendency",'Look-up Values'!$K$12*_xlfn.MAXIFS('Exposure Results'!$L$5:$L$44,'Exposure Results'!$A$5:$A$44,A29,'Exposure Results'!$D$5:$D$44,B29, 'Exposure Results'!$Q$5:$Q$44, D29),'Look-up Values'!$K$12*_xlfn.MAXIFS('Exposure Results'!$K$5:$K$44,'Exposure Results'!$A$5:$A$44,A29,'Exposure Results'!$D$5:$D$44,B29, 'Exposure Results'!$Q$5:$Q$44, D29)), _xlfn.MAXIFS(Dermal!$E$124:$E$133,Dermal!$A$124:$A$133, A29, Dermal!$D$124:$D$133, K29))</f>
        <v>6.0850537500703602E-6</v>
      </c>
      <c r="O29" s="390"/>
      <c r="P29" s="390"/>
      <c r="Q29" s="410" t="str">
        <f t="shared" si="0"/>
        <v/>
      </c>
      <c r="R29" s="284"/>
      <c r="S29" s="284"/>
      <c r="T29" s="388"/>
      <c r="U29" s="480"/>
      <c r="V29" s="491"/>
      <c r="W29" s="499"/>
      <c r="X29" s="363"/>
    </row>
    <row r="30" spans="1:24" ht="25.5" x14ac:dyDescent="0.2">
      <c r="A30" s="399">
        <v>6</v>
      </c>
      <c r="B30" s="499" t="s">
        <v>37</v>
      </c>
      <c r="C30" s="499" t="s">
        <v>306</v>
      </c>
      <c r="D30" s="497" t="str">
        <f>$J$29</f>
        <v>Model</v>
      </c>
      <c r="E30" s="657"/>
      <c r="F30" s="657"/>
      <c r="G30" s="657"/>
      <c r="H30" s="665"/>
      <c r="I30" s="665"/>
      <c r="J30" s="661"/>
      <c r="K30" s="495" t="s">
        <v>38</v>
      </c>
      <c r="L30" s="387">
        <f>IF(C30="Inhalation",IF(K30="Central Tendency",'Look-up Values'!$G$13/_xlfn.MAXIFS('Exposure Results'!$H$5:$H$44,'Exposure Results'!$A$5:$A$44,A30,'Exposure Results'!$D$5:$D$44,B30, 'Exposure Results'!$Q$5:$Q$44, D30),'Look-up Values'!$G$13/_xlfn.MAXIFS('Exposure Results'!$G$5:$G$44,'Exposure Results'!$A$5:$A$44,A30,'Exposure Results'!$D$5:$D$44,B30, 'Exposure Results'!$Q$5:$Q$44, D30)),11/_xlfn.MAXIFS(Dermal!$E$15:$E$24,Dermal!$A$15:$A$24, A30,Dermal!$D$15:$D$24, K30))</f>
        <v>299.6352492220156</v>
      </c>
      <c r="M30" s="387">
        <f>IF(C30="Inhalation",IF(K30="Central Tendency",'Look-up Values'!$G$14/_xlfn.MAXIFS('Exposure Results'!$N$5:$N$44,'Exposure Results'!$A$5:$A$44,A30,'Exposure Results'!$D$5:$D$44,B30, 'Exposure Results'!$Q$5:$Q$44, D30),'Look-up Values'!$G$14/_xlfn.MAXIFS('Exposure Results'!$M$5:$M$44,'Exposure Results'!$A$5:$A$44,A30,'Exposure Results'!$D$5:$D$44,B30, 'Exposure Results'!$Q$5:$Q$44, D30)),11/(_xlfn.MAXIFS(Dermal!$E$15:$E$24,Dermal!$A$15:$A$24, A30,Dermal!$D$15:$D$24, K30)*Dermal!$P$15))</f>
        <v>420.64179217706038</v>
      </c>
      <c r="N30" s="408">
        <f>IF(C30="Inhalation",IF(K30="Central Tendency",'Look-up Values'!$K$12*_xlfn.MAXIFS('Exposure Results'!$L$5:$L$44,'Exposure Results'!$A$5:$A$44,A30,'Exposure Results'!$D$5:$D$44,B30, 'Exposure Results'!$Q$5:$Q$44, D30),'Look-up Values'!$K$12*_xlfn.MAXIFS('Exposure Results'!$K$5:$K$44,'Exposure Results'!$A$5:$A$44,A30,'Exposure Results'!$D$5:$D$44,B30, 'Exposure Results'!$Q$5:$Q$44, D30)), _xlfn.MAXIFS(Dermal!$E$124:$E$133,Dermal!$A$124:$A$133, A30, Dermal!$D$124:$D$133, K30))</f>
        <v>1.1638081621684141E-4</v>
      </c>
      <c r="O30" s="390"/>
      <c r="P30" s="390"/>
      <c r="Q30" s="410">
        <f t="shared" si="0"/>
        <v>1.1638081621684141E-5</v>
      </c>
      <c r="R30" s="284"/>
      <c r="S30" s="284"/>
      <c r="T30" s="388" t="str">
        <f t="shared" si="3"/>
        <v>1.16E-05
 (APF 10)</v>
      </c>
      <c r="U30" s="480"/>
      <c r="V30" s="491"/>
      <c r="W30" s="499">
        <v>10</v>
      </c>
      <c r="X30" s="363"/>
    </row>
    <row r="31" spans="1:24" x14ac:dyDescent="0.2">
      <c r="A31" s="399" t="s">
        <v>215</v>
      </c>
      <c r="B31" s="489"/>
      <c r="C31" s="498" t="s">
        <v>17</v>
      </c>
      <c r="D31" s="497"/>
      <c r="E31" s="657"/>
      <c r="F31" s="657"/>
      <c r="G31" s="657"/>
      <c r="H31" s="665"/>
      <c r="I31" s="658" t="s">
        <v>17</v>
      </c>
      <c r="J31" s="660" t="s">
        <v>22</v>
      </c>
      <c r="K31" s="495" t="s">
        <v>233</v>
      </c>
      <c r="L31" s="387">
        <f>IF(C31="Inhalation",IF(K31="Central Tendency",'Look-up Values'!$G$13/_xlfn.MAXIFS('Exposure Results'!$H$5:$H$44,'Exposure Results'!$A$5:$A$44,A31,'Exposure Results'!$D$5:$D$44,B31, 'Exposure Results'!$Q$5:$Q$44, D31),'Look-up Values'!$G$13/_xlfn.MAXIFS('Exposure Results'!$G$5:$G$44,'Exposure Results'!$A$5:$A$44,A31,'Exposure Results'!$D$5:$D$44,B31, 'Exposure Results'!$Q$5:$Q$44, D31)),11/_xlfn.MAXIFS(Dermal!$E$15:$E$24,Dermal!$A$15:$A$24, A31,Dermal!$D$15:$D$24, K31))</f>
        <v>405.13788499608677</v>
      </c>
      <c r="M31" s="387">
        <f>IF(C31="Inhalation",IF(K31="Central Tendency",'Look-up Values'!$G$14/_xlfn.MAXIFS('Exposure Results'!$N$5:$N$44,'Exposure Results'!$A$5:$A$44,A31,'Exposure Results'!$D$5:$D$44,B31, 'Exposure Results'!$Q$5:$Q$44, D31),'Look-up Values'!$G$14/_xlfn.MAXIFS('Exposure Results'!$M$5:$M$44,'Exposure Results'!$A$5:$A$44,A31,'Exposure Results'!$D$5:$D$44,B31, 'Exposure Results'!$Q$5:$Q$44, D31)),11/(_xlfn.MAXIFS(Dermal!$E$15:$E$24,Dermal!$A$15:$A$24, A31,Dermal!$D$15:$D$24, K31)*Dermal!$P$15))</f>
        <v>568.75126162912181</v>
      </c>
      <c r="N31" s="408">
        <f>IF(C31="Inhalation",IF(K31="Central Tendency",'Look-up Values'!$K$12*_xlfn.MAXIFS('Exposure Results'!$L$5:$L$44,'Exposure Results'!$A$5:$A$44,A31,'Exposure Results'!$D$5:$D$44,B31, 'Exposure Results'!$Q$5:$Q$44, D31),'Look-up Values'!$K$12*_xlfn.MAXIFS('Exposure Results'!$K$5:$K$44,'Exposure Results'!$A$5:$A$44,A31,'Exposure Results'!$D$5:$D$44,B31, 'Exposure Results'!$Q$5:$Q$44, D31)), _xlfn.MAXIFS(Dermal!$E$124:$E$133,Dermal!$A$124:$A$133, A31, Dermal!$D$124:$D$133, K31))</f>
        <v>6.474528846153846E-5</v>
      </c>
      <c r="O31" s="390"/>
      <c r="P31" s="390"/>
      <c r="Q31" s="410" t="str">
        <f t="shared" si="0"/>
        <v/>
      </c>
      <c r="R31" s="284"/>
      <c r="S31" s="284"/>
      <c r="T31" s="388"/>
      <c r="U31" s="480"/>
      <c r="V31" s="491"/>
      <c r="W31" s="499"/>
      <c r="X31" s="363"/>
    </row>
    <row r="32" spans="1:24" ht="25.5" x14ac:dyDescent="0.2">
      <c r="A32" s="399" t="s">
        <v>215</v>
      </c>
      <c r="C32" s="499" t="s">
        <v>17</v>
      </c>
      <c r="D32" s="501"/>
      <c r="E32" s="657"/>
      <c r="F32" s="657"/>
      <c r="G32" s="657"/>
      <c r="H32" s="665"/>
      <c r="I32" s="659"/>
      <c r="J32" s="661"/>
      <c r="K32" s="495" t="s">
        <v>38</v>
      </c>
      <c r="L32" s="387">
        <f>IF(C32="Inhalation",IF(K32="Central Tendency",'Look-up Values'!$G$13/_xlfn.MAXIFS('Exposure Results'!$H$5:$H$44,'Exposure Results'!$A$5:$A$44,A32,'Exposure Results'!$D$5:$D$44,B32, 'Exposure Results'!$Q$5:$Q$44, D32),'Look-up Values'!$G$13/_xlfn.MAXIFS('Exposure Results'!$G$5:$G$44,'Exposure Results'!$A$5:$A$44,A32,'Exposure Results'!$D$5:$D$44,B32, 'Exposure Results'!$Q$5:$Q$44, D32)),11/_xlfn.MAXIFS(Dermal!$E$15:$E$24,Dermal!$A$15:$A$24, A32,Dermal!$D$15:$D$24, K32))</f>
        <v>135.04596166536226</v>
      </c>
      <c r="M32" s="387">
        <f>IF(C32="Inhalation",IF(K32="Central Tendency",'Look-up Values'!$G$14/_xlfn.MAXIFS('Exposure Results'!$N$5:$N$44,'Exposure Results'!$A$5:$A$44,A32,'Exposure Results'!$D$5:$D$44,B32, 'Exposure Results'!$Q$5:$Q$44, D32),'Look-up Values'!$G$14/_xlfn.MAXIFS('Exposure Results'!$M$5:$M$44,'Exposure Results'!$A$5:$A$44,A32,'Exposure Results'!$D$5:$D$44,B32, 'Exposure Results'!$Q$5:$Q$44, D32)),11/(_xlfn.MAXIFS(Dermal!$E$15:$E$24,Dermal!$A$15:$A$24, A32,Dermal!$D$15:$D$24, K32)*Dermal!$P$15))</f>
        <v>189.58375387637395</v>
      </c>
      <c r="N32" s="408">
        <f>IF(C32="Inhalation",IF(K32="Central Tendency",'Look-up Values'!$K$12*_xlfn.MAXIFS('Exposure Results'!$L$5:$L$44,'Exposure Results'!$A$5:$A$44,A32,'Exposure Results'!$D$5:$D$44,B32, 'Exposure Results'!$Q$5:$Q$44, D32),'Look-up Values'!$K$12*_xlfn.MAXIFS('Exposure Results'!$K$5:$K$44,'Exposure Results'!$A$5:$A$44,A32,'Exposure Results'!$D$5:$D$44,B32, 'Exposure Results'!$Q$5:$Q$44, D32)), _xlfn.MAXIFS(Dermal!$E$124:$E$133,Dermal!$A$124:$A$133, A32, Dermal!$D$124:$D$133, K32))</f>
        <v>2.5062692307692305E-4</v>
      </c>
      <c r="O32" s="491"/>
      <c r="P32" s="491"/>
      <c r="Q32" s="410">
        <f t="shared" si="0"/>
        <v>5.0125384615384611E-5</v>
      </c>
      <c r="R32" s="284"/>
      <c r="S32" s="284"/>
      <c r="T32" s="388" t="str">
        <f t="shared" si="3"/>
        <v>5.01E-05
 (PF 5)</v>
      </c>
      <c r="U32" s="480"/>
      <c r="V32" s="491"/>
      <c r="W32" s="499"/>
      <c r="X32" s="499">
        <v>5</v>
      </c>
    </row>
    <row r="33" spans="1:24" ht="76.5" x14ac:dyDescent="0.2">
      <c r="C33" s="486"/>
      <c r="D33" s="486"/>
      <c r="E33" s="495" t="s">
        <v>326</v>
      </c>
      <c r="F33" s="495" t="s">
        <v>327</v>
      </c>
      <c r="G33" s="495" t="s">
        <v>328</v>
      </c>
      <c r="I33" s="495"/>
      <c r="J33" s="495"/>
      <c r="K33" s="495"/>
      <c r="L33" s="392"/>
      <c r="M33" s="392"/>
      <c r="N33" s="409"/>
      <c r="O33" s="393"/>
      <c r="P33" s="491"/>
      <c r="Q33" s="410"/>
      <c r="R33" s="284"/>
      <c r="S33" s="284"/>
      <c r="T33" s="284"/>
      <c r="U33" s="480"/>
      <c r="V33" s="491"/>
      <c r="W33" s="499"/>
      <c r="X33" s="363"/>
    </row>
    <row r="34" spans="1:24" ht="25.5" x14ac:dyDescent="0.2">
      <c r="A34" s="399" t="s">
        <v>127</v>
      </c>
      <c r="B34" s="499" t="s">
        <v>37</v>
      </c>
      <c r="C34" s="499" t="s">
        <v>306</v>
      </c>
      <c r="D34" s="495" t="str">
        <f>$J$34</f>
        <v>Monitoring Data</v>
      </c>
      <c r="E34" s="660" t="s">
        <v>329</v>
      </c>
      <c r="F34" s="660" t="s">
        <v>330</v>
      </c>
      <c r="G34" s="657" t="s">
        <v>331</v>
      </c>
      <c r="H34" s="665" t="s">
        <v>37</v>
      </c>
      <c r="I34" s="665" t="s">
        <v>306</v>
      </c>
      <c r="J34" s="625" t="s">
        <v>80</v>
      </c>
      <c r="K34" s="495" t="s">
        <v>233</v>
      </c>
      <c r="L34" s="387">
        <f>IF(C34="Inhalation",IF(K34="Central Tendency",'Look-up Values'!$G$13/_xlfn.MAXIFS('Exposure Results'!$H$5:$H$44,'Exposure Results'!$A$5:$A$44,A34,'Exposure Results'!$D$5:$D$44,B34, 'Exposure Results'!$Q$5:$Q$44, D34),'Look-up Values'!$G$13/_xlfn.MAXIFS('Exposure Results'!$G$5:$G$44,'Exposure Results'!$A$5:$A$44,A34,'Exposure Results'!$D$5:$D$44,B34, 'Exposure Results'!$Q$5:$Q$44, D34)),11/_xlfn.MAXIFS(Dermal!$E$15:$E$24,Dermal!$A$15:$A$24, A34,Dermal!$D$15:$D$24, K34))</f>
        <v>2.5373134328358207</v>
      </c>
      <c r="M34" s="387">
        <f>IF(C34="Inhalation",IF(K34="Central Tendency",'Look-up Values'!$G$14/_xlfn.MAXIFS('Exposure Results'!$N$5:$N$44,'Exposure Results'!$A$5:$A$44,A34,'Exposure Results'!$D$5:$D$44,B34, 'Exposure Results'!$Q$5:$Q$44, D34),'Look-up Values'!$G$14/_xlfn.MAXIFS('Exposure Results'!$M$5:$M$44,'Exposure Results'!$A$5:$A$44,A34,'Exposure Results'!$D$5:$D$44,B34, 'Exposure Results'!$Q$5:$Q$44, D34)),11/(_xlfn.MAXIFS(Dermal!$E$15:$E$24,Dermal!$A$15:$A$24, A34,Dermal!$D$15:$D$24, K34)*Dermal!$P$15))</f>
        <v>3.5619977037887489</v>
      </c>
      <c r="N34" s="408">
        <f>IF(C34="Inhalation",IF(K34="Central Tendency",'Look-up Values'!$K$12*_xlfn.MAXIFS('Exposure Results'!$L$5:$L$44,'Exposure Results'!$A$5:$A$44,A34,'Exposure Results'!$D$5:$D$44,B34, 'Exposure Results'!$Q$5:$Q$44, D34),'Look-up Values'!$K$12*_xlfn.MAXIFS('Exposure Results'!$K$5:$K$44,'Exposure Results'!$A$5:$A$44,A34,'Exposure Results'!$D$5:$D$44,B34, 'Exposure Results'!$Q$5:$Q$44, D34)), _xlfn.MAXIFS(Dermal!$E$124:$E$133,Dermal!$A$124:$A$133, A34, Dermal!$D$124:$D$133, K34))</f>
        <v>1.0651282051282051E-2</v>
      </c>
      <c r="O34" s="387">
        <f>IFERROR(IF(C34="Inhalation", L34*U34, L34*X34), "")</f>
        <v>126.86567164179104</v>
      </c>
      <c r="P34" s="491">
        <f>IFERROR(IF(C34="Inhalation", M34*V34, M34*X34), "")</f>
        <v>178.09988518943746</v>
      </c>
      <c r="Q34" s="410">
        <f t="shared" ref="Q34:Q65" si="4">IFERROR(IF(C34="Inhalation", N34/W34, N34/X34), "")</f>
        <v>2.1302564102564103E-4</v>
      </c>
      <c r="R34" s="388" t="str">
        <f>ROUND(IFERROR(IF(C34="Inhalation", L34*U34, L34*X34), ""), 0)&amp;CHAR(10)&amp;" (APF "&amp;U34&amp;")"</f>
        <v>127
 (APF 50)</v>
      </c>
      <c r="S34" s="387" t="str">
        <f>ROUND(IFERROR(IF(C34="Inhalation", M34*V34, M34*X34), ""), 0)&amp;CHAR(10)&amp;" (APF "&amp;V34&amp;")"</f>
        <v>178
 (APF 50)</v>
      </c>
      <c r="T34" s="388" t="str">
        <f>IF(C34="Inhalation", TEXT(IFERROR(N34/W34, ""), "0.00E+00")&amp;CHAR(10)&amp;" (APF "&amp;W34&amp;")", TEXT(IFERROR(N34/X34, ""), "0.00E+00")&amp;CHAR(10)&amp;" (PF "&amp;X34&amp;")")</f>
        <v>2.13E-04
 (APF 50)</v>
      </c>
      <c r="U34" s="480">
        <v>50</v>
      </c>
      <c r="V34" s="491">
        <v>50</v>
      </c>
      <c r="W34" s="499">
        <v>50</v>
      </c>
      <c r="X34" s="363"/>
    </row>
    <row r="35" spans="1:24" ht="25.5" x14ac:dyDescent="0.2">
      <c r="A35" s="399" t="s">
        <v>127</v>
      </c>
      <c r="B35" s="499" t="s">
        <v>37</v>
      </c>
      <c r="C35" s="499" t="s">
        <v>306</v>
      </c>
      <c r="D35" s="495" t="str">
        <f>$J$34</f>
        <v>Monitoring Data</v>
      </c>
      <c r="E35" s="669"/>
      <c r="F35" s="669"/>
      <c r="G35" s="657"/>
      <c r="H35" s="665"/>
      <c r="I35" s="665"/>
      <c r="J35" s="625"/>
      <c r="K35" s="495" t="s">
        <v>38</v>
      </c>
      <c r="L35" s="428">
        <f>IF(C35="Inhalation",IF(K35="Central Tendency",'Look-up Values'!$G$13/_xlfn.MAXIFS('Exposure Results'!$H$5:$H$44,'Exposure Results'!$A$5:$A$44,A35,'Exposure Results'!$D$5:$D$44,B35, 'Exposure Results'!$Q$5:$Q$44, D35),'Look-up Values'!$G$13/_xlfn.MAXIFS('Exposure Results'!$G$5:$G$44,'Exposure Results'!$A$5:$A$44,A35,'Exposure Results'!$D$5:$D$44,B35, 'Exposure Results'!$Q$5:$Q$44, D35)),11/_xlfn.MAXIFS(Dermal!$E$15:$E$24,Dermal!$A$15:$A$24, A35,Dermal!$D$15:$D$24, K35))</f>
        <v>0.34482758620689657</v>
      </c>
      <c r="M35" s="428">
        <f>IF(C35="Inhalation",IF(K35="Central Tendency",'Look-up Values'!$G$14/_xlfn.MAXIFS('Exposure Results'!$N$5:$N$44,'Exposure Results'!$A$5:$A$44,A35,'Exposure Results'!$D$5:$D$44,B35, 'Exposure Results'!$Q$5:$Q$44, D35),'Look-up Values'!$G$14/_xlfn.MAXIFS('Exposure Results'!$M$5:$M$44,'Exposure Results'!$A$5:$A$44,A35,'Exposure Results'!$D$5:$D$44,B35, 'Exposure Results'!$Q$5:$Q$44, D35)),11/(_xlfn.MAXIFS(Dermal!$E$15:$E$24,Dermal!$A$15:$A$24, A35,Dermal!$D$15:$D$24, K35)*Dermal!$P$15))</f>
        <v>0.48408488063660482</v>
      </c>
      <c r="N35" s="408">
        <f>IF(C35="Inhalation",IF(K35="Central Tendency",'Look-up Values'!$K$12*_xlfn.MAXIFS('Exposure Results'!$L$5:$L$44,'Exposure Results'!$A$5:$A$44,A35,'Exposure Results'!$D$5:$D$44,B35, 'Exposure Results'!$Q$5:$Q$44, D35),'Look-up Values'!$K$12*_xlfn.MAXIFS('Exposure Results'!$K$5:$K$44,'Exposure Results'!$A$5:$A$44,A35,'Exposure Results'!$D$5:$D$44,B35, 'Exposure Results'!$Q$5:$Q$44, D35)), _xlfn.MAXIFS(Dermal!$E$124:$E$133,Dermal!$A$124:$A$133, A35, Dermal!$D$124:$D$133, K35))</f>
        <v>0.10112820512820511</v>
      </c>
      <c r="O35" s="387">
        <f>IFERROR(IF(C35="Inhalation", L35*U35, L35*X35), "")</f>
        <v>17.241379310344829</v>
      </c>
      <c r="P35" s="491">
        <f>IFERROR(IF(C35="Inhalation", M35*V35, M35*X35), "")</f>
        <v>24.204244031830243</v>
      </c>
      <c r="Q35" s="410">
        <f t="shared" si="4"/>
        <v>2.0225641025641023E-3</v>
      </c>
      <c r="R35" s="388" t="str">
        <f>ROUND(IFERROR(IF(C35="Inhalation", L35*U35, L35*X35), ""), 0)&amp;CHAR(10)&amp;" (APF "&amp;U35&amp;")"</f>
        <v>17
 (APF 50)</v>
      </c>
      <c r="S35" s="387" t="str">
        <f>ROUND(IFERROR(IF(C35="Inhalation", M35*V35, M35*X35), ""), 0)&amp;CHAR(10)&amp;" (APF "&amp;V35&amp;")"</f>
        <v>24
 (APF 50)</v>
      </c>
      <c r="T35" s="388" t="str">
        <f>IF(C35="Inhalation", TEXT(IFERROR(N35/W35, ""), "0.00E+00")&amp;CHAR(10)&amp;" (APF "&amp;W35&amp;")", TEXT(IFERROR(N35/X35, ""), "0.00E+00")&amp;CHAR(10)&amp;" (PF "&amp;X35&amp;")")</f>
        <v>2.02E-03
 (APF 50)</v>
      </c>
      <c r="U35" s="480">
        <v>50</v>
      </c>
      <c r="V35" s="491">
        <v>50</v>
      </c>
      <c r="W35" s="499">
        <v>50</v>
      </c>
      <c r="X35" s="363"/>
    </row>
    <row r="36" spans="1:24" x14ac:dyDescent="0.2">
      <c r="A36" s="399" t="s">
        <v>221</v>
      </c>
      <c r="B36" s="489"/>
      <c r="C36" s="498" t="s">
        <v>17</v>
      </c>
      <c r="D36" s="497"/>
      <c r="E36" s="669"/>
      <c r="F36" s="669"/>
      <c r="G36" s="657"/>
      <c r="H36" s="665"/>
      <c r="I36" s="658" t="s">
        <v>17</v>
      </c>
      <c r="J36" s="660" t="s">
        <v>22</v>
      </c>
      <c r="K36" s="495" t="s">
        <v>233</v>
      </c>
      <c r="L36" s="387">
        <f>IF(C36="Inhalation",IF(K36="Central Tendency",'Look-up Values'!$G$13/_xlfn.MAXIFS('Exposure Results'!$H$5:$H$44,'Exposure Results'!$A$5:$A$44,A36,'Exposure Results'!$D$5:$D$44,B36, 'Exposure Results'!$Q$5:$Q$44, D36),'Look-up Values'!$G$13/_xlfn.MAXIFS('Exposure Results'!$G$5:$G$44,'Exposure Results'!$A$5:$A$44,A36,'Exposure Results'!$D$5:$D$44,B36, 'Exposure Results'!$Q$5:$Q$44, D36)),11/_xlfn.MAXIFS(Dermal!$E$15:$E$24,Dermal!$A$15:$A$24, A36,Dermal!$D$15:$D$24, K36))</f>
        <v>417.66792267637811</v>
      </c>
      <c r="M36" s="387">
        <f>IF(C36="Inhalation",IF(K36="Central Tendency",'Look-up Values'!$G$14/_xlfn.MAXIFS('Exposure Results'!$N$5:$N$44,'Exposure Results'!$A$5:$A$44,A36,'Exposure Results'!$D$5:$D$44,B36, 'Exposure Results'!$Q$5:$Q$44, D36),'Look-up Values'!$G$14/_xlfn.MAXIFS('Exposure Results'!$M$5:$M$44,'Exposure Results'!$A$5:$A$44,A36,'Exposure Results'!$D$5:$D$44,B36, 'Exposure Results'!$Q$5:$Q$44, D36)),11/(_xlfn.MAXIFS(Dermal!$E$15:$E$24,Dermal!$A$15:$A$24, A36,Dermal!$D$15:$D$24, K36)*Dermal!$P$15))</f>
        <v>586.34150683414623</v>
      </c>
      <c r="N36" s="408">
        <f>IF(C36="Inhalation",IF(K36="Central Tendency",'Look-up Values'!$K$12*_xlfn.MAXIFS('Exposure Results'!$L$5:$L$44,'Exposure Results'!$A$5:$A$44,A36,'Exposure Results'!$D$5:$D$44,B36, 'Exposure Results'!$Q$5:$Q$44, D36),'Look-up Values'!$K$12*_xlfn.MAXIFS('Exposure Results'!$K$5:$K$44,'Exposure Results'!$A$5:$A$44,A36,'Exposure Results'!$D$5:$D$44,B36, 'Exposure Results'!$Q$5:$Q$44, D36)), _xlfn.MAXIFS(Dermal!$E$124:$E$133,Dermal!$A$124:$A$133, A36, Dermal!$D$124:$D$133, K36))</f>
        <v>6.2802929807692306E-5</v>
      </c>
      <c r="O36" s="491"/>
      <c r="P36" s="491"/>
      <c r="Q36" s="410" t="str">
        <f t="shared" si="4"/>
        <v/>
      </c>
      <c r="R36" s="284"/>
      <c r="S36" s="284"/>
      <c r="T36" s="284"/>
      <c r="U36" s="480"/>
      <c r="V36" s="383"/>
      <c r="W36" s="499"/>
      <c r="X36" s="363"/>
    </row>
    <row r="37" spans="1:24" ht="25.5" x14ac:dyDescent="0.2">
      <c r="A37" s="399" t="s">
        <v>221</v>
      </c>
      <c r="C37" s="499" t="s">
        <v>17</v>
      </c>
      <c r="D37" s="501"/>
      <c r="E37" s="669"/>
      <c r="F37" s="669"/>
      <c r="G37" s="657"/>
      <c r="H37" s="665"/>
      <c r="I37" s="659"/>
      <c r="J37" s="661"/>
      <c r="K37" s="495" t="s">
        <v>38</v>
      </c>
      <c r="L37" s="387">
        <f>IF(C37="Inhalation",IF(K37="Central Tendency",'Look-up Values'!$G$13/_xlfn.MAXIFS('Exposure Results'!$H$5:$H$44,'Exposure Results'!$A$5:$A$44,A37,'Exposure Results'!$D$5:$D$44,B37, 'Exposure Results'!$Q$5:$Q$44, D37),'Look-up Values'!$G$13/_xlfn.MAXIFS('Exposure Results'!$G$5:$G$44,'Exposure Results'!$A$5:$A$44,A37,'Exposure Results'!$D$5:$D$44,B37, 'Exposure Results'!$Q$5:$Q$44, D37)),11/_xlfn.MAXIFS(Dermal!$E$15:$E$24,Dermal!$A$15:$A$24, A37,Dermal!$D$15:$D$24, K37))</f>
        <v>139.22264089212604</v>
      </c>
      <c r="M37" s="387">
        <f>IF(C37="Inhalation",IF(K37="Central Tendency",'Look-up Values'!$G$14/_xlfn.MAXIFS('Exposure Results'!$N$5:$N$44,'Exposure Results'!$A$5:$A$44,A37,'Exposure Results'!$D$5:$D$44,B37, 'Exposure Results'!$Q$5:$Q$44, D37),'Look-up Values'!$G$14/_xlfn.MAXIFS('Exposure Results'!$M$5:$M$44,'Exposure Results'!$A$5:$A$44,A37,'Exposure Results'!$D$5:$D$44,B37, 'Exposure Results'!$Q$5:$Q$44, D37)),11/(_xlfn.MAXIFS(Dermal!$E$15:$E$24,Dermal!$A$15:$A$24, A37,Dermal!$D$15:$D$24, K37)*Dermal!$P$15))</f>
        <v>195.4471689447154</v>
      </c>
      <c r="N37" s="408">
        <f>IF(C37="Inhalation",IF(K37="Central Tendency",'Look-up Values'!$K$12*_xlfn.MAXIFS('Exposure Results'!$L$5:$L$44,'Exposure Results'!$A$5:$A$44,A37,'Exposure Results'!$D$5:$D$44,B37, 'Exposure Results'!$Q$5:$Q$44, D37),'Look-up Values'!$K$12*_xlfn.MAXIFS('Exposure Results'!$K$5:$K$44,'Exposure Results'!$A$5:$A$44,A37,'Exposure Results'!$D$5:$D$44,B37, 'Exposure Results'!$Q$5:$Q$44, D37)), _xlfn.MAXIFS(Dermal!$E$124:$E$133,Dermal!$A$124:$A$133, A37, Dermal!$D$124:$D$133, K37))</f>
        <v>2.431081153846154E-4</v>
      </c>
      <c r="O37" s="491"/>
      <c r="P37" s="491"/>
      <c r="Q37" s="410">
        <f t="shared" si="4"/>
        <v>4.8621623076923079E-5</v>
      </c>
      <c r="R37" s="284"/>
      <c r="S37" s="284"/>
      <c r="T37" s="388" t="str">
        <f>IF(C37="Inhalation", TEXT(IFERROR(N37/W37, ""), "0.00E+00")&amp;CHAR(10)&amp;" (APF "&amp;W37&amp;")", TEXT(IFERROR(N37/X37, ""), "0.00E+00")&amp;CHAR(10)&amp;" (PF "&amp;X37&amp;")")</f>
        <v>4.86E-05
 (PF 5)</v>
      </c>
      <c r="U37" s="480"/>
      <c r="V37" s="491"/>
      <c r="W37" s="499"/>
      <c r="X37" s="499">
        <v>5</v>
      </c>
    </row>
    <row r="38" spans="1:24" ht="12.75" customHeight="1" x14ac:dyDescent="0.2">
      <c r="A38" s="399" t="s">
        <v>127</v>
      </c>
      <c r="B38" s="399" t="s">
        <v>39</v>
      </c>
      <c r="C38" s="499" t="s">
        <v>306</v>
      </c>
      <c r="D38" s="502" t="str">
        <f>$J$38</f>
        <v>Monitoring Data</v>
      </c>
      <c r="E38" s="669"/>
      <c r="F38" s="669"/>
      <c r="G38" s="657"/>
      <c r="H38" s="627" t="s">
        <v>39</v>
      </c>
      <c r="I38" s="627" t="s">
        <v>306</v>
      </c>
      <c r="J38" s="625" t="s">
        <v>80</v>
      </c>
      <c r="K38" s="495" t="s">
        <v>233</v>
      </c>
      <c r="L38" s="387">
        <f>IF(C38="Inhalation",IF(K38="Central Tendency",'Look-up Values'!$G$13/_xlfn.MAXIFS('Exposure Results'!$H$5:$H$44,'Exposure Results'!$A$5:$A$44,A38,'Exposure Results'!$D$5:$D$44,B38, 'Exposure Results'!$Q$5:$Q$44, D38),'Look-up Values'!$G$13/_xlfn.MAXIFS('Exposure Results'!$G$5:$G$44,'Exposure Results'!$A$5:$A$44,A38,'Exposure Results'!$D$5:$D$44,B38, 'Exposure Results'!$Q$5:$Q$44, D38)),11/_xlfn.MAXIFS(Dermal!$E$15:$E$24,Dermal!$A$15:$A$24, A38,Dermal!$D$15:$D$24, K38))</f>
        <v>170</v>
      </c>
      <c r="M38" s="387">
        <f>IF(C38="Inhalation",IF(K38="Central Tendency",'Look-up Values'!$G$14/_xlfn.MAXIFS('Exposure Results'!$N$5:$N$44,'Exposure Results'!$A$5:$A$44,A38,'Exposure Results'!$D$5:$D$44,B38, 'Exposure Results'!$Q$5:$Q$44, D38),'Look-up Values'!$G$14/_xlfn.MAXIFS('Exposure Results'!$M$5:$M$44,'Exposure Results'!$A$5:$A$44,A38,'Exposure Results'!$D$5:$D$44,B38, 'Exposure Results'!$Q$5:$Q$44, D38)),11/(_xlfn.MAXIFS(Dermal!$E$15:$E$24,Dermal!$A$15:$A$24, A38,Dermal!$D$15:$D$24, K38)*Dermal!$P$15))</f>
        <v>238.65384615384616</v>
      </c>
      <c r="N38" s="408">
        <f>IF(C38="Inhalation",IF(K38="Central Tendency",'Look-up Values'!$K$12*_xlfn.MAXIFS('Exposure Results'!$L$5:$L$44,'Exposure Results'!$A$5:$A$44,A38,'Exposure Results'!$D$5:$D$44,B38, 'Exposure Results'!$Q$5:$Q$44, D38),'Look-up Values'!$K$12*_xlfn.MAXIFS('Exposure Results'!$K$5:$K$44,'Exposure Results'!$A$5:$A$44,A38,'Exposure Results'!$D$5:$D$44,B38, 'Exposure Results'!$Q$5:$Q$44, D38)), _xlfn.MAXIFS(Dermal!$E$124:$E$133,Dermal!$A$124:$A$133, A38, Dermal!$D$124:$D$133, K38))</f>
        <v>1.5897435897435896E-4</v>
      </c>
      <c r="O38" s="390"/>
      <c r="P38" s="390"/>
      <c r="Q38" s="410" t="str">
        <f t="shared" si="4"/>
        <v/>
      </c>
      <c r="R38" s="284" t="s">
        <v>122</v>
      </c>
      <c r="S38" s="284" t="s">
        <v>122</v>
      </c>
      <c r="T38" s="284" t="s">
        <v>122</v>
      </c>
      <c r="U38" s="480"/>
      <c r="V38" s="491"/>
      <c r="W38" s="499"/>
      <c r="X38" s="363"/>
    </row>
    <row r="39" spans="1:24" x14ac:dyDescent="0.2">
      <c r="A39" s="399" t="s">
        <v>127</v>
      </c>
      <c r="B39" s="399" t="s">
        <v>39</v>
      </c>
      <c r="C39" s="499" t="s">
        <v>306</v>
      </c>
      <c r="D39" s="502" t="str">
        <f>$J$38</f>
        <v>Monitoring Data</v>
      </c>
      <c r="E39" s="669"/>
      <c r="F39" s="669"/>
      <c r="G39" s="657"/>
      <c r="H39" s="627"/>
      <c r="I39" s="627"/>
      <c r="J39" s="625"/>
      <c r="K39" s="495" t="s">
        <v>38</v>
      </c>
      <c r="L39" s="387">
        <f>IF(C39="Inhalation",IF(K39="Central Tendency",'Look-up Values'!$G$13/_xlfn.MAXIFS('Exposure Results'!$H$5:$H$44,'Exposure Results'!$A$5:$A$44,A39,'Exposure Results'!$D$5:$D$44,B39, 'Exposure Results'!$Q$5:$Q$44, D39),'Look-up Values'!$G$13/_xlfn.MAXIFS('Exposure Results'!$G$5:$G$44,'Exposure Results'!$A$5:$A$44,A39,'Exposure Results'!$D$5:$D$44,B39, 'Exposure Results'!$Q$5:$Q$44, D39)),11/_xlfn.MAXIFS(Dermal!$E$15:$E$24,Dermal!$A$15:$A$24, A39,Dermal!$D$15:$D$24, K39))</f>
        <v>36.95652173913048</v>
      </c>
      <c r="M39" s="387">
        <f>IF(C39="Inhalation",IF(K39="Central Tendency",'Look-up Values'!$G$14/_xlfn.MAXIFS('Exposure Results'!$N$5:$N$44,'Exposure Results'!$A$5:$A$44,A39,'Exposure Results'!$D$5:$D$44,B39, 'Exposure Results'!$Q$5:$Q$44, D39),'Look-up Values'!$G$14/_xlfn.MAXIFS('Exposure Results'!$M$5:$M$44,'Exposure Results'!$A$5:$A$44,A39,'Exposure Results'!$D$5:$D$44,B39, 'Exposure Results'!$Q$5:$Q$44, D39)),11/(_xlfn.MAXIFS(Dermal!$E$15:$E$24,Dermal!$A$15:$A$24, A39,Dermal!$D$15:$D$24, K39)*Dermal!$P$15))</f>
        <v>51.881270903010098</v>
      </c>
      <c r="N39" s="408">
        <f>IF(C39="Inhalation",IF(K39="Central Tendency",'Look-up Values'!$K$12*_xlfn.MAXIFS('Exposure Results'!$L$5:$L$44,'Exposure Results'!$A$5:$A$44,A39,'Exposure Results'!$D$5:$D$44,B39, 'Exposure Results'!$Q$5:$Q$44, D39),'Look-up Values'!$K$12*_xlfn.MAXIFS('Exposure Results'!$K$5:$K$44,'Exposure Results'!$A$5:$A$44,A39,'Exposure Results'!$D$5:$D$44,B39, 'Exposure Results'!$Q$5:$Q$44, D39)), _xlfn.MAXIFS(Dermal!$E$124:$E$133,Dermal!$A$124:$A$133, A39, Dermal!$D$124:$D$133, K39))</f>
        <v>9.4358974358974262E-4</v>
      </c>
      <c r="O39" s="390"/>
      <c r="P39" s="390"/>
      <c r="Q39" s="410" t="str">
        <f t="shared" si="4"/>
        <v/>
      </c>
      <c r="R39" s="284" t="s">
        <v>122</v>
      </c>
      <c r="S39" s="284" t="s">
        <v>122</v>
      </c>
      <c r="T39" s="284" t="s">
        <v>122</v>
      </c>
      <c r="U39" s="480"/>
      <c r="V39" s="491"/>
      <c r="W39" s="499"/>
      <c r="X39" s="363"/>
    </row>
    <row r="40" spans="1:24" ht="25.5" x14ac:dyDescent="0.2">
      <c r="A40" s="399" t="s">
        <v>137</v>
      </c>
      <c r="B40" s="499" t="s">
        <v>37</v>
      </c>
      <c r="C40" s="499" t="s">
        <v>306</v>
      </c>
      <c r="D40" s="495" t="str">
        <f>$J$40</f>
        <v>Model</v>
      </c>
      <c r="E40" s="669"/>
      <c r="F40" s="669"/>
      <c r="G40" s="657" t="s">
        <v>332</v>
      </c>
      <c r="H40" s="665" t="s">
        <v>37</v>
      </c>
      <c r="I40" s="665" t="s">
        <v>306</v>
      </c>
      <c r="J40" s="625" t="s">
        <v>22</v>
      </c>
      <c r="K40" s="495" t="s">
        <v>233</v>
      </c>
      <c r="L40" s="387">
        <f>IF(C40="Inhalation",IF(K40="Central Tendency",'Look-up Values'!$G$13/_xlfn.MAXIFS('Exposure Results'!$H$5:$H$44,'Exposure Results'!$A$5:$A$44,A40,'Exposure Results'!$D$5:$D$44,B40, 'Exposure Results'!$Q$5:$Q$44, D40),'Look-up Values'!$G$13/_xlfn.MAXIFS('Exposure Results'!$G$5:$G$44,'Exposure Results'!$A$5:$A$44,A40,'Exposure Results'!$D$5:$D$44,B40, 'Exposure Results'!$Q$5:$Q$44, D40)),11/_xlfn.MAXIFS(Dermal!$E$15:$E$24,Dermal!$A$15:$A$24, A40,Dermal!$D$15:$D$24, K40))</f>
        <v>449.60267693339188</v>
      </c>
      <c r="M40" s="387">
        <f>IF(C40="Inhalation",IF(K40="Central Tendency",'Look-up Values'!$G$14/_xlfn.MAXIFS('Exposure Results'!$N$5:$N$44,'Exposure Results'!$A$5:$A$44,A40,'Exposure Results'!$D$5:$D$44,B40, 'Exposure Results'!$Q$5:$Q$44, D40),'Look-up Values'!$G$14/_xlfn.MAXIFS('Exposure Results'!$M$5:$M$44,'Exposure Results'!$A$5:$A$44,A40,'Exposure Results'!$D$5:$D$44,B40, 'Exposure Results'!$Q$5:$Q$44, D40)),11/(_xlfn.MAXIFS(Dermal!$E$15:$E$24,Dermal!$A$15:$A$24, A40,Dermal!$D$15:$D$24, K40)*Dermal!$P$15))</f>
        <v>631.17298877187704</v>
      </c>
      <c r="N40" s="408">
        <f>IF(C40="Inhalation",IF(K40="Central Tendency",'Look-up Values'!$K$12*_xlfn.MAXIFS('Exposure Results'!$L$5:$L$44,'Exposure Results'!$A$5:$A$44,A40,'Exposure Results'!$D$5:$D$44,B40, 'Exposure Results'!$Q$5:$Q$44, D40),'Look-up Values'!$K$12*_xlfn.MAXIFS('Exposure Results'!$K$5:$K$44,'Exposure Results'!$A$5:$A$44,A40,'Exposure Results'!$D$5:$D$44,B40, 'Exposure Results'!$Q$5:$Q$44, D40)), _xlfn.MAXIFS(Dermal!$E$124:$E$133,Dermal!$A$124:$A$133, A40, Dermal!$D$124:$D$133, K40))</f>
        <v>5.6332167521084253E-5</v>
      </c>
      <c r="O40" s="387">
        <f>IFERROR(IF(C40="Inhalation", L40*U40, L40*X40), "")</f>
        <v>4496.0267693339192</v>
      </c>
      <c r="P40" s="491">
        <f>IFERROR(IF(C40="Inhalation", M40*V40, M40*X40), "")</f>
        <v>6311.7298877187704</v>
      </c>
      <c r="Q40" s="410">
        <f t="shared" si="4"/>
        <v>5.6332167521084256E-6</v>
      </c>
      <c r="R40" s="388" t="str">
        <f>ROUND(IFERROR(IF(C40="Inhalation", L40*U40, L40*X40), ""), 0)&amp;CHAR(10)&amp;" (APF "&amp;U40&amp;")"</f>
        <v>4496
 (APF 10)</v>
      </c>
      <c r="S40" s="387" t="str">
        <f>ROUND(IFERROR(IF(C40="Inhalation", M40*V40, M40*X40), ""), 0)&amp;CHAR(10)&amp;" (APF "&amp;V40&amp;")"</f>
        <v>6312
 (APF 10)</v>
      </c>
      <c r="T40" s="388" t="str">
        <f>IF(C40="Inhalation", TEXT(IFERROR(N40/W40, ""), "0.00E+00")&amp;CHAR(10)&amp;" (APF "&amp;W40&amp;")", TEXT(IFERROR(N40/X40, ""), "0.00E+00")&amp;CHAR(10)&amp;" (PF "&amp;X40&amp;")")</f>
        <v>5.63E-06
 (APF 10)</v>
      </c>
      <c r="U40" s="480">
        <v>10</v>
      </c>
      <c r="V40" s="491">
        <v>10</v>
      </c>
      <c r="W40" s="499">
        <v>10</v>
      </c>
      <c r="X40" s="363"/>
    </row>
    <row r="41" spans="1:24" ht="25.5" x14ac:dyDescent="0.2">
      <c r="A41" s="399" t="s">
        <v>137</v>
      </c>
      <c r="B41" s="499" t="s">
        <v>37</v>
      </c>
      <c r="C41" s="499" t="s">
        <v>306</v>
      </c>
      <c r="D41" s="495" t="str">
        <f>$J$40</f>
        <v>Model</v>
      </c>
      <c r="E41" s="669"/>
      <c r="F41" s="669"/>
      <c r="G41" s="657"/>
      <c r="H41" s="665"/>
      <c r="I41" s="665"/>
      <c r="J41" s="625"/>
      <c r="K41" s="495" t="s">
        <v>38</v>
      </c>
      <c r="L41" s="387">
        <f>IF(C41="Inhalation",IF(K41="Central Tendency",'Look-up Values'!$G$13/_xlfn.MAXIFS('Exposure Results'!$H$5:$H$44,'Exposure Results'!$A$5:$A$44,A41,'Exposure Results'!$D$5:$D$44,B41, 'Exposure Results'!$Q$5:$Q$44, D41),'Look-up Values'!$G$13/_xlfn.MAXIFS('Exposure Results'!$G$5:$G$44,'Exposure Results'!$A$5:$A$44,A41,'Exposure Results'!$D$5:$D$44,B41, 'Exposure Results'!$Q$5:$Q$44, D41)),11/_xlfn.MAXIFS(Dermal!$E$15:$E$24,Dermal!$A$15:$A$24, A41,Dermal!$D$15:$D$24, K41))</f>
        <v>35.534919224381909</v>
      </c>
      <c r="M41" s="387">
        <f>IF(C41="Inhalation",IF(K41="Central Tendency",'Look-up Values'!$G$14/_xlfn.MAXIFS('Exposure Results'!$N$5:$N$44,'Exposure Results'!$A$5:$A$44,A41,'Exposure Results'!$D$5:$D$44,B41, 'Exposure Results'!$Q$5:$Q$44, D41),'Look-up Values'!$G$14/_xlfn.MAXIFS('Exposure Results'!$M$5:$M$44,'Exposure Results'!$A$5:$A$44,A41,'Exposure Results'!$D$5:$D$44,B41, 'Exposure Results'!$Q$5:$Q$44, D41)),11/(_xlfn.MAXIFS(Dermal!$E$15:$E$24,Dermal!$A$15:$A$24, A41,Dermal!$D$15:$D$24, K41)*Dermal!$P$15))</f>
        <v>49.885559680382293</v>
      </c>
      <c r="N41" s="408">
        <f>IF(C41="Inhalation",IF(K41="Central Tendency",'Look-up Values'!$K$12*_xlfn.MAXIFS('Exposure Results'!$L$5:$L$44,'Exposure Results'!$A$5:$A$44,A41,'Exposure Results'!$D$5:$D$44,B41, 'Exposure Results'!$Q$5:$Q$44, D41),'Look-up Values'!$K$12*_xlfn.MAXIFS('Exposure Results'!$K$5:$K$44,'Exposure Results'!$A$5:$A$44,A41,'Exposure Results'!$D$5:$D$44,B41, 'Exposure Results'!$Q$5:$Q$44, D41)), _xlfn.MAXIFS(Dermal!$E$124:$E$133,Dermal!$A$124:$A$133, A41, Dermal!$D$124:$D$133, K41))</f>
        <v>7.3524964269559422E-4</v>
      </c>
      <c r="O41" s="387">
        <f>IFERROR(IF(C41="Inhalation", L41*U41, L41*X41), "")</f>
        <v>355.34919224381906</v>
      </c>
      <c r="P41" s="491">
        <f>IFERROR(IF(C41="Inhalation", M41*V41, M41*X41), "")</f>
        <v>498.85559680382295</v>
      </c>
      <c r="Q41" s="410">
        <f t="shared" si="4"/>
        <v>7.3524964269559419E-5</v>
      </c>
      <c r="R41" s="388" t="str">
        <f>ROUND(IFERROR(IF(C41="Inhalation", L41*U41, L41*X41), ""), 0)&amp;CHAR(10)&amp;" (APF "&amp;U41&amp;")"</f>
        <v>355
 (APF 10)</v>
      </c>
      <c r="S41" s="387" t="str">
        <f>ROUND(IFERROR(IF(C41="Inhalation", M41*V41, M41*X41), ""), 0)&amp;CHAR(10)&amp;" (APF "&amp;V41&amp;")"</f>
        <v>499
 (APF 10)</v>
      </c>
      <c r="T41" s="388" t="str">
        <f>IF(C41="Inhalation", TEXT(IFERROR(N41/W41, ""), "0.00E+00")&amp;CHAR(10)&amp;" (APF "&amp;W41&amp;")", TEXT(IFERROR(N41/X41, ""), "0.00E+00")&amp;CHAR(10)&amp;" (PF "&amp;X41&amp;")")</f>
        <v>7.35E-05
 (APF 10)</v>
      </c>
      <c r="U41" s="480">
        <v>10</v>
      </c>
      <c r="V41" s="491">
        <v>10</v>
      </c>
      <c r="W41" s="499">
        <v>10</v>
      </c>
      <c r="X41" s="363"/>
    </row>
    <row r="42" spans="1:24" x14ac:dyDescent="0.2">
      <c r="A42" s="399" t="s">
        <v>221</v>
      </c>
      <c r="B42" s="489"/>
      <c r="C42" s="498" t="s">
        <v>17</v>
      </c>
      <c r="D42" s="497"/>
      <c r="E42" s="669"/>
      <c r="F42" s="669"/>
      <c r="G42" s="657"/>
      <c r="H42" s="665"/>
      <c r="I42" s="658" t="s">
        <v>17</v>
      </c>
      <c r="J42" s="660" t="s">
        <v>22</v>
      </c>
      <c r="K42" s="495" t="s">
        <v>233</v>
      </c>
      <c r="L42" s="387">
        <f>IF(C42="Inhalation",IF(K42="Central Tendency",'Look-up Values'!$G$13/_xlfn.MAXIFS('Exposure Results'!$H$5:$H$44,'Exposure Results'!$A$5:$A$44,A42,'Exposure Results'!$D$5:$D$44,B42, 'Exposure Results'!$Q$5:$Q$44, D42),'Look-up Values'!$G$13/_xlfn.MAXIFS('Exposure Results'!$G$5:$G$44,'Exposure Results'!$A$5:$A$44,A42,'Exposure Results'!$D$5:$D$44,B42, 'Exposure Results'!$Q$5:$Q$44, D42)),11/_xlfn.MAXIFS(Dermal!$E$15:$E$24,Dermal!$A$15:$A$24, A42,Dermal!$D$15:$D$24, K42))</f>
        <v>417.66792267637811</v>
      </c>
      <c r="M42" s="387">
        <f>IF(C42="Inhalation",IF(K42="Central Tendency",'Look-up Values'!$G$14/_xlfn.MAXIFS('Exposure Results'!$N$5:$N$44,'Exposure Results'!$A$5:$A$44,A42,'Exposure Results'!$D$5:$D$44,B42, 'Exposure Results'!$Q$5:$Q$44, D42),'Look-up Values'!$G$14/_xlfn.MAXIFS('Exposure Results'!$M$5:$M$44,'Exposure Results'!$A$5:$A$44,A42,'Exposure Results'!$D$5:$D$44,B42, 'Exposure Results'!$Q$5:$Q$44, D42)),11/(_xlfn.MAXIFS(Dermal!$E$15:$E$24,Dermal!$A$15:$A$24, A42,Dermal!$D$15:$D$24, K42)*Dermal!$P$15))</f>
        <v>586.34150683414623</v>
      </c>
      <c r="N42" s="408">
        <f>IF(C42="Inhalation",IF(K42="Central Tendency",'Look-up Values'!$K$12*_xlfn.MAXIFS('Exposure Results'!$L$5:$L$44,'Exposure Results'!$A$5:$A$44,A42,'Exposure Results'!$D$5:$D$44,B42, 'Exposure Results'!$Q$5:$Q$44, D42),'Look-up Values'!$K$12*_xlfn.MAXIFS('Exposure Results'!$K$5:$K$44,'Exposure Results'!$A$5:$A$44,A42,'Exposure Results'!$D$5:$D$44,B42, 'Exposure Results'!$Q$5:$Q$44, D42)), _xlfn.MAXIFS(Dermal!$E$124:$E$133,Dermal!$A$124:$A$133, A42, Dermal!$D$124:$D$133, K42))</f>
        <v>6.2802929807692306E-5</v>
      </c>
      <c r="O42" s="491"/>
      <c r="P42" s="491"/>
      <c r="Q42" s="410" t="str">
        <f t="shared" si="4"/>
        <v/>
      </c>
      <c r="R42" s="284"/>
      <c r="S42" s="284"/>
      <c r="T42" s="284"/>
      <c r="U42" s="480"/>
      <c r="V42" s="491"/>
      <c r="W42" s="499"/>
      <c r="X42" s="363"/>
    </row>
    <row r="43" spans="1:24" ht="25.5" x14ac:dyDescent="0.2">
      <c r="A43" s="399" t="s">
        <v>221</v>
      </c>
      <c r="C43" s="499" t="s">
        <v>17</v>
      </c>
      <c r="D43" s="501"/>
      <c r="E43" s="669"/>
      <c r="F43" s="669"/>
      <c r="G43" s="657"/>
      <c r="H43" s="665"/>
      <c r="I43" s="659"/>
      <c r="J43" s="661"/>
      <c r="K43" s="495" t="s">
        <v>38</v>
      </c>
      <c r="L43" s="387">
        <f>IF(C43="Inhalation",IF(K43="Central Tendency",'Look-up Values'!$G$13/_xlfn.MAXIFS('Exposure Results'!$H$5:$H$44,'Exposure Results'!$A$5:$A$44,A43,'Exposure Results'!$D$5:$D$44,B43, 'Exposure Results'!$Q$5:$Q$44, D43),'Look-up Values'!$G$13/_xlfn.MAXIFS('Exposure Results'!$G$5:$G$44,'Exposure Results'!$A$5:$A$44,A43,'Exposure Results'!$D$5:$D$44,B43, 'Exposure Results'!$Q$5:$Q$44, D43)),11/_xlfn.MAXIFS(Dermal!$E$15:$E$24,Dermal!$A$15:$A$24, A43,Dermal!$D$15:$D$24, K43))</f>
        <v>139.22264089212604</v>
      </c>
      <c r="M43" s="387">
        <f>IF(C43="Inhalation",IF(K43="Central Tendency",'Look-up Values'!$G$14/_xlfn.MAXIFS('Exposure Results'!$N$5:$N$44,'Exposure Results'!$A$5:$A$44,A43,'Exposure Results'!$D$5:$D$44,B43, 'Exposure Results'!$Q$5:$Q$44, D43),'Look-up Values'!$G$14/_xlfn.MAXIFS('Exposure Results'!$M$5:$M$44,'Exposure Results'!$A$5:$A$44,A43,'Exposure Results'!$D$5:$D$44,B43, 'Exposure Results'!$Q$5:$Q$44, D43)),11/(_xlfn.MAXIFS(Dermal!$E$15:$E$24,Dermal!$A$15:$A$24, A43,Dermal!$D$15:$D$24, K43)*Dermal!$P$15))</f>
        <v>195.4471689447154</v>
      </c>
      <c r="N43" s="408">
        <f>IF(C43="Inhalation",IF(K43="Central Tendency",'Look-up Values'!$K$12*_xlfn.MAXIFS('Exposure Results'!$L$5:$L$44,'Exposure Results'!$A$5:$A$44,A43,'Exposure Results'!$D$5:$D$44,B43, 'Exposure Results'!$Q$5:$Q$44, D43),'Look-up Values'!$K$12*_xlfn.MAXIFS('Exposure Results'!$K$5:$K$44,'Exposure Results'!$A$5:$A$44,A43,'Exposure Results'!$D$5:$D$44,B43, 'Exposure Results'!$Q$5:$Q$44, D43)), _xlfn.MAXIFS(Dermal!$E$124:$E$133,Dermal!$A$124:$A$133, A43, Dermal!$D$124:$D$133, K43))</f>
        <v>2.431081153846154E-4</v>
      </c>
      <c r="O43" s="491"/>
      <c r="P43" s="491"/>
      <c r="Q43" s="410">
        <f t="shared" si="4"/>
        <v>4.8621623076923079E-5</v>
      </c>
      <c r="R43" s="284"/>
      <c r="S43" s="284"/>
      <c r="T43" s="388" t="str">
        <f>IF(C43="Inhalation", TEXT(IFERROR(N43/W43, ""), "0.00E+00")&amp;CHAR(10)&amp;" (APF "&amp;W43&amp;")", TEXT(IFERROR(N43/X43, ""), "0.00E+00")&amp;CHAR(10)&amp;" (PF "&amp;X43&amp;")")</f>
        <v>4.86E-05
 (PF 5)</v>
      </c>
      <c r="U43" s="480"/>
      <c r="V43" s="491"/>
      <c r="W43" s="499"/>
      <c r="X43" s="499">
        <v>5</v>
      </c>
    </row>
    <row r="44" spans="1:24" x14ac:dyDescent="0.2">
      <c r="A44" s="399" t="s">
        <v>137</v>
      </c>
      <c r="B44" s="399" t="s">
        <v>39</v>
      </c>
      <c r="C44" s="499" t="s">
        <v>306</v>
      </c>
      <c r="D44" s="495" t="str">
        <f>$J$44</f>
        <v>Model</v>
      </c>
      <c r="E44" s="669"/>
      <c r="F44" s="669"/>
      <c r="G44" s="657"/>
      <c r="H44" s="665" t="s">
        <v>39</v>
      </c>
      <c r="I44" s="665" t="s">
        <v>306</v>
      </c>
      <c r="J44" s="625" t="s">
        <v>22</v>
      </c>
      <c r="K44" s="495" t="s">
        <v>233</v>
      </c>
      <c r="L44" s="387">
        <f>IF(C44="Inhalation",IF(K44="Central Tendency",'Look-up Values'!$G$13/_xlfn.MAXIFS('Exposure Results'!$H$5:$H$44,'Exposure Results'!$A$5:$A$44,A44,'Exposure Results'!$D$5:$D$44,B44, 'Exposure Results'!$Q$5:$Q$44, D44),'Look-up Values'!$G$13/_xlfn.MAXIFS('Exposure Results'!$G$5:$G$44,'Exposure Results'!$A$5:$A$44,A44,'Exposure Results'!$D$5:$D$44,B44, 'Exposure Results'!$Q$5:$Q$44, D44)),11/_xlfn.MAXIFS(Dermal!$E$15:$E$24,Dermal!$A$15:$A$24, A44,Dermal!$D$15:$D$24, K44))</f>
        <v>855.80913436429603</v>
      </c>
      <c r="M44" s="387">
        <f>IF(C44="Inhalation",IF(K44="Central Tendency",'Look-up Values'!$G$14/_xlfn.MAXIFS('Exposure Results'!$N$5:$N$44,'Exposure Results'!$A$5:$A$44,A44,'Exposure Results'!$D$5:$D$44,B44, 'Exposure Results'!$Q$5:$Q$44, D44),'Look-up Values'!$G$14/_xlfn.MAXIFS('Exposure Results'!$M$5:$M$44,'Exposure Results'!$A$5:$A$44,A44,'Exposure Results'!$D$5:$D$44,B44, 'Exposure Results'!$Q$5:$Q$44, D44)),11/(_xlfn.MAXIFS(Dermal!$E$15:$E$24,Dermal!$A$15:$A$24, A44,Dermal!$D$15:$D$24, K44)*Dermal!$P$15))</f>
        <v>1201.4243617037232</v>
      </c>
      <c r="N44" s="408">
        <f>IF(C44="Inhalation",IF(K44="Central Tendency",'Look-up Values'!$K$12*_xlfn.MAXIFS('Exposure Results'!$L$5:$L$44,'Exposure Results'!$A$5:$A$44,A44,'Exposure Results'!$D$5:$D$44,B44, 'Exposure Results'!$Q$5:$Q$44, D44),'Look-up Values'!$K$12*_xlfn.MAXIFS('Exposure Results'!$K$5:$K$44,'Exposure Results'!$A$5:$A$44,A44,'Exposure Results'!$D$5:$D$44,B44, 'Exposure Results'!$Q$5:$Q$44, D44)), _xlfn.MAXIFS(Dermal!$E$124:$E$133,Dermal!$A$124:$A$133, A44, Dermal!$D$124:$D$133, K44))</f>
        <v>2.9713771444220429E-5</v>
      </c>
      <c r="O44" s="390"/>
      <c r="P44" s="390"/>
      <c r="Q44" s="410" t="str">
        <f t="shared" si="4"/>
        <v/>
      </c>
      <c r="R44" s="284" t="s">
        <v>122</v>
      </c>
      <c r="S44" s="284" t="s">
        <v>122</v>
      </c>
      <c r="T44" s="284" t="s">
        <v>122</v>
      </c>
      <c r="U44" s="480"/>
      <c r="V44" s="491"/>
      <c r="W44" s="499"/>
      <c r="X44" s="363"/>
    </row>
    <row r="45" spans="1:24" x14ac:dyDescent="0.2">
      <c r="A45" s="399" t="s">
        <v>137</v>
      </c>
      <c r="B45" s="399" t="s">
        <v>39</v>
      </c>
      <c r="C45" s="499" t="s">
        <v>306</v>
      </c>
      <c r="D45" s="495" t="str">
        <f>$J$44</f>
        <v>Model</v>
      </c>
      <c r="E45" s="669"/>
      <c r="F45" s="661"/>
      <c r="G45" s="657"/>
      <c r="H45" s="665"/>
      <c r="I45" s="665"/>
      <c r="J45" s="625"/>
      <c r="K45" s="495" t="s">
        <v>38</v>
      </c>
      <c r="L45" s="387">
        <f>IF(C45="Inhalation",IF(K45="Central Tendency",'Look-up Values'!$G$13/_xlfn.MAXIFS('Exposure Results'!$H$5:$H$44,'Exposure Results'!$A$5:$A$44,A45,'Exposure Results'!$D$5:$D$44,B45, 'Exposure Results'!$Q$5:$Q$44, D45),'Look-up Values'!$G$13/_xlfn.MAXIFS('Exposure Results'!$G$5:$G$44,'Exposure Results'!$A$5:$A$44,A45,'Exposure Results'!$D$5:$D$44,B45, 'Exposure Results'!$Q$5:$Q$44, D45)),11/_xlfn.MAXIFS(Dermal!$E$15:$E$24,Dermal!$A$15:$A$24, A45,Dermal!$D$15:$D$24, K45))</f>
        <v>62.945778394559191</v>
      </c>
      <c r="M45" s="387">
        <f>IF(C45="Inhalation",IF(K45="Central Tendency",'Look-up Values'!$G$14/_xlfn.MAXIFS('Exposure Results'!$N$5:$N$44,'Exposure Results'!$A$5:$A$44,A45,'Exposure Results'!$D$5:$D$44,B45, 'Exposure Results'!$Q$5:$Q$44, D45),'Look-up Values'!$G$14/_xlfn.MAXIFS('Exposure Results'!$M$5:$M$44,'Exposure Results'!$A$5:$A$44,A45,'Exposure Results'!$D$5:$D$44,B45, 'Exposure Results'!$Q$5:$Q$44, D45)),11/(_xlfn.MAXIFS(Dermal!$E$15:$E$24,Dermal!$A$15:$A$24, A45,Dermal!$D$15:$D$24, K45)*Dermal!$P$15))</f>
        <v>88.36618890005424</v>
      </c>
      <c r="N45" s="408">
        <f>IF(C45="Inhalation",IF(K45="Central Tendency",'Look-up Values'!$K$12*_xlfn.MAXIFS('Exposure Results'!$L$5:$L$44,'Exposure Results'!$A$5:$A$44,A45,'Exposure Results'!$D$5:$D$44,B45, 'Exposure Results'!$Q$5:$Q$44, D45),'Look-up Values'!$K$12*_xlfn.MAXIFS('Exposure Results'!$K$5:$K$44,'Exposure Results'!$A$5:$A$44,A45,'Exposure Results'!$D$5:$D$44,B45, 'Exposure Results'!$Q$5:$Q$44, D45)), _xlfn.MAXIFS(Dermal!$E$124:$E$133,Dermal!$A$124:$A$133, A45, Dermal!$D$124:$D$133, K45))</f>
        <v>4.1865375221474238E-4</v>
      </c>
      <c r="O45" s="390"/>
      <c r="P45" s="390"/>
      <c r="Q45" s="410" t="str">
        <f t="shared" si="4"/>
        <v/>
      </c>
      <c r="R45" s="284" t="s">
        <v>122</v>
      </c>
      <c r="S45" s="284" t="s">
        <v>122</v>
      </c>
      <c r="T45" s="284" t="s">
        <v>122</v>
      </c>
      <c r="U45" s="480"/>
      <c r="V45" s="491"/>
      <c r="W45" s="499"/>
      <c r="X45" s="363"/>
    </row>
    <row r="46" spans="1:24" ht="12.75" customHeight="1" x14ac:dyDescent="0.2">
      <c r="D46" s="486"/>
      <c r="E46" s="669"/>
      <c r="F46" s="495" t="s">
        <v>333</v>
      </c>
      <c r="G46" s="495" t="s">
        <v>334</v>
      </c>
      <c r="H46" s="394" t="s">
        <v>335</v>
      </c>
      <c r="J46" s="486"/>
      <c r="K46" s="495"/>
      <c r="L46" s="387"/>
      <c r="M46" s="387"/>
      <c r="N46" s="408"/>
      <c r="O46" s="491"/>
      <c r="P46" s="491"/>
      <c r="Q46" s="410" t="str">
        <f t="shared" si="4"/>
        <v/>
      </c>
      <c r="R46" s="284"/>
      <c r="S46" s="284"/>
      <c r="T46" s="284"/>
      <c r="U46" s="480"/>
      <c r="V46" s="491"/>
      <c r="W46" s="499"/>
      <c r="X46" s="363"/>
    </row>
    <row r="47" spans="1:24" ht="25.5" x14ac:dyDescent="0.2">
      <c r="A47" s="399">
        <v>8</v>
      </c>
      <c r="B47" s="499" t="s">
        <v>37</v>
      </c>
      <c r="C47" s="499" t="s">
        <v>306</v>
      </c>
      <c r="D47" s="502" t="str">
        <f>$J$47</f>
        <v>Monitoring Data</v>
      </c>
      <c r="E47" s="669"/>
      <c r="F47" s="660" t="s">
        <v>336</v>
      </c>
      <c r="G47" s="657" t="s">
        <v>336</v>
      </c>
      <c r="H47" s="665" t="s">
        <v>37</v>
      </c>
      <c r="I47" s="665" t="s">
        <v>306</v>
      </c>
      <c r="J47" s="670" t="s">
        <v>80</v>
      </c>
      <c r="K47" s="502" t="s">
        <v>233</v>
      </c>
      <c r="L47" s="387">
        <f>IF(C47="Inhalation",IF(K47="Central Tendency",'Look-up Values'!$G$13/_xlfn.MAXIFS('Exposure Results'!$H$5:$H$44,'Exposure Results'!$A$5:$A$44,A47,'Exposure Results'!$D$5:$D$44,B47, 'Exposure Results'!$Q$5:$Q$44, D47),'Look-up Values'!$G$13/_xlfn.MAXIFS('Exposure Results'!$G$5:$G$44,'Exposure Results'!$A$5:$A$44,A47,'Exposure Results'!$D$5:$D$44,B47, 'Exposure Results'!$Q$5:$Q$44, D47)),11/_xlfn.MAXIFS(Dermal!$E$15:$E$24,Dermal!$A$15:$A$24, A47,Dermal!$D$15:$D$24, K47))</f>
        <v>3.9534883720930236</v>
      </c>
      <c r="M47" s="387">
        <f>IF(C47="Inhalation",IF(K47="Central Tendency",'Look-up Values'!$G$14/_xlfn.MAXIFS('Exposure Results'!$N$5:$N$44,'Exposure Results'!$A$5:$A$44,A47,'Exposure Results'!$D$5:$D$44,B47, 'Exposure Results'!$Q$5:$Q$44, D47),'Look-up Values'!$G$14/_xlfn.MAXIFS('Exposure Results'!$M$5:$M$44,'Exposure Results'!$A$5:$A$44,A47,'Exposure Results'!$D$5:$D$44,B47, 'Exposure Results'!$Q$5:$Q$44, D47)),11/(_xlfn.MAXIFS(Dermal!$E$15:$E$24,Dermal!$A$15:$A$24, A47,Dermal!$D$15:$D$24, K47)*Dermal!$P$15))</f>
        <v>5.5500894454382825</v>
      </c>
      <c r="N47" s="408">
        <f>IF(C47="Inhalation",IF(K47="Central Tendency",'Look-up Values'!$K$12*_xlfn.MAXIFS('Exposure Results'!$L$5:$L$44,'Exposure Results'!$A$5:$A$44,A47,'Exposure Results'!$D$5:$D$44,B47, 'Exposure Results'!$Q$5:$Q$44, D47),'Look-up Values'!$K$12*_xlfn.MAXIFS('Exposure Results'!$K$5:$K$44,'Exposure Results'!$A$5:$A$44,A47,'Exposure Results'!$D$5:$D$44,B47, 'Exposure Results'!$Q$5:$Q$44, D47)), _xlfn.MAXIFS(Dermal!$E$124:$E$133,Dermal!$A$124:$A$133, A47, Dermal!$D$124:$D$133, K47))</f>
        <v>6.8358974358974358E-3</v>
      </c>
      <c r="O47" s="387">
        <f>IFERROR(IF(C47="Inhalation", L47*U47, L47*X47), "")</f>
        <v>197.67441860465118</v>
      </c>
      <c r="P47" s="491">
        <f>IFERROR(IF(C47="Inhalation", M47*V47, M47*X47), "")</f>
        <v>277.50447227191415</v>
      </c>
      <c r="Q47" s="410">
        <f t="shared" si="4"/>
        <v>1.3671794871794872E-4</v>
      </c>
      <c r="R47" s="388" t="str">
        <f>ROUND(IFERROR(IF(C47="Inhalation", L47*U47, L47*X47), ""), 0)&amp;CHAR(10)&amp;" (APF "&amp;U47&amp;")"</f>
        <v>198
 (APF 50)</v>
      </c>
      <c r="S47" s="387" t="str">
        <f>ROUND(IFERROR(IF(C47="Inhalation", M47*V47, M47*X47), ""), 0)&amp;CHAR(10)&amp;" (APF "&amp;V47&amp;")"</f>
        <v>278
 (APF 50)</v>
      </c>
      <c r="T47" s="388" t="str">
        <f>IF(C47="Inhalation", TEXT(IFERROR(N47/W47, ""), "0.00E+00")&amp;CHAR(10)&amp;" (APF "&amp;W47&amp;")", TEXT(IFERROR(N47/X47, ""), "0.00E+00")&amp;CHAR(10)&amp;" (PF "&amp;X47&amp;")")</f>
        <v>1.37E-04
 (APF 50)</v>
      </c>
      <c r="U47" s="480">
        <v>50</v>
      </c>
      <c r="V47" s="491">
        <v>50</v>
      </c>
      <c r="W47" s="499">
        <v>50</v>
      </c>
      <c r="X47" s="363"/>
    </row>
    <row r="48" spans="1:24" ht="25.5" x14ac:dyDescent="0.2">
      <c r="A48" s="399">
        <v>8</v>
      </c>
      <c r="B48" s="499" t="s">
        <v>37</v>
      </c>
      <c r="C48" s="499" t="s">
        <v>306</v>
      </c>
      <c r="D48" s="502" t="str">
        <f>$J$47</f>
        <v>Monitoring Data</v>
      </c>
      <c r="E48" s="669"/>
      <c r="F48" s="669"/>
      <c r="G48" s="657"/>
      <c r="H48" s="665"/>
      <c r="I48" s="665"/>
      <c r="J48" s="670"/>
      <c r="K48" s="502" t="s">
        <v>38</v>
      </c>
      <c r="L48" s="387">
        <f>IF(C48="Inhalation",IF(K48="Central Tendency",'Look-up Values'!$G$13/_xlfn.MAXIFS('Exposure Results'!$H$5:$H$44,'Exposure Results'!$A$5:$A$44,A48,'Exposure Results'!$D$5:$D$44,B48, 'Exposure Results'!$Q$5:$Q$44, D48),'Look-up Values'!$G$13/_xlfn.MAXIFS('Exposure Results'!$G$5:$G$44,'Exposure Results'!$A$5:$A$44,A48,'Exposure Results'!$D$5:$D$44,B48, 'Exposure Results'!$Q$5:$Q$44, D48)),11/_xlfn.MAXIFS(Dermal!$E$15:$E$24,Dermal!$A$15:$A$24, A48,Dermal!$D$15:$D$24, K48))</f>
        <v>2.2972972972972974</v>
      </c>
      <c r="M48" s="387">
        <f>IF(C48="Inhalation",IF(K48="Central Tendency",'Look-up Values'!$G$14/_xlfn.MAXIFS('Exposure Results'!$N$5:$N$44,'Exposure Results'!$A$5:$A$44,A48,'Exposure Results'!$D$5:$D$44,B48, 'Exposure Results'!$Q$5:$Q$44, D48),'Look-up Values'!$G$14/_xlfn.MAXIFS('Exposure Results'!$M$5:$M$44,'Exposure Results'!$A$5:$A$44,A48,'Exposure Results'!$D$5:$D$44,B48, 'Exposure Results'!$Q$5:$Q$44, D48)),11/(_xlfn.MAXIFS(Dermal!$E$15:$E$24,Dermal!$A$15:$A$24, A48,Dermal!$D$15:$D$24, K48)*Dermal!$P$15))</f>
        <v>3.2250519750519748</v>
      </c>
      <c r="N48" s="408">
        <f>IF(C48="Inhalation",IF(K48="Central Tendency",'Look-up Values'!$K$12*_xlfn.MAXIFS('Exposure Results'!$L$5:$L$44,'Exposure Results'!$A$5:$A$44,A48,'Exposure Results'!$D$5:$D$44,B48, 'Exposure Results'!$Q$5:$Q$44, D48),'Look-up Values'!$K$12*_xlfn.MAXIFS('Exposure Results'!$K$5:$K$44,'Exposure Results'!$A$5:$A$44,A48,'Exposure Results'!$D$5:$D$44,B48, 'Exposure Results'!$Q$5:$Q$44, D48)), _xlfn.MAXIFS(Dermal!$E$124:$E$133,Dermal!$A$124:$A$133, A48, Dermal!$D$124:$D$133, K48))</f>
        <v>1.5179487179487179E-2</v>
      </c>
      <c r="O48" s="387">
        <f>IFERROR(IF(C48="Inhalation", L48*U48, L48*X48), "")</f>
        <v>114.86486486486487</v>
      </c>
      <c r="P48" s="491">
        <f>IFERROR(IF(C48="Inhalation", M48*V48, M48*X48), "")</f>
        <v>161.25259875259874</v>
      </c>
      <c r="Q48" s="410">
        <f t="shared" si="4"/>
        <v>3.035897435897436E-4</v>
      </c>
      <c r="R48" s="388" t="str">
        <f>ROUND(IFERROR(IF(C48="Inhalation", L48*U48, L48*X48), ""), 0)&amp;CHAR(10)&amp;" (APF "&amp;U48&amp;")"</f>
        <v>115
 (APF 50)</v>
      </c>
      <c r="S48" s="387" t="str">
        <f>ROUND(IFERROR(IF(C48="Inhalation", M48*V48, M48*X48), ""), 0)&amp;CHAR(10)&amp;" (APF "&amp;V48&amp;")"</f>
        <v>161
 (APF 50)</v>
      </c>
      <c r="T48" s="388" t="str">
        <f>IF(C48="Inhalation", TEXT(IFERROR(N48/W48, ""), "0.00E+00")&amp;CHAR(10)&amp;" (APF "&amp;W48&amp;")", TEXT(IFERROR(N48/X48, ""), "0.00E+00")&amp;CHAR(10)&amp;" (PF "&amp;X48&amp;")")</f>
        <v>3.04E-04
 (APF 50)</v>
      </c>
      <c r="U48" s="480">
        <v>50</v>
      </c>
      <c r="V48" s="491">
        <v>50</v>
      </c>
      <c r="W48" s="499">
        <v>50</v>
      </c>
      <c r="X48" s="363"/>
    </row>
    <row r="49" spans="1:24" x14ac:dyDescent="0.2">
      <c r="A49" s="399" t="s">
        <v>221</v>
      </c>
      <c r="B49" s="489"/>
      <c r="C49" s="498" t="s">
        <v>17</v>
      </c>
      <c r="D49" s="497"/>
      <c r="E49" s="669"/>
      <c r="F49" s="669"/>
      <c r="G49" s="657"/>
      <c r="H49" s="665"/>
      <c r="I49" s="658" t="s">
        <v>17</v>
      </c>
      <c r="J49" s="666" t="s">
        <v>22</v>
      </c>
      <c r="K49" s="502" t="s">
        <v>233</v>
      </c>
      <c r="L49" s="387">
        <f>IF(C49="Inhalation",IF(K49="Central Tendency",'Look-up Values'!$G$13/_xlfn.MAXIFS('Exposure Results'!$H$5:$H$44,'Exposure Results'!$A$5:$A$44,A49,'Exposure Results'!$D$5:$D$44,B49, 'Exposure Results'!$Q$5:$Q$44, D49),'Look-up Values'!$G$13/_xlfn.MAXIFS('Exposure Results'!$G$5:$G$44,'Exposure Results'!$A$5:$A$44,A49,'Exposure Results'!$D$5:$D$44,B49, 'Exposure Results'!$Q$5:$Q$44, D49)),11/_xlfn.MAXIFS(Dermal!$E$15:$E$24,Dermal!$A$15:$A$24, A49,Dermal!$D$15:$D$24, K49))</f>
        <v>417.66792267637811</v>
      </c>
      <c r="M49" s="387">
        <f>IF(C49="Inhalation",IF(K49="Central Tendency",'Look-up Values'!$G$14/_xlfn.MAXIFS('Exposure Results'!$N$5:$N$44,'Exposure Results'!$A$5:$A$44,A49,'Exposure Results'!$D$5:$D$44,B49, 'Exposure Results'!$Q$5:$Q$44, D49),'Look-up Values'!$G$14/_xlfn.MAXIFS('Exposure Results'!$M$5:$M$44,'Exposure Results'!$A$5:$A$44,A49,'Exposure Results'!$D$5:$D$44,B49, 'Exposure Results'!$Q$5:$Q$44, D49)),11/(_xlfn.MAXIFS(Dermal!$E$15:$E$24,Dermal!$A$15:$A$24, A49,Dermal!$D$15:$D$24, K49)*Dermal!$P$15))</f>
        <v>586.34150683414623</v>
      </c>
      <c r="N49" s="408">
        <f>IF(C49="Inhalation",IF(K49="Central Tendency",'Look-up Values'!$K$12*_xlfn.MAXIFS('Exposure Results'!$L$5:$L$44,'Exposure Results'!$A$5:$A$44,A49,'Exposure Results'!$D$5:$D$44,B49, 'Exposure Results'!$Q$5:$Q$44, D49),'Look-up Values'!$K$12*_xlfn.MAXIFS('Exposure Results'!$K$5:$K$44,'Exposure Results'!$A$5:$A$44,A49,'Exposure Results'!$D$5:$D$44,B49, 'Exposure Results'!$Q$5:$Q$44, D49)), _xlfn.MAXIFS(Dermal!$E$124:$E$133,Dermal!$A$124:$A$133, A49, Dermal!$D$124:$D$133, K49))</f>
        <v>6.2802929807692306E-5</v>
      </c>
      <c r="O49" s="491"/>
      <c r="P49" s="491"/>
      <c r="Q49" s="410" t="str">
        <f t="shared" si="4"/>
        <v/>
      </c>
      <c r="R49" s="284"/>
      <c r="S49" s="284"/>
      <c r="T49" s="284"/>
      <c r="U49" s="480"/>
      <c r="V49" s="491"/>
      <c r="W49" s="499"/>
      <c r="X49" s="363"/>
    </row>
    <row r="50" spans="1:24" ht="25.5" x14ac:dyDescent="0.2">
      <c r="A50" s="399" t="s">
        <v>221</v>
      </c>
      <c r="C50" s="499" t="s">
        <v>17</v>
      </c>
      <c r="D50" s="501"/>
      <c r="E50" s="669"/>
      <c r="F50" s="669"/>
      <c r="G50" s="657"/>
      <c r="H50" s="665"/>
      <c r="I50" s="659"/>
      <c r="J50" s="667"/>
      <c r="K50" s="502" t="s">
        <v>38</v>
      </c>
      <c r="L50" s="387">
        <f>IF(C50="Inhalation",IF(K50="Central Tendency",'Look-up Values'!$G$13/_xlfn.MAXIFS('Exposure Results'!$H$5:$H$44,'Exposure Results'!$A$5:$A$44,A50,'Exposure Results'!$D$5:$D$44,B50, 'Exposure Results'!$Q$5:$Q$44, D50),'Look-up Values'!$G$13/_xlfn.MAXIFS('Exposure Results'!$G$5:$G$44,'Exposure Results'!$A$5:$A$44,A50,'Exposure Results'!$D$5:$D$44,B50, 'Exposure Results'!$Q$5:$Q$44, D50)),11/_xlfn.MAXIFS(Dermal!$E$15:$E$24,Dermal!$A$15:$A$24, A50,Dermal!$D$15:$D$24, K50))</f>
        <v>139.22264089212604</v>
      </c>
      <c r="M50" s="387">
        <f>IF(C50="Inhalation",IF(K50="Central Tendency",'Look-up Values'!$G$14/_xlfn.MAXIFS('Exposure Results'!$N$5:$N$44,'Exposure Results'!$A$5:$A$44,A50,'Exposure Results'!$D$5:$D$44,B50, 'Exposure Results'!$Q$5:$Q$44, D50),'Look-up Values'!$G$14/_xlfn.MAXIFS('Exposure Results'!$M$5:$M$44,'Exposure Results'!$A$5:$A$44,A50,'Exposure Results'!$D$5:$D$44,B50, 'Exposure Results'!$Q$5:$Q$44, D50)),11/(_xlfn.MAXIFS(Dermal!$E$15:$E$24,Dermal!$A$15:$A$24, A50,Dermal!$D$15:$D$24, K50)*Dermal!$P$15))</f>
        <v>195.4471689447154</v>
      </c>
      <c r="N50" s="408">
        <f>IF(C50="Inhalation",IF(K50="Central Tendency",'Look-up Values'!$K$12*_xlfn.MAXIFS('Exposure Results'!$L$5:$L$44,'Exposure Results'!$A$5:$A$44,A50,'Exposure Results'!$D$5:$D$44,B50, 'Exposure Results'!$Q$5:$Q$44, D50),'Look-up Values'!$K$12*_xlfn.MAXIFS('Exposure Results'!$K$5:$K$44,'Exposure Results'!$A$5:$A$44,A50,'Exposure Results'!$D$5:$D$44,B50, 'Exposure Results'!$Q$5:$Q$44, D50)), _xlfn.MAXIFS(Dermal!$E$124:$E$133,Dermal!$A$124:$A$133, A50, Dermal!$D$124:$D$133, K50))</f>
        <v>2.431081153846154E-4</v>
      </c>
      <c r="O50" s="491"/>
      <c r="P50" s="491"/>
      <c r="Q50" s="410">
        <f t="shared" si="4"/>
        <v>4.8621623076923079E-5</v>
      </c>
      <c r="R50" s="284"/>
      <c r="S50" s="284"/>
      <c r="T50" s="388" t="str">
        <f>IF(C50="Inhalation", TEXT(IFERROR(N50/W50, ""), "0.00E+00")&amp;CHAR(10)&amp;" (APF "&amp;W50&amp;")", TEXT(IFERROR(N50/X50, ""), "0.00E+00")&amp;CHAR(10)&amp;" (PF "&amp;X50&amp;")")</f>
        <v>4.86E-05
 (PF 5)</v>
      </c>
      <c r="U50" s="480"/>
      <c r="V50" s="491"/>
      <c r="W50" s="499"/>
      <c r="X50" s="499">
        <v>5</v>
      </c>
    </row>
    <row r="51" spans="1:24" ht="12.75" customHeight="1" x14ac:dyDescent="0.2">
      <c r="A51" s="399">
        <v>8</v>
      </c>
      <c r="B51" s="399" t="s">
        <v>39</v>
      </c>
      <c r="C51" s="499" t="s">
        <v>306</v>
      </c>
      <c r="D51" s="407" t="str">
        <f>$J$51</f>
        <v>Monitoring Data</v>
      </c>
      <c r="E51" s="669"/>
      <c r="F51" s="669"/>
      <c r="G51" s="657"/>
      <c r="H51" s="665" t="s">
        <v>39</v>
      </c>
      <c r="I51" s="665" t="s">
        <v>306</v>
      </c>
      <c r="J51" s="670" t="s">
        <v>80</v>
      </c>
      <c r="K51" s="502" t="s">
        <v>233</v>
      </c>
      <c r="L51" s="387">
        <f>IF(C51="Inhalation",IF(K51="Central Tendency",'Look-up Values'!$G$13/_xlfn.MAXIFS('Exposure Results'!$H$5:$H$44,'Exposure Results'!$A$5:$A$44,A51,'Exposure Results'!$D$5:$D$44,B51, 'Exposure Results'!$Q$5:$Q$44, D51),'Look-up Values'!$G$13/_xlfn.MAXIFS('Exposure Results'!$G$5:$G$44,'Exposure Results'!$A$5:$A$44,A51,'Exposure Results'!$D$5:$D$44,B51, 'Exposure Results'!$Q$5:$Q$44, D51)),11/_xlfn.MAXIFS(Dermal!$E$15:$E$24,Dermal!$A$15:$A$24, A51,Dermal!$D$15:$D$24, K51))</f>
        <v>6.5384615384615383</v>
      </c>
      <c r="M51" s="387">
        <f>IF(C51="Inhalation",IF(K51="Central Tendency",'Look-up Values'!$G$14/_xlfn.MAXIFS('Exposure Results'!$N$5:$N$44,'Exposure Results'!$A$5:$A$44,A51,'Exposure Results'!$D$5:$D$44,B51, 'Exposure Results'!$Q$5:$Q$44, D51),'Look-up Values'!$G$14/_xlfn.MAXIFS('Exposure Results'!$M$5:$M$44,'Exposure Results'!$A$5:$A$44,A51,'Exposure Results'!$D$5:$D$44,B51, 'Exposure Results'!$Q$5:$Q$44, D51)),11/(_xlfn.MAXIFS(Dermal!$E$15:$E$24,Dermal!$A$15:$A$24, A51,Dermal!$D$15:$D$24, K51)*Dermal!$P$15))</f>
        <v>9.1789940828402372</v>
      </c>
      <c r="N51" s="408">
        <f>IF(C51="Inhalation",IF(K51="Central Tendency",'Look-up Values'!$K$12*_xlfn.MAXIFS('Exposure Results'!$L$5:$L$44,'Exposure Results'!$A$5:$A$44,A51,'Exposure Results'!$D$5:$D$44,B51, 'Exposure Results'!$Q$5:$Q$44, D51),'Look-up Values'!$K$12*_xlfn.MAXIFS('Exposure Results'!$K$5:$K$44,'Exposure Results'!$A$5:$A$44,A51,'Exposure Results'!$D$5:$D$44,B51, 'Exposure Results'!$Q$5:$Q$44, D51)), _xlfn.MAXIFS(Dermal!$E$124:$E$133,Dermal!$A$124:$A$133, A51, Dermal!$D$124:$D$133, K51))</f>
        <v>4.1333333333333335E-3</v>
      </c>
      <c r="O51" s="390"/>
      <c r="P51" s="390"/>
      <c r="Q51" s="410" t="str">
        <f t="shared" si="4"/>
        <v/>
      </c>
      <c r="R51" s="284" t="s">
        <v>122</v>
      </c>
      <c r="S51" s="284" t="s">
        <v>122</v>
      </c>
      <c r="T51" s="284" t="s">
        <v>122</v>
      </c>
      <c r="U51" s="480"/>
      <c r="V51" s="491"/>
      <c r="W51" s="499"/>
      <c r="X51" s="363"/>
    </row>
    <row r="52" spans="1:24" x14ac:dyDescent="0.2">
      <c r="A52" s="399">
        <v>8</v>
      </c>
      <c r="B52" s="399" t="s">
        <v>39</v>
      </c>
      <c r="C52" s="499" t="s">
        <v>306</v>
      </c>
      <c r="D52" s="407" t="str">
        <f t="shared" ref="D52" si="5">$J$51</f>
        <v>Monitoring Data</v>
      </c>
      <c r="E52" s="669"/>
      <c r="F52" s="661"/>
      <c r="G52" s="657"/>
      <c r="H52" s="665"/>
      <c r="I52" s="665"/>
      <c r="J52" s="670"/>
      <c r="K52" s="502" t="s">
        <v>38</v>
      </c>
      <c r="L52" s="387">
        <f>IF(C52="Inhalation",IF(K52="Central Tendency",'Look-up Values'!$G$13/_xlfn.MAXIFS('Exposure Results'!$H$5:$H$44,'Exposure Results'!$A$5:$A$44,A52,'Exposure Results'!$D$5:$D$44,B52, 'Exposure Results'!$Q$5:$Q$44, D52),'Look-up Values'!$G$13/_xlfn.MAXIFS('Exposure Results'!$G$5:$G$44,'Exposure Results'!$A$5:$A$44,A52,'Exposure Results'!$D$5:$D$44,B52, 'Exposure Results'!$Q$5:$Q$44, D52)),11/_xlfn.MAXIFS(Dermal!$E$15:$E$24,Dermal!$A$15:$A$24, A52,Dermal!$D$15:$D$24, K52))</f>
        <v>6.5384615384615383</v>
      </c>
      <c r="M52" s="387">
        <f>IF(C52="Inhalation",IF(K52="Central Tendency",'Look-up Values'!$G$14/_xlfn.MAXIFS('Exposure Results'!$N$5:$N$44,'Exposure Results'!$A$5:$A$44,A52,'Exposure Results'!$D$5:$D$44,B52, 'Exposure Results'!$Q$5:$Q$44, D52),'Look-up Values'!$G$14/_xlfn.MAXIFS('Exposure Results'!$M$5:$M$44,'Exposure Results'!$A$5:$A$44,A52,'Exposure Results'!$D$5:$D$44,B52, 'Exposure Results'!$Q$5:$Q$44, D52)),11/(_xlfn.MAXIFS(Dermal!$E$15:$E$24,Dermal!$A$15:$A$24, A52,Dermal!$D$15:$D$24, K52)*Dermal!$P$15))</f>
        <v>9.1789940828402372</v>
      </c>
      <c r="N52" s="408">
        <f>IF(C52="Inhalation",IF(K52="Central Tendency",'Look-up Values'!$K$12*_xlfn.MAXIFS('Exposure Results'!$L$5:$L$44,'Exposure Results'!$A$5:$A$44,A52,'Exposure Results'!$D$5:$D$44,B52, 'Exposure Results'!$Q$5:$Q$44, D52),'Look-up Values'!$K$12*_xlfn.MAXIFS('Exposure Results'!$K$5:$K$44,'Exposure Results'!$A$5:$A$44,A52,'Exposure Results'!$D$5:$D$44,B52, 'Exposure Results'!$Q$5:$Q$44, D52)), _xlfn.MAXIFS(Dermal!$E$124:$E$133,Dermal!$A$124:$A$133, A52, Dermal!$D$124:$D$133, K52))</f>
        <v>5.3333333333333332E-3</v>
      </c>
      <c r="O52" s="390"/>
      <c r="P52" s="390"/>
      <c r="Q52" s="410" t="str">
        <f t="shared" si="4"/>
        <v/>
      </c>
      <c r="R52" s="284" t="s">
        <v>122</v>
      </c>
      <c r="S52" s="284" t="s">
        <v>122</v>
      </c>
      <c r="T52" s="284" t="s">
        <v>122</v>
      </c>
      <c r="U52" s="480"/>
      <c r="V52" s="491"/>
      <c r="W52" s="499"/>
      <c r="X52" s="363"/>
    </row>
    <row r="53" spans="1:24" ht="12.75" customHeight="1" x14ac:dyDescent="0.2">
      <c r="A53" s="399">
        <v>9</v>
      </c>
      <c r="B53" s="499" t="s">
        <v>37</v>
      </c>
      <c r="C53" s="499" t="s">
        <v>306</v>
      </c>
      <c r="D53" s="407" t="str">
        <f>$J$53</f>
        <v>Model</v>
      </c>
      <c r="E53" s="669"/>
      <c r="F53" s="660" t="s">
        <v>337</v>
      </c>
      <c r="G53" s="662" t="s">
        <v>338</v>
      </c>
      <c r="H53" s="665" t="s">
        <v>37</v>
      </c>
      <c r="I53" s="665" t="s">
        <v>306</v>
      </c>
      <c r="J53" s="670" t="s">
        <v>22</v>
      </c>
      <c r="K53" s="502" t="s">
        <v>233</v>
      </c>
      <c r="L53" s="387">
        <f>IF(C53="Inhalation",IF(K53="Central Tendency",'Look-up Values'!$G$13/_xlfn.MAXIFS('Exposure Results'!$H$5:$H$44,'Exposure Results'!$A$5:$A$44,A53,'Exposure Results'!$D$5:$D$44,B53, 'Exposure Results'!$Q$5:$Q$44, D53),'Look-up Values'!$G$13/_xlfn.MAXIFS('Exposure Results'!$G$5:$G$44,'Exposure Results'!$A$5:$A$44,A53,'Exposure Results'!$D$5:$D$44,B53, 'Exposure Results'!$Q$5:$Q$44, D53)),11/_xlfn.MAXIFS(Dermal!$E$15:$E$24,Dermal!$A$15:$A$24, A53,Dermal!$D$15:$D$24, K53))</f>
        <v>2.6687598116169546</v>
      </c>
      <c r="M53" s="387">
        <f>IF(C53="Inhalation",IF(K53="Central Tendency",'Look-up Values'!$G$14/_xlfn.MAXIFS('Exposure Results'!$N$5:$N$44,'Exposure Results'!$A$5:$A$44,A53,'Exposure Results'!$D$5:$D$44,B53, 'Exposure Results'!$Q$5:$Q$44, D53),'Look-up Values'!$G$14/_xlfn.MAXIFS('Exposure Results'!$M$5:$M$44,'Exposure Results'!$A$5:$A$44,A53,'Exposure Results'!$D$5:$D$44,B53, 'Exposure Results'!$Q$5:$Q$44, D53)),11/(_xlfn.MAXIFS(Dermal!$E$15:$E$24,Dermal!$A$15:$A$24, A53,Dermal!$D$15:$D$24, K53)*Dermal!$P$15))</f>
        <v>3.7465281970776476</v>
      </c>
      <c r="N53" s="408">
        <f>IF(C53="Inhalation",IF(K53="Central Tendency",'Look-up Values'!$K$12*_xlfn.MAXIFS('Exposure Results'!$L$5:$L$44,'Exposure Results'!$A$5:$A$44,A53,'Exposure Results'!$D$5:$D$44,B53, 'Exposure Results'!$Q$5:$Q$44, D53),'Look-up Values'!$K$12*_xlfn.MAXIFS('Exposure Results'!$K$5:$K$44,'Exposure Results'!$A$5:$A$44,A53,'Exposure Results'!$D$5:$D$44,B53, 'Exposure Results'!$Q$5:$Q$44, D53)), _xlfn.MAXIFS(Dermal!$E$124:$E$133,Dermal!$A$124:$A$133, A53, Dermal!$D$124:$D$133, K53))</f>
        <v>9.5199999999999989E-3</v>
      </c>
      <c r="O53" s="491"/>
      <c r="P53" s="491"/>
      <c r="Q53" s="410" t="str">
        <f t="shared" si="4"/>
        <v/>
      </c>
      <c r="R53" s="284" t="s">
        <v>122</v>
      </c>
      <c r="S53" s="284" t="s">
        <v>122</v>
      </c>
      <c r="T53" s="284" t="s">
        <v>122</v>
      </c>
      <c r="U53" s="480"/>
      <c r="V53" s="491"/>
      <c r="W53" s="499"/>
      <c r="X53" s="363"/>
    </row>
    <row r="54" spans="1:24" x14ac:dyDescent="0.2">
      <c r="A54" s="399">
        <v>9</v>
      </c>
      <c r="B54" s="499" t="s">
        <v>37</v>
      </c>
      <c r="C54" s="499" t="s">
        <v>306</v>
      </c>
      <c r="D54" s="407" t="str">
        <f>$J$53</f>
        <v>Model</v>
      </c>
      <c r="E54" s="669"/>
      <c r="F54" s="669"/>
      <c r="G54" s="663"/>
      <c r="H54" s="665"/>
      <c r="I54" s="665"/>
      <c r="J54" s="670"/>
      <c r="K54" s="502" t="s">
        <v>38</v>
      </c>
      <c r="L54" s="387">
        <f>IF(C54="Inhalation",IF(K54="Central Tendency",'Look-up Values'!$G$13/_xlfn.MAXIFS('Exposure Results'!$H$5:$H$44,'Exposure Results'!$A$5:$A$44,A54,'Exposure Results'!$D$5:$D$44,B54, 'Exposure Results'!$Q$5:$Q$44, D54),'Look-up Values'!$G$13/_xlfn.MAXIFS('Exposure Results'!$G$5:$G$44,'Exposure Results'!$A$5:$A$44,A54,'Exposure Results'!$D$5:$D$44,B54, 'Exposure Results'!$Q$5:$Q$44, D54)),11/_xlfn.MAXIFS(Dermal!$E$15:$E$24,Dermal!$A$15:$A$24, A54,Dermal!$D$15:$D$24, K54))</f>
        <v>0.75454948956946288</v>
      </c>
      <c r="M54" s="387">
        <f>IF(C54="Inhalation",IF(K54="Central Tendency",'Look-up Values'!$G$14/_xlfn.MAXIFS('Exposure Results'!$N$5:$N$44,'Exposure Results'!$A$5:$A$44,A54,'Exposure Results'!$D$5:$D$44,B54, 'Exposure Results'!$Q$5:$Q$44, D54),'Look-up Values'!$G$14/_xlfn.MAXIFS('Exposure Results'!$M$5:$M$44,'Exposure Results'!$A$5:$A$44,A54,'Exposure Results'!$D$5:$D$44,B54, 'Exposure Results'!$Q$5:$Q$44, D54)),11/(_xlfn.MAXIFS(Dermal!$E$15:$E$24,Dermal!$A$15:$A$24, A54,Dermal!$D$15:$D$24, K54)*Dermal!$P$15))</f>
        <v>1.0592713988186691</v>
      </c>
      <c r="N54" s="408">
        <f>IF(C54="Inhalation",IF(K54="Central Tendency",'Look-up Values'!$K$12*_xlfn.MAXIFS('Exposure Results'!$L$5:$L$44,'Exposure Results'!$A$5:$A$44,A54,'Exposure Results'!$D$5:$D$44,B54, 'Exposure Results'!$Q$5:$Q$44, D54),'Look-up Values'!$K$12*_xlfn.MAXIFS('Exposure Results'!$K$5:$K$44,'Exposure Results'!$A$5:$A$44,A54,'Exposure Results'!$D$5:$D$44,B54, 'Exposure Results'!$Q$5:$Q$44, D54)), _xlfn.MAXIFS(Dermal!$E$124:$E$133,Dermal!$A$124:$A$133, A54, Dermal!$D$124:$D$133, K54))</f>
        <v>3.6200000000000003E-2</v>
      </c>
      <c r="O54" s="491"/>
      <c r="P54" s="491"/>
      <c r="Q54" s="410" t="str">
        <f t="shared" si="4"/>
        <v/>
      </c>
      <c r="R54" s="284" t="s">
        <v>122</v>
      </c>
      <c r="S54" s="284" t="s">
        <v>122</v>
      </c>
      <c r="T54" s="284" t="s">
        <v>122</v>
      </c>
      <c r="U54" s="480"/>
      <c r="V54" s="491"/>
      <c r="W54" s="499"/>
      <c r="X54" s="363"/>
    </row>
    <row r="55" spans="1:24" x14ac:dyDescent="0.2">
      <c r="A55" s="399" t="s">
        <v>229</v>
      </c>
      <c r="B55" s="489"/>
      <c r="C55" s="498" t="s">
        <v>17</v>
      </c>
      <c r="D55" s="426"/>
      <c r="E55" s="669"/>
      <c r="F55" s="669"/>
      <c r="G55" s="663"/>
      <c r="H55" s="665"/>
      <c r="I55" s="658" t="s">
        <v>17</v>
      </c>
      <c r="J55" s="666" t="s">
        <v>22</v>
      </c>
      <c r="K55" s="502" t="s">
        <v>233</v>
      </c>
      <c r="L55" s="387">
        <f>IF(C55="Inhalation",IF(K55="Central Tendency",'Look-up Values'!$G$13/_xlfn.MAXIFS('Exposure Results'!$H$5:$H$44,'Exposure Results'!$A$5:$A$44,A55,'Exposure Results'!$D$5:$D$44,B55, 'Exposure Results'!$Q$5:$Q$44, D55),'Look-up Values'!$G$13/_xlfn.MAXIFS('Exposure Results'!$G$5:$G$44,'Exposure Results'!$A$5:$A$44,A55,'Exposure Results'!$D$5:$D$44,B55, 'Exposure Results'!$Q$5:$Q$44, D55)),11/_xlfn.MAXIFS(Dermal!$E$15:$E$24,Dermal!$A$15:$A$24, A55,Dermal!$D$15:$D$24, K55))</f>
        <v>405.13788499608677</v>
      </c>
      <c r="M55" s="387">
        <f>IF(C55="Inhalation",IF(K55="Central Tendency",'Look-up Values'!$G$14/_xlfn.MAXIFS('Exposure Results'!$N$5:$N$44,'Exposure Results'!$A$5:$A$44,A55,'Exposure Results'!$D$5:$D$44,B55, 'Exposure Results'!$Q$5:$Q$44, D55),'Look-up Values'!$G$14/_xlfn.MAXIFS('Exposure Results'!$M$5:$M$44,'Exposure Results'!$A$5:$A$44,A55,'Exposure Results'!$D$5:$D$44,B55, 'Exposure Results'!$Q$5:$Q$44, D55)),11/(_xlfn.MAXIFS(Dermal!$E$15:$E$24,Dermal!$A$15:$A$24, A55,Dermal!$D$15:$D$24, K55)*Dermal!$P$15))</f>
        <v>568.75126162912181</v>
      </c>
      <c r="N55" s="408">
        <f>IF(C55="Inhalation",IF(K55="Central Tendency",'Look-up Values'!$K$12*_xlfn.MAXIFS('Exposure Results'!$L$5:$L$44,'Exposure Results'!$A$5:$A$44,A55,'Exposure Results'!$D$5:$D$44,B55, 'Exposure Results'!$Q$5:$Q$44, D55),'Look-up Values'!$K$12*_xlfn.MAXIFS('Exposure Results'!$K$5:$K$44,'Exposure Results'!$A$5:$A$44,A55,'Exposure Results'!$D$5:$D$44,B55, 'Exposure Results'!$Q$5:$Q$44, D55)), _xlfn.MAXIFS(Dermal!$E$124:$E$133,Dermal!$A$124:$A$133, A55, Dermal!$D$124:$D$133, K55))</f>
        <v>6.474528846153846E-5</v>
      </c>
      <c r="O55" s="491"/>
      <c r="P55" s="491"/>
      <c r="Q55" s="410" t="str">
        <f t="shared" si="4"/>
        <v/>
      </c>
      <c r="R55" s="284"/>
      <c r="S55" s="284"/>
      <c r="T55" s="284"/>
      <c r="U55" s="480"/>
      <c r="V55" s="491"/>
      <c r="W55" s="499"/>
      <c r="X55" s="363"/>
    </row>
    <row r="56" spans="1:24" ht="25.5" x14ac:dyDescent="0.2">
      <c r="A56" s="399" t="s">
        <v>229</v>
      </c>
      <c r="C56" s="499" t="s">
        <v>17</v>
      </c>
      <c r="D56" s="427"/>
      <c r="E56" s="669"/>
      <c r="F56" s="669"/>
      <c r="G56" s="663"/>
      <c r="H56" s="665"/>
      <c r="I56" s="659"/>
      <c r="J56" s="667"/>
      <c r="K56" s="502" t="s">
        <v>38</v>
      </c>
      <c r="L56" s="387">
        <f>IF(C56="Inhalation",IF(K56="Central Tendency",'Look-up Values'!$G$13/_xlfn.MAXIFS('Exposure Results'!$H$5:$H$44,'Exposure Results'!$A$5:$A$44,A56,'Exposure Results'!$D$5:$D$44,B56, 'Exposure Results'!$Q$5:$Q$44, D56),'Look-up Values'!$G$13/_xlfn.MAXIFS('Exposure Results'!$G$5:$G$44,'Exposure Results'!$A$5:$A$44,A56,'Exposure Results'!$D$5:$D$44,B56, 'Exposure Results'!$Q$5:$Q$44, D56)),11/_xlfn.MAXIFS(Dermal!$E$15:$E$24,Dermal!$A$15:$A$24, A56,Dermal!$D$15:$D$24, K56))</f>
        <v>135.04596166536226</v>
      </c>
      <c r="M56" s="387">
        <f>IF(C56="Inhalation",IF(K56="Central Tendency",'Look-up Values'!$G$14/_xlfn.MAXIFS('Exposure Results'!$N$5:$N$44,'Exposure Results'!$A$5:$A$44,A56,'Exposure Results'!$D$5:$D$44,B56, 'Exposure Results'!$Q$5:$Q$44, D56),'Look-up Values'!$G$14/_xlfn.MAXIFS('Exposure Results'!$M$5:$M$44,'Exposure Results'!$A$5:$A$44,A56,'Exposure Results'!$D$5:$D$44,B56, 'Exposure Results'!$Q$5:$Q$44, D56)),11/(_xlfn.MAXIFS(Dermal!$E$15:$E$24,Dermal!$A$15:$A$24, A56,Dermal!$D$15:$D$24, K56)*Dermal!$P$15))</f>
        <v>189.58375387637395</v>
      </c>
      <c r="N56" s="408">
        <f>IF(C56="Inhalation",IF(K56="Central Tendency",'Look-up Values'!$K$12*_xlfn.MAXIFS('Exposure Results'!$L$5:$L$44,'Exposure Results'!$A$5:$A$44,A56,'Exposure Results'!$D$5:$D$44,B56, 'Exposure Results'!$Q$5:$Q$44, D56),'Look-up Values'!$K$12*_xlfn.MAXIFS('Exposure Results'!$K$5:$K$44,'Exposure Results'!$A$5:$A$44,A56,'Exposure Results'!$D$5:$D$44,B56, 'Exposure Results'!$Q$5:$Q$44, D56)), _xlfn.MAXIFS(Dermal!$E$124:$E$133,Dermal!$A$124:$A$133, A56, Dermal!$D$124:$D$133, K56))</f>
        <v>2.5062692307692305E-4</v>
      </c>
      <c r="O56" s="491"/>
      <c r="P56" s="491"/>
      <c r="Q56" s="410">
        <f t="shared" si="4"/>
        <v>5.0125384615384611E-5</v>
      </c>
      <c r="R56" s="284"/>
      <c r="S56" s="284"/>
      <c r="T56" s="388" t="str">
        <f>IF(C56="Inhalation", TEXT(IFERROR(N56/W56, ""), "0.00E+00")&amp;CHAR(10)&amp;" (APF "&amp;W56&amp;")", TEXT(IFERROR(N56/X56, ""), "0.00E+00")&amp;CHAR(10)&amp;" (PF "&amp;X56&amp;")")</f>
        <v>5.01E-05
 (PF 5)</v>
      </c>
      <c r="U56" s="480"/>
      <c r="V56" s="491"/>
      <c r="W56" s="499"/>
      <c r="X56" s="499">
        <v>5</v>
      </c>
    </row>
    <row r="57" spans="1:24" x14ac:dyDescent="0.2">
      <c r="A57" s="399">
        <v>9</v>
      </c>
      <c r="B57" s="399" t="s">
        <v>39</v>
      </c>
      <c r="C57" s="499" t="s">
        <v>306</v>
      </c>
      <c r="D57" s="407" t="str">
        <f>$J$57</f>
        <v>Model</v>
      </c>
      <c r="E57" s="669"/>
      <c r="F57" s="669"/>
      <c r="G57" s="663"/>
      <c r="H57" s="665" t="s">
        <v>39</v>
      </c>
      <c r="I57" s="665" t="s">
        <v>306</v>
      </c>
      <c r="J57" s="670" t="s">
        <v>22</v>
      </c>
      <c r="K57" s="502" t="s">
        <v>233</v>
      </c>
      <c r="L57" s="387">
        <f>IF(C57="Inhalation",IF(K57="Central Tendency",'Look-up Values'!$G$13/_xlfn.MAXIFS('Exposure Results'!$H$5:$H$44,'Exposure Results'!$A$5:$A$44,A57,'Exposure Results'!$D$5:$D$44,B57, 'Exposure Results'!$Q$5:$Q$44, D57),'Look-up Values'!$G$13/_xlfn.MAXIFS('Exposure Results'!$G$5:$G$44,'Exposure Results'!$A$5:$A$44,A57,'Exposure Results'!$D$5:$D$44,B57, 'Exposure Results'!$Q$5:$Q$44, D57)),11/_xlfn.MAXIFS(Dermal!$E$15:$E$24,Dermal!$A$15:$A$24, A57,Dermal!$D$15:$D$24, K57))</f>
        <v>154.54545454545453</v>
      </c>
      <c r="M57" s="387">
        <f>IF(C57="Inhalation",IF(K57="Central Tendency",'Look-up Values'!$G$14/_xlfn.MAXIFS('Exposure Results'!$N$5:$N$44,'Exposure Results'!$A$5:$A$44,A57,'Exposure Results'!$D$5:$D$44,B57, 'Exposure Results'!$Q$5:$Q$44, D57),'Look-up Values'!$G$14/_xlfn.MAXIFS('Exposure Results'!$M$5:$M$44,'Exposure Results'!$A$5:$A$44,A57,'Exposure Results'!$D$5:$D$44,B57, 'Exposure Results'!$Q$5:$Q$44, D57)),11/(_xlfn.MAXIFS(Dermal!$E$15:$E$24,Dermal!$A$15:$A$24, A57,Dermal!$D$15:$D$24, K57)*Dermal!$P$15))</f>
        <v>216.95804195804195</v>
      </c>
      <c r="N57" s="408">
        <f>IF(C57="Inhalation",IF(K57="Central Tendency",'Look-up Values'!$K$12*_xlfn.MAXIFS('Exposure Results'!$L$5:$L$44,'Exposure Results'!$A$5:$A$44,A57,'Exposure Results'!$D$5:$D$44,B57, 'Exposure Results'!$Q$5:$Q$44, D57),'Look-up Values'!$K$12*_xlfn.MAXIFS('Exposure Results'!$K$5:$K$44,'Exposure Results'!$A$5:$A$44,A57,'Exposure Results'!$D$5:$D$44,B57, 'Exposure Results'!$Q$5:$Q$44, D57)), _xlfn.MAXIFS(Dermal!$E$124:$E$133,Dermal!$A$124:$A$133, A57, Dermal!$D$124:$D$133, K57))</f>
        <v>1.6000000000000001E-4</v>
      </c>
      <c r="O57" s="390"/>
      <c r="P57" s="390"/>
      <c r="Q57" s="410" t="str">
        <f t="shared" si="4"/>
        <v/>
      </c>
      <c r="R57" s="284" t="s">
        <v>122</v>
      </c>
      <c r="S57" s="284" t="s">
        <v>122</v>
      </c>
      <c r="T57" s="284" t="s">
        <v>122</v>
      </c>
      <c r="U57" s="480"/>
      <c r="V57" s="491"/>
      <c r="W57" s="499"/>
      <c r="X57" s="363"/>
    </row>
    <row r="58" spans="1:24" x14ac:dyDescent="0.2">
      <c r="A58" s="399">
        <v>9</v>
      </c>
      <c r="B58" s="399" t="s">
        <v>39</v>
      </c>
      <c r="C58" s="499" t="s">
        <v>306</v>
      </c>
      <c r="D58" s="407" t="str">
        <f>$J$57</f>
        <v>Model</v>
      </c>
      <c r="E58" s="661"/>
      <c r="F58" s="661"/>
      <c r="G58" s="671"/>
      <c r="H58" s="665"/>
      <c r="I58" s="665"/>
      <c r="J58" s="670"/>
      <c r="K58" s="502" t="s">
        <v>38</v>
      </c>
      <c r="L58" s="387">
        <f>IF(C58="Inhalation",IF(K58="Central Tendency",'Look-up Values'!$G$13/_xlfn.MAXIFS('Exposure Results'!$H$5:$H$44,'Exposure Results'!$A$5:$A$44,A58,'Exposure Results'!$D$5:$D$44,B58, 'Exposure Results'!$Q$5:$Q$44, D58),'Look-up Values'!$G$13/_xlfn.MAXIFS('Exposure Results'!$G$5:$G$44,'Exposure Results'!$A$5:$A$44,A58,'Exposure Results'!$D$5:$D$44,B58, 'Exposure Results'!$Q$5:$Q$44, D58)),11/_xlfn.MAXIFS(Dermal!$E$15:$E$24,Dermal!$A$15:$A$24, A58,Dermal!$D$15:$D$24, K58))</f>
        <v>18.279569892473116</v>
      </c>
      <c r="M58" s="387">
        <f>IF(C58="Inhalation",IF(K58="Central Tendency",'Look-up Values'!$G$14/_xlfn.MAXIFS('Exposure Results'!$N$5:$N$44,'Exposure Results'!$A$5:$A$44,A58,'Exposure Results'!$D$5:$D$44,B58, 'Exposure Results'!$Q$5:$Q$44, D58),'Look-up Values'!$G$14/_xlfn.MAXIFS('Exposure Results'!$M$5:$M$44,'Exposure Results'!$A$5:$A$44,A58,'Exposure Results'!$D$5:$D$44,B58, 'Exposure Results'!$Q$5:$Q$44, D58)),11/(_xlfn.MAXIFS(Dermal!$E$15:$E$24,Dermal!$A$15:$A$24, A58,Dermal!$D$15:$D$24, K58)*Dermal!$P$15))</f>
        <v>25.661703887510338</v>
      </c>
      <c r="N58" s="408">
        <f>IF(C58="Inhalation",IF(K58="Central Tendency",'Look-up Values'!$K$12*_xlfn.MAXIFS('Exposure Results'!$L$5:$L$44,'Exposure Results'!$A$5:$A$44,A58,'Exposure Results'!$D$5:$D$44,B58, 'Exposure Results'!$Q$5:$Q$44, D58),'Look-up Values'!$K$12*_xlfn.MAXIFS('Exposure Results'!$K$5:$K$44,'Exposure Results'!$A$5:$A$44,A58,'Exposure Results'!$D$5:$D$44,B58, 'Exposure Results'!$Q$5:$Q$44, D58)), _xlfn.MAXIFS(Dermal!$E$124:$E$133,Dermal!$A$124:$A$133, A58, Dermal!$D$124:$D$133, K58))</f>
        <v>1.4399999999999999E-3</v>
      </c>
      <c r="O58" s="390"/>
      <c r="P58" s="390"/>
      <c r="Q58" s="410" t="str">
        <f t="shared" si="4"/>
        <v/>
      </c>
      <c r="R58" s="284" t="s">
        <v>122</v>
      </c>
      <c r="S58" s="284" t="s">
        <v>122</v>
      </c>
      <c r="T58" s="284" t="s">
        <v>122</v>
      </c>
      <c r="U58" s="480"/>
      <c r="V58" s="491"/>
      <c r="W58" s="499"/>
      <c r="X58" s="363"/>
    </row>
    <row r="59" spans="1:24" ht="25.5" x14ac:dyDescent="0.2">
      <c r="A59" s="399">
        <v>10</v>
      </c>
      <c r="B59" s="400" t="s">
        <v>82</v>
      </c>
      <c r="C59" s="496" t="s">
        <v>306</v>
      </c>
      <c r="D59" s="424" t="str">
        <f>$J$59</f>
        <v>Monitoring Data (Post-EC)</v>
      </c>
      <c r="E59" s="660" t="s">
        <v>339</v>
      </c>
      <c r="F59" s="660" t="s">
        <v>340</v>
      </c>
      <c r="G59" s="660" t="s">
        <v>341</v>
      </c>
      <c r="H59" s="658" t="s">
        <v>82</v>
      </c>
      <c r="I59" s="658" t="s">
        <v>306</v>
      </c>
      <c r="J59" s="666" t="s">
        <v>269</v>
      </c>
      <c r="K59" s="502" t="s">
        <v>233</v>
      </c>
      <c r="L59" s="387">
        <f>IF(C59="Inhalation",IF(K59="Central Tendency",'Look-up Values'!$G$13/_xlfn.MAXIFS('Exposure Results'!$H$5:$H$44,'Exposure Results'!$A$5:$A$44,A59,'Exposure Results'!$D$5:$D$44,B59, 'Exposure Results'!$Q$5:$Q$44, D59),'Look-up Values'!$G$13/_xlfn.MAXIFS('Exposure Results'!$G$5:$G$44,'Exposure Results'!$A$5:$A$44,A59,'Exposure Results'!$D$5:$D$44,B59, 'Exposure Results'!$Q$5:$Q$44, D59)),11/_xlfn.MAXIFS(Dermal!$E$15:$E$24,Dermal!$A$15:$A$24, A59,Dermal!$D$15:$D$24, K59))</f>
        <v>0.95451993262212242</v>
      </c>
      <c r="M59" s="387">
        <f>IF(C59="Inhalation",IF(K59="Central Tendency",'Look-up Values'!$G$14/_xlfn.MAXIFS('Exposure Results'!$N$5:$N$44,'Exposure Results'!$A$5:$A$44,A59,'Exposure Results'!$D$5:$D$44,B59, 'Exposure Results'!$Q$5:$Q$44, D59),'Look-up Values'!$G$14/_xlfn.MAXIFS('Exposure Results'!$M$5:$M$44,'Exposure Results'!$A$5:$A$44,A59,'Exposure Results'!$D$5:$D$44,B59, 'Exposure Results'!$Q$5:$Q$44, D59)),11/(_xlfn.MAXIFS(Dermal!$E$15:$E$24,Dermal!$A$15:$A$24, A59,Dermal!$D$15:$D$24, K59)*Dermal!$P$15))</f>
        <v>1.3399991361810566</v>
      </c>
      <c r="N59" s="408">
        <f>IF(C59="Inhalation",IF(K59="Central Tendency",'Look-up Values'!$K$12*_xlfn.MAXIFS('Exposure Results'!$L$5:$L$44,'Exposure Results'!$A$5:$A$44,A59,'Exposure Results'!$D$5:$D$44,B59, 'Exposure Results'!$Q$5:$Q$44, D59),'Look-up Values'!$K$12*_xlfn.MAXIFS('Exposure Results'!$K$5:$K$44,'Exposure Results'!$A$5:$A$44,A59,'Exposure Results'!$D$5:$D$44,B59, 'Exposure Results'!$Q$5:$Q$44, D59)), _xlfn.MAXIFS(Dermal!$E$124:$E$133,Dermal!$A$124:$A$133, A59, Dermal!$D$124:$D$133, K59))</f>
        <v>2.8313333333333329E-2</v>
      </c>
      <c r="O59" s="387">
        <f>IFERROR(IF(C59="Inhalation", L59*U59, L59*X59), "")</f>
        <v>47.725996631106121</v>
      </c>
      <c r="P59" s="491">
        <f>IFERROR(IF(C59="Inhalation", M59*V59, M59*X59), "")</f>
        <v>66.999956809052833</v>
      </c>
      <c r="Q59" s="410">
        <f t="shared" si="4"/>
        <v>5.6626666666666659E-4</v>
      </c>
      <c r="R59" s="388" t="str">
        <f>ROUND(IFERROR(IF(C59="Inhalation", L59*U59, L59*X59), ""), 0)&amp;CHAR(10)&amp;" (APF "&amp;U59&amp;")"</f>
        <v>48
 (APF 50)</v>
      </c>
      <c r="S59" s="387" t="str">
        <f>ROUND(IFERROR(IF(C59="Inhalation", M59*V59, M59*X59), ""), 0)&amp;CHAR(10)&amp;" (APF "&amp;V59&amp;")"</f>
        <v>67
 (APF 50)</v>
      </c>
      <c r="T59" s="388" t="str">
        <f>IF(C59="Inhalation", TEXT(IFERROR(N59/W59, ""), "0.00E+00")&amp;CHAR(10)&amp;" (APF "&amp;W59&amp;")", TEXT(IFERROR(N59/X59, ""), "0.00E+00")&amp;CHAR(10)&amp;" (PF "&amp;X59&amp;")")</f>
        <v>5.66E-04
 (APF 50)</v>
      </c>
      <c r="U59" s="480">
        <v>50</v>
      </c>
      <c r="V59" s="491">
        <v>50</v>
      </c>
      <c r="W59" s="499">
        <v>50</v>
      </c>
      <c r="X59" s="363"/>
    </row>
    <row r="60" spans="1:24" ht="25.5" x14ac:dyDescent="0.2">
      <c r="A60" s="399">
        <v>10</v>
      </c>
      <c r="B60" s="400" t="s">
        <v>82</v>
      </c>
      <c r="C60" s="499" t="s">
        <v>306</v>
      </c>
      <c r="D60" s="424" t="str">
        <f>$J$59</f>
        <v>Monitoring Data (Post-EC)</v>
      </c>
      <c r="E60" s="669"/>
      <c r="F60" s="669"/>
      <c r="G60" s="669"/>
      <c r="H60" s="664"/>
      <c r="I60" s="659"/>
      <c r="J60" s="668"/>
      <c r="K60" s="502" t="s">
        <v>38</v>
      </c>
      <c r="L60" s="428">
        <f>IF(C60="Inhalation",IF(K60="Central Tendency",'Look-up Values'!$G$13/_xlfn.MAXIFS('Exposure Results'!$H$5:$H$44,'Exposure Results'!$A$5:$A$44,A60,'Exposure Results'!$D$5:$D$44,B60, 'Exposure Results'!$Q$5:$Q$44, D60),'Look-up Values'!$G$13/_xlfn.MAXIFS('Exposure Results'!$G$5:$G$44,'Exposure Results'!$A$5:$A$44,A60,'Exposure Results'!$D$5:$D$44,B60, 'Exposure Results'!$Q$5:$Q$44, D60)),11/_xlfn.MAXIFS(Dermal!$E$15:$E$24,Dermal!$A$15:$A$24, A60,Dermal!$D$15:$D$24, K60))</f>
        <v>0.40572792362768545</v>
      </c>
      <c r="M60" s="387">
        <f>IF(C60="Inhalation",IF(K60="Central Tendency",'Look-up Values'!$G$14/_xlfn.MAXIFS('Exposure Results'!$N$5:$N$44,'Exposure Results'!$A$5:$A$44,A60,'Exposure Results'!$D$5:$D$44,B60, 'Exposure Results'!$Q$5:$Q$44, D60),'Look-up Values'!$G$14/_xlfn.MAXIFS('Exposure Results'!$M$5:$M$44,'Exposure Results'!$A$5:$A$44,A60,'Exposure Results'!$D$5:$D$44,B60, 'Exposure Results'!$Q$5:$Q$44, D60)),11/(_xlfn.MAXIFS(Dermal!$E$15:$E$24,Dermal!$A$15:$A$24, A60,Dermal!$D$15:$D$24, K60)*Dermal!$P$15))</f>
        <v>0.56957958509271223</v>
      </c>
      <c r="N60" s="408">
        <f>IF(C60="Inhalation",IF(K60="Central Tendency",'Look-up Values'!$K$12*_xlfn.MAXIFS('Exposure Results'!$L$5:$L$44,'Exposure Results'!$A$5:$A$44,A60,'Exposure Results'!$D$5:$D$44,B60, 'Exposure Results'!$Q$5:$Q$44, D60),'Look-up Values'!$K$12*_xlfn.MAXIFS('Exposure Results'!$K$5:$K$44,'Exposure Results'!$A$5:$A$44,A60,'Exposure Results'!$D$5:$D$44,B60, 'Exposure Results'!$Q$5:$Q$44, D60)), _xlfn.MAXIFS(Dermal!$E$124:$E$133,Dermal!$A$124:$A$133, A60, Dermal!$D$124:$D$133, K60))</f>
        <v>8.5948717948717848E-2</v>
      </c>
      <c r="O60" s="387">
        <f>IFERROR(IF(C60="Inhalation", L60*U60, L60*X60), "")</f>
        <v>20.286396181384273</v>
      </c>
      <c r="P60" s="491">
        <f>IFERROR(IF(C60="Inhalation", M60*V60, M60*X60), "")</f>
        <v>28.478979254635611</v>
      </c>
      <c r="Q60" s="410">
        <f t="shared" si="4"/>
        <v>1.718974358974357E-3</v>
      </c>
      <c r="R60" s="388" t="str">
        <f>ROUND(IFERROR(IF(C60="Inhalation", L60*U60, L60*X60), ""), 0)&amp;CHAR(10)&amp;" (APF "&amp;U60&amp;")"</f>
        <v>20
 (APF 50)</v>
      </c>
      <c r="S60" s="387" t="str">
        <f>ROUND(IFERROR(IF(C60="Inhalation", M60*V60, M60*X60), ""), 0)&amp;CHAR(10)&amp;" (APF "&amp;V60&amp;")"</f>
        <v>28
 (APF 50)</v>
      </c>
      <c r="T60" s="388" t="str">
        <f>IF(C60="Inhalation", TEXT(IFERROR(N60/W60, ""), "0.00E+00")&amp;CHAR(10)&amp;" (APF "&amp;W60&amp;")", TEXT(IFERROR(N60/X60, ""), "0.00E+00")&amp;CHAR(10)&amp;" (PF "&amp;X60&amp;")")</f>
        <v>1.72E-03
 (APF 50)</v>
      </c>
      <c r="U60" s="480">
        <v>50</v>
      </c>
      <c r="V60" s="491">
        <v>50</v>
      </c>
      <c r="W60" s="499">
        <v>50</v>
      </c>
      <c r="X60" s="363"/>
    </row>
    <row r="61" spans="1:24" x14ac:dyDescent="0.2">
      <c r="A61" s="399" t="s">
        <v>223</v>
      </c>
      <c r="B61" s="401"/>
      <c r="C61" s="498" t="s">
        <v>17</v>
      </c>
      <c r="D61" s="497"/>
      <c r="E61" s="669"/>
      <c r="F61" s="669"/>
      <c r="G61" s="669"/>
      <c r="H61" s="664"/>
      <c r="I61" s="658" t="s">
        <v>17</v>
      </c>
      <c r="J61" s="666" t="s">
        <v>22</v>
      </c>
      <c r="K61" s="502" t="s">
        <v>233</v>
      </c>
      <c r="L61" s="387">
        <f>IF(C61="Inhalation",IF(K61="Central Tendency",'Look-up Values'!$G$13/_xlfn.MAXIFS('Exposure Results'!$H$5:$H$44,'Exposure Results'!$A$5:$A$44,A61,'Exposure Results'!$D$5:$D$44,B61, 'Exposure Results'!$Q$5:$Q$44, D61),'Look-up Values'!$G$13/_xlfn.MAXIFS('Exposure Results'!$G$5:$G$44,'Exposure Results'!$A$5:$A$44,A61,'Exposure Results'!$D$5:$D$44,B61, 'Exposure Results'!$Q$5:$Q$44, D61)),11/_xlfn.MAXIFS(Dermal!$E$15:$E$24,Dermal!$A$15:$A$24, A61,Dermal!$D$15:$D$24, K61))</f>
        <v>506.4223562451084</v>
      </c>
      <c r="M61" s="387">
        <f>IF(C61="Inhalation",IF(K61="Central Tendency",'Look-up Values'!$G$14/_xlfn.MAXIFS('Exposure Results'!$N$5:$N$44,'Exposure Results'!$A$5:$A$44,A61,'Exposure Results'!$D$5:$D$44,B61, 'Exposure Results'!$Q$5:$Q$44, D61),'Look-up Values'!$G$14/_xlfn.MAXIFS('Exposure Results'!$M$5:$M$44,'Exposure Results'!$A$5:$A$44,A61,'Exposure Results'!$D$5:$D$44,B61, 'Exposure Results'!$Q$5:$Q$44, D61)),11/(_xlfn.MAXIFS(Dermal!$E$15:$E$24,Dermal!$A$15:$A$24, A61,Dermal!$D$15:$D$24, K61)*Dermal!$P$15))</f>
        <v>710.93907703640218</v>
      </c>
      <c r="N61" s="408">
        <f>IF(C61="Inhalation",IF(K61="Central Tendency",'Look-up Values'!$K$12*_xlfn.MAXIFS('Exposure Results'!$L$5:$L$44,'Exposure Results'!$A$5:$A$44,A61,'Exposure Results'!$D$5:$D$44,B61, 'Exposure Results'!$Q$5:$Q$44, D61),'Look-up Values'!$K$12*_xlfn.MAXIFS('Exposure Results'!$K$5:$K$44,'Exposure Results'!$A$5:$A$44,A61,'Exposure Results'!$D$5:$D$44,B61, 'Exposure Results'!$Q$5:$Q$44, D61)), _xlfn.MAXIFS(Dermal!$E$124:$E$133,Dermal!$A$124:$A$133, A61, Dermal!$D$124:$D$133, K61))</f>
        <v>5.1796230769230775E-5</v>
      </c>
      <c r="O61" s="491"/>
      <c r="P61" s="491"/>
      <c r="Q61" s="410" t="str">
        <f t="shared" si="4"/>
        <v/>
      </c>
      <c r="R61" s="284"/>
      <c r="S61" s="284"/>
      <c r="T61" s="284"/>
      <c r="U61" s="480"/>
      <c r="V61" s="491"/>
      <c r="W61" s="499"/>
      <c r="X61" s="363"/>
    </row>
    <row r="62" spans="1:24" ht="25.5" x14ac:dyDescent="0.2">
      <c r="A62" s="399" t="s">
        <v>223</v>
      </c>
      <c r="B62" s="402"/>
      <c r="C62" s="498" t="s">
        <v>17</v>
      </c>
      <c r="D62" s="501"/>
      <c r="E62" s="669"/>
      <c r="F62" s="669"/>
      <c r="G62" s="669"/>
      <c r="H62" s="659"/>
      <c r="I62" s="659"/>
      <c r="J62" s="667"/>
      <c r="K62" s="502" t="s">
        <v>38</v>
      </c>
      <c r="L62" s="387">
        <f>IF(C62="Inhalation",IF(K62="Central Tendency",'Look-up Values'!$G$13/_xlfn.MAXIFS('Exposure Results'!$H$5:$H$44,'Exposure Results'!$A$5:$A$44,A62,'Exposure Results'!$D$5:$D$44,B62, 'Exposure Results'!$Q$5:$Q$44, D62),'Look-up Values'!$G$13/_xlfn.MAXIFS('Exposure Results'!$G$5:$G$44,'Exposure Results'!$A$5:$A$44,A62,'Exposure Results'!$D$5:$D$44,B62, 'Exposure Results'!$Q$5:$Q$44, D62)),11/_xlfn.MAXIFS(Dermal!$E$15:$E$24,Dermal!$A$15:$A$24, A62,Dermal!$D$15:$D$24, K62))</f>
        <v>168.80745208170282</v>
      </c>
      <c r="M62" s="387">
        <f>IF(C62="Inhalation",IF(K62="Central Tendency",'Look-up Values'!$G$14/_xlfn.MAXIFS('Exposure Results'!$N$5:$N$44,'Exposure Results'!$A$5:$A$44,A62,'Exposure Results'!$D$5:$D$44,B62, 'Exposure Results'!$Q$5:$Q$44, D62),'Look-up Values'!$G$14/_xlfn.MAXIFS('Exposure Results'!$M$5:$M$44,'Exposure Results'!$A$5:$A$44,A62,'Exposure Results'!$D$5:$D$44,B62, 'Exposure Results'!$Q$5:$Q$44, D62)),11/(_xlfn.MAXIFS(Dermal!$E$15:$E$24,Dermal!$A$15:$A$24, A62,Dermal!$D$15:$D$24, K62)*Dermal!$P$15))</f>
        <v>236.97969234546741</v>
      </c>
      <c r="N62" s="408">
        <f>IF(C62="Inhalation",IF(K62="Central Tendency",'Look-up Values'!$K$12*_xlfn.MAXIFS('Exposure Results'!$L$5:$L$44,'Exposure Results'!$A$5:$A$44,A62,'Exposure Results'!$D$5:$D$44,B62, 'Exposure Results'!$Q$5:$Q$44, D62),'Look-up Values'!$K$12*_xlfn.MAXIFS('Exposure Results'!$K$5:$K$44,'Exposure Results'!$A$5:$A$44,A62,'Exposure Results'!$D$5:$D$44,B62, 'Exposure Results'!$Q$5:$Q$44, D62)), _xlfn.MAXIFS(Dermal!$E$124:$E$133,Dermal!$A$124:$A$133, A62, Dermal!$D$124:$D$133, K62))</f>
        <v>2.0050153846153847E-4</v>
      </c>
      <c r="O62" s="491"/>
      <c r="P62" s="491"/>
      <c r="Q62" s="410">
        <f t="shared" si="4"/>
        <v>4.0100307692307694E-5</v>
      </c>
      <c r="R62" s="284"/>
      <c r="S62" s="284"/>
      <c r="T62" s="388" t="str">
        <f>IF(C62="Inhalation", TEXT(IFERROR(N62/W62, ""), "0.00E+00")&amp;CHAR(10)&amp;" (APF "&amp;W62&amp;")", TEXT(IFERROR(N62/X62, ""), "0.00E+00")&amp;CHAR(10)&amp;" (PF "&amp;X62&amp;")")</f>
        <v>4.01E-05
 (PF 5)</v>
      </c>
      <c r="U62" s="480"/>
      <c r="V62" s="491"/>
      <c r="W62" s="499"/>
      <c r="X62" s="499">
        <v>5</v>
      </c>
    </row>
    <row r="63" spans="1:24" ht="25.5" x14ac:dyDescent="0.2">
      <c r="A63" s="399">
        <v>10</v>
      </c>
      <c r="B63" s="400" t="s">
        <v>84</v>
      </c>
      <c r="C63" s="496" t="s">
        <v>306</v>
      </c>
      <c r="D63" s="424" t="str">
        <f>$J$63</f>
        <v>Monitoring Data (Post-EC)</v>
      </c>
      <c r="E63" s="669"/>
      <c r="F63" s="669"/>
      <c r="G63" s="669"/>
      <c r="H63" s="658" t="s">
        <v>84</v>
      </c>
      <c r="I63" s="658" t="s">
        <v>306</v>
      </c>
      <c r="J63" s="666" t="s">
        <v>269</v>
      </c>
      <c r="K63" s="502" t="s">
        <v>233</v>
      </c>
      <c r="L63" s="428">
        <f>IF(C63="Inhalation",IF(K63="Central Tendency",'Look-up Values'!$G$13/_xlfn.MAXIFS('Exposure Results'!$H$5:$H$44,'Exposure Results'!$A$5:$A$44,A63,'Exposure Results'!$D$5:$D$44,B63, 'Exposure Results'!$Q$5:$Q$44, D63),'Look-up Values'!$G$13/_xlfn.MAXIFS('Exposure Results'!$G$5:$G$44,'Exposure Results'!$A$5:$A$44,A63,'Exposure Results'!$D$5:$D$44,B63, 'Exposure Results'!$Q$5:$Q$44, D63)),11/_xlfn.MAXIFS(Dermal!$E$15:$E$24,Dermal!$A$15:$A$24, A63,Dermal!$D$15:$D$24, K63))</f>
        <v>0.94444444444444442</v>
      </c>
      <c r="M63" s="387">
        <f>IF(C63="Inhalation",IF(K63="Central Tendency",'Look-up Values'!$G$14/_xlfn.MAXIFS('Exposure Results'!$N$5:$N$44,'Exposure Results'!$A$5:$A$44,A63,'Exposure Results'!$D$5:$D$44,B63, 'Exposure Results'!$Q$5:$Q$44, D63),'Look-up Values'!$G$14/_xlfn.MAXIFS('Exposure Results'!$M$5:$M$44,'Exposure Results'!$A$5:$A$44,A63,'Exposure Results'!$D$5:$D$44,B63, 'Exposure Results'!$Q$5:$Q$44, D63)),11/(_xlfn.MAXIFS(Dermal!$E$15:$E$24,Dermal!$A$15:$A$24, A63,Dermal!$D$15:$D$24, K63)*Dermal!$P$15))</f>
        <v>1.3258547008547008</v>
      </c>
      <c r="N63" s="408">
        <f>IF(C63="Inhalation",IF(K63="Central Tendency",'Look-up Values'!$K$12*_xlfn.MAXIFS('Exposure Results'!$L$5:$L$44,'Exposure Results'!$A$5:$A$44,A63,'Exposure Results'!$D$5:$D$44,B63, 'Exposure Results'!$Q$5:$Q$44, D63),'Look-up Values'!$K$12*_xlfn.MAXIFS('Exposure Results'!$K$5:$K$44,'Exposure Results'!$A$5:$A$44,A63,'Exposure Results'!$D$5:$D$44,B63, 'Exposure Results'!$Q$5:$Q$44, D63)), _xlfn.MAXIFS(Dermal!$E$124:$E$133,Dermal!$A$124:$A$133, A63, Dermal!$D$124:$D$133, K63))</f>
        <v>2.8615384615384619E-2</v>
      </c>
      <c r="O63" s="387">
        <f>IFERROR(IF(C63="Inhalation", L63*U63, L63*X63), "")</f>
        <v>47.222222222222221</v>
      </c>
      <c r="P63" s="491">
        <f>IFERROR(IF(C63="Inhalation", M63*V63, M63*X63), "")</f>
        <v>66.292735042735046</v>
      </c>
      <c r="Q63" s="410">
        <f t="shared" si="4"/>
        <v>5.7230769230769238E-4</v>
      </c>
      <c r="R63" s="388" t="str">
        <f>ROUND(IFERROR(IF(C63="Inhalation", L63*U63, L63*X63), ""), 0)&amp;CHAR(10)&amp;" (APF "&amp;U63&amp;")"</f>
        <v>47
 (APF 50)</v>
      </c>
      <c r="S63" s="387" t="str">
        <f>ROUND(IFERROR(IF(C63="Inhalation", M63*V63, M63*X63), ""), 0)&amp;CHAR(10)&amp;" (APF "&amp;V63&amp;")"</f>
        <v>66
 (APF 50)</v>
      </c>
      <c r="T63" s="388" t="str">
        <f t="shared" ref="T63:T64" si="6">IF(C63="Inhalation", TEXT(IFERROR(N63/W63, ""), "0.00E+00")&amp;CHAR(10)&amp;" (APF "&amp;W63&amp;")", TEXT(IFERROR(N63/X63, ""), "0.00E+00")&amp;CHAR(10)&amp;" (PF "&amp;X63&amp;")")</f>
        <v>5.72E-04
 (APF 50)</v>
      </c>
      <c r="U63" s="480">
        <v>50</v>
      </c>
      <c r="V63" s="491">
        <v>50</v>
      </c>
      <c r="W63" s="499">
        <v>50</v>
      </c>
      <c r="X63" s="363"/>
    </row>
    <row r="64" spans="1:24" ht="25.5" x14ac:dyDescent="0.2">
      <c r="A64" s="399">
        <v>10</v>
      </c>
      <c r="B64" s="400" t="s">
        <v>84</v>
      </c>
      <c r="C64" s="499" t="s">
        <v>306</v>
      </c>
      <c r="D64" s="424" t="str">
        <f>$J$63</f>
        <v>Monitoring Data (Post-EC)</v>
      </c>
      <c r="E64" s="669"/>
      <c r="F64" s="669"/>
      <c r="G64" s="669"/>
      <c r="H64" s="659"/>
      <c r="I64" s="659"/>
      <c r="J64" s="668"/>
      <c r="K64" s="502" t="s">
        <v>38</v>
      </c>
      <c r="L64" s="428">
        <f>IF(C64="Inhalation",IF(K64="Central Tendency",'Look-up Values'!$G$13/_xlfn.MAXIFS('Exposure Results'!$H$5:$H$44,'Exposure Results'!$A$5:$A$44,A64,'Exposure Results'!$D$5:$D$44,B64, 'Exposure Results'!$Q$5:$Q$44, D64),'Look-up Values'!$G$13/_xlfn.MAXIFS('Exposure Results'!$G$5:$G$44,'Exposure Results'!$A$5:$A$44,A64,'Exposure Results'!$D$5:$D$44,B64, 'Exposure Results'!$Q$5:$Q$44, D64)),11/_xlfn.MAXIFS(Dermal!$E$15:$E$24,Dermal!$A$15:$A$24, A64,Dermal!$D$15:$D$24, K64))</f>
        <v>0.58945908460471574</v>
      </c>
      <c r="M64" s="387">
        <f>IF(C64="Inhalation",IF(K64="Central Tendency",'Look-up Values'!$G$14/_xlfn.MAXIFS('Exposure Results'!$N$5:$N$44,'Exposure Results'!$A$5:$A$44,A64,'Exposure Results'!$D$5:$D$44,B64, 'Exposure Results'!$Q$5:$Q$44, D64),'Look-up Values'!$G$14/_xlfn.MAXIFS('Exposure Results'!$M$5:$M$44,'Exposure Results'!$A$5:$A$44,A64,'Exposure Results'!$D$5:$D$44,B64, 'Exposure Results'!$Q$5:$Q$44, D64)),11/(_xlfn.MAXIFS(Dermal!$E$15:$E$24,Dermal!$A$15:$A$24, A64,Dermal!$D$15:$D$24, K64)*Dermal!$P$15))</f>
        <v>0.82750986877200494</v>
      </c>
      <c r="N64" s="408">
        <f>IF(C64="Inhalation",IF(K64="Central Tendency",'Look-up Values'!$K$12*_xlfn.MAXIFS('Exposure Results'!$L$5:$L$44,'Exposure Results'!$A$5:$A$44,A64,'Exposure Results'!$D$5:$D$44,B64, 'Exposure Results'!$Q$5:$Q$44, D64),'Look-up Values'!$K$12*_xlfn.MAXIFS('Exposure Results'!$K$5:$K$44,'Exposure Results'!$A$5:$A$44,A64,'Exposure Results'!$D$5:$D$44,B64, 'Exposure Results'!$Q$5:$Q$44, D64)), _xlfn.MAXIFS(Dermal!$E$124:$E$133,Dermal!$A$124:$A$133, A64, Dermal!$D$124:$D$133, K64))</f>
        <v>5.9158974358974346E-2</v>
      </c>
      <c r="O64" s="387">
        <f>IFERROR(IF(C64="Inhalation", L64*U64, L64*X64), "")</f>
        <v>29.472954230235786</v>
      </c>
      <c r="P64" s="491">
        <f>IFERROR(IF(C64="Inhalation", M64*V64, M64*X64), "")</f>
        <v>41.375493438600245</v>
      </c>
      <c r="Q64" s="410">
        <f t="shared" si="4"/>
        <v>1.183179487179487E-3</v>
      </c>
      <c r="R64" s="388" t="str">
        <f>ROUND(IFERROR(IF(C64="Inhalation", L64*U64, L64*X64), ""), 0)&amp;CHAR(10)&amp;" (APF "&amp;U64&amp;")"</f>
        <v>29
 (APF 50)</v>
      </c>
      <c r="S64" s="387" t="str">
        <f>ROUND(IFERROR(IF(C64="Inhalation", M64*V64, M64*X64), ""), 0)&amp;CHAR(10)&amp;" (APF "&amp;V64&amp;")"</f>
        <v>41
 (APF 50)</v>
      </c>
      <c r="T64" s="388" t="str">
        <f t="shared" si="6"/>
        <v>1.18E-03
 (APF 50)</v>
      </c>
      <c r="U64" s="480">
        <v>50</v>
      </c>
      <c r="V64" s="491">
        <v>50</v>
      </c>
      <c r="W64" s="499">
        <v>50</v>
      </c>
      <c r="X64" s="363"/>
    </row>
    <row r="65" spans="1:24" ht="12.75" customHeight="1" x14ac:dyDescent="0.2">
      <c r="A65" s="399">
        <v>10</v>
      </c>
      <c r="B65" s="399" t="s">
        <v>39</v>
      </c>
      <c r="C65" s="496" t="s">
        <v>306</v>
      </c>
      <c r="D65" s="425" t="str">
        <f>$J$65</f>
        <v>Monitoring Data (Post-EC)</v>
      </c>
      <c r="E65" s="669"/>
      <c r="F65" s="669"/>
      <c r="G65" s="669"/>
      <c r="H65" s="658" t="s">
        <v>39</v>
      </c>
      <c r="I65" s="658" t="s">
        <v>306</v>
      </c>
      <c r="J65" s="666" t="s">
        <v>269</v>
      </c>
      <c r="K65" s="502" t="s">
        <v>233</v>
      </c>
      <c r="L65" s="387">
        <f>IF(C65="Inhalation",IF(K65="Central Tendency",'Look-up Values'!$G$13/_xlfn.MAXIFS('Exposure Results'!$H$5:$H$44,'Exposure Results'!$A$5:$A$44,A65,'Exposure Results'!$D$5:$D$44,B65, 'Exposure Results'!$Q$5:$Q$44, D65),'Look-up Values'!$G$13/_xlfn.MAXIFS('Exposure Results'!$G$5:$G$44,'Exposure Results'!$A$5:$A$44,A65,'Exposure Results'!$D$5:$D$44,B65, 'Exposure Results'!$Q$5:$Q$44, D65)),11/_xlfn.MAXIFS(Dermal!$E$15:$E$24,Dermal!$A$15:$A$24, A65,Dermal!$D$15:$D$24, K65))</f>
        <v>8.5</v>
      </c>
      <c r="M65" s="387">
        <f>IF(C65="Inhalation",IF(K65="Central Tendency",'Look-up Values'!$G$14/_xlfn.MAXIFS('Exposure Results'!$N$5:$N$44,'Exposure Results'!$A$5:$A$44,A65,'Exposure Results'!$D$5:$D$44,B65, 'Exposure Results'!$Q$5:$Q$44, D65),'Look-up Values'!$G$14/_xlfn.MAXIFS('Exposure Results'!$M$5:$M$44,'Exposure Results'!$A$5:$A$44,A65,'Exposure Results'!$D$5:$D$44,B65, 'Exposure Results'!$Q$5:$Q$44, D65)),11/(_xlfn.MAXIFS(Dermal!$E$15:$E$24,Dermal!$A$15:$A$24, A65,Dermal!$D$15:$D$24, K65)*Dermal!$P$15))</f>
        <v>11.932692307692308</v>
      </c>
      <c r="N65" s="408">
        <f>IF(C65="Inhalation",IF(K65="Central Tendency",'Look-up Values'!$K$12*_xlfn.MAXIFS('Exposure Results'!$L$5:$L$44,'Exposure Results'!$A$5:$A$44,A65,'Exposure Results'!$D$5:$D$44,B65, 'Exposure Results'!$Q$5:$Q$44, D65),'Look-up Values'!$K$12*_xlfn.MAXIFS('Exposure Results'!$K$5:$K$44,'Exposure Results'!$A$5:$A$44,A65,'Exposure Results'!$D$5:$D$44,B65, 'Exposure Results'!$Q$5:$Q$44, D65)), _xlfn.MAXIFS(Dermal!$E$124:$E$133,Dermal!$A$124:$A$133, A65, Dermal!$D$124:$D$133, K65))</f>
        <v>3.1794871794871794E-3</v>
      </c>
      <c r="O65" s="390"/>
      <c r="P65" s="390"/>
      <c r="Q65" s="410" t="str">
        <f t="shared" si="4"/>
        <v/>
      </c>
      <c r="R65" s="284" t="s">
        <v>122</v>
      </c>
      <c r="S65" s="284" t="s">
        <v>122</v>
      </c>
      <c r="T65" s="284" t="s">
        <v>122</v>
      </c>
      <c r="U65" s="480"/>
      <c r="V65" s="491"/>
      <c r="W65" s="499"/>
      <c r="X65" s="363"/>
    </row>
    <row r="66" spans="1:24" ht="16.5" customHeight="1" x14ac:dyDescent="0.2">
      <c r="A66" s="399">
        <v>10</v>
      </c>
      <c r="B66" s="399" t="s">
        <v>39</v>
      </c>
      <c r="C66" s="499" t="s">
        <v>306</v>
      </c>
      <c r="D66" s="425" t="str">
        <f>$J$65</f>
        <v>Monitoring Data (Post-EC)</v>
      </c>
      <c r="E66" s="661"/>
      <c r="F66" s="661"/>
      <c r="G66" s="661"/>
      <c r="H66" s="659"/>
      <c r="I66" s="659"/>
      <c r="J66" s="668"/>
      <c r="K66" s="502" t="s">
        <v>38</v>
      </c>
      <c r="L66" s="387">
        <f>IF(C66="Inhalation",IF(K66="Central Tendency",'Look-up Values'!$G$13/_xlfn.MAXIFS('Exposure Results'!$H$5:$H$44,'Exposure Results'!$A$5:$A$44,A66,'Exposure Results'!$D$5:$D$44,B66, 'Exposure Results'!$Q$5:$Q$44, D66),'Look-up Values'!$G$13/_xlfn.MAXIFS('Exposure Results'!$G$5:$G$44,'Exposure Results'!$A$5:$A$44,A66,'Exposure Results'!$D$5:$D$44,B66, 'Exposure Results'!$Q$5:$Q$44, D66)),11/_xlfn.MAXIFS(Dermal!$E$15:$E$24,Dermal!$A$15:$A$24, A66,Dermal!$D$15:$D$24, K66))</f>
        <v>3.1021897810218979</v>
      </c>
      <c r="M66" s="387">
        <f>IF(C66="Inhalation",IF(K66="Central Tendency",'Look-up Values'!$G$14/_xlfn.MAXIFS('Exposure Results'!$N$5:$N$44,'Exposure Results'!$A$5:$A$44,A66,'Exposure Results'!$D$5:$D$44,B66, 'Exposure Results'!$Q$5:$Q$44, D66),'Look-up Values'!$G$14/_xlfn.MAXIFS('Exposure Results'!$M$5:$M$44,'Exposure Results'!$A$5:$A$44,A66,'Exposure Results'!$D$5:$D$44,B66, 'Exposure Results'!$Q$5:$Q$44, D66)),11/(_xlfn.MAXIFS(Dermal!$E$15:$E$24,Dermal!$A$15:$A$24, A66,Dermal!$D$15:$D$24, K66)*Dermal!$P$15))</f>
        <v>4.3549971925884323</v>
      </c>
      <c r="N66" s="408">
        <f>IF(C66="Inhalation",IF(K66="Central Tendency",'Look-up Values'!$K$12*_xlfn.MAXIFS('Exposure Results'!$L$5:$L$44,'Exposure Results'!$A$5:$A$44,A66,'Exposure Results'!$D$5:$D$44,B66, 'Exposure Results'!$Q$5:$Q$44, D66),'Look-up Values'!$K$12*_xlfn.MAXIFS('Exposure Results'!$K$5:$K$44,'Exposure Results'!$A$5:$A$44,A66,'Exposure Results'!$D$5:$D$44,B66, 'Exposure Results'!$Q$5:$Q$44, D66)), _xlfn.MAXIFS(Dermal!$E$124:$E$133,Dermal!$A$124:$A$133, A66, Dermal!$D$124:$D$133, K66))</f>
        <v>1.1241025641025641E-2</v>
      </c>
      <c r="O66" s="390"/>
      <c r="P66" s="390"/>
      <c r="Q66" s="410" t="str">
        <f t="shared" ref="Q66:Q95" si="7">IFERROR(IF(C66="Inhalation", N66/W66, N66/X66), "")</f>
        <v/>
      </c>
      <c r="R66" s="284" t="s">
        <v>122</v>
      </c>
      <c r="S66" s="284" t="s">
        <v>122</v>
      </c>
      <c r="T66" s="284" t="s">
        <v>122</v>
      </c>
      <c r="U66" s="480"/>
      <c r="V66" s="491"/>
      <c r="W66" s="499"/>
      <c r="X66" s="363"/>
    </row>
    <row r="67" spans="1:24" ht="12.75" customHeight="1" x14ac:dyDescent="0.2">
      <c r="A67" s="399">
        <v>12</v>
      </c>
      <c r="B67" s="403" t="s">
        <v>37</v>
      </c>
      <c r="C67" s="499" t="s">
        <v>306</v>
      </c>
      <c r="D67" s="495" t="str">
        <f>$J$67</f>
        <v>Monitoring Data</v>
      </c>
      <c r="E67" s="657" t="s">
        <v>342</v>
      </c>
      <c r="F67" s="660" t="s">
        <v>343</v>
      </c>
      <c r="G67" s="660" t="s">
        <v>95</v>
      </c>
      <c r="H67" s="658" t="s">
        <v>37</v>
      </c>
      <c r="I67" s="665" t="s">
        <v>306</v>
      </c>
      <c r="J67" s="670" t="s">
        <v>80</v>
      </c>
      <c r="K67" s="502" t="s">
        <v>233</v>
      </c>
      <c r="L67" s="428">
        <f>IF(C67="Inhalation",IF(K67="Central Tendency",'Look-up Values'!$G$13/_xlfn.MAXIFS('Exposure Results'!$H$5:$H$44,'Exposure Results'!$A$5:$A$44,A67,'Exposure Results'!$D$5:$D$44,B67, 'Exposure Results'!$Q$5:$Q$44, D67),'Look-up Values'!$G$13/_xlfn.MAXIFS('Exposure Results'!$G$5:$G$44,'Exposure Results'!$A$5:$A$44,A67,'Exposure Results'!$D$5:$D$44,B67, 'Exposure Results'!$Q$5:$Q$44, D67)),11/_xlfn.MAXIFS(Dermal!$E$15:$E$24,Dermal!$A$15:$A$24, A67,Dermal!$D$15:$D$24, K67))</f>
        <v>0.57852645907776079</v>
      </c>
      <c r="M67" s="387">
        <f>IF(C67="Inhalation",IF(K67="Central Tendency",'Look-up Values'!$G$14/_xlfn.MAXIFS('Exposure Results'!$N$5:$N$44,'Exposure Results'!$A$5:$A$44,A67,'Exposure Results'!$D$5:$D$44,B67, 'Exposure Results'!$Q$5:$Q$44, D67),'Look-up Values'!$G$14/_xlfn.MAXIFS('Exposure Results'!$M$5:$M$44,'Exposure Results'!$A$5:$A$44,A67,'Exposure Results'!$D$5:$D$44,B67, 'Exposure Results'!$Q$5:$Q$44, D67)),11/(_xlfn.MAXIFS(Dermal!$E$15:$E$24,Dermal!$A$15:$A$24, A67,Dermal!$D$15:$D$24, K67)*Dermal!$P$15))</f>
        <v>0.81845797505187079</v>
      </c>
      <c r="N67" s="408">
        <f>IF(C67="Inhalation",IF(K67="Central Tendency",'Look-up Values'!$K$12*_xlfn.MAXIFS('Exposure Results'!$L$5:$L$44,'Exposure Results'!$A$5:$A$44,A67,'Exposure Results'!$D$5:$D$44,B67, 'Exposure Results'!$Q$5:$Q$44, D67),'Look-up Values'!$K$12*_xlfn.MAXIFS('Exposure Results'!$K$5:$K$44,'Exposure Results'!$A$5:$A$44,A67,'Exposure Results'!$D$5:$D$44,B67, 'Exposure Results'!$Q$5:$Q$44, D67)), _xlfn.MAXIFS(Dermal!$E$124:$E$133,Dermal!$A$124:$A$133, A67, Dermal!$D$124:$D$133, K67))</f>
        <v>4.6714615384615389E-2</v>
      </c>
      <c r="O67" s="390"/>
      <c r="P67" s="390"/>
      <c r="Q67" s="410" t="str">
        <f t="shared" si="7"/>
        <v/>
      </c>
      <c r="R67" s="284" t="s">
        <v>122</v>
      </c>
      <c r="S67" s="284" t="s">
        <v>122</v>
      </c>
      <c r="T67" s="284" t="s">
        <v>122</v>
      </c>
      <c r="U67" s="480"/>
      <c r="V67" s="491"/>
      <c r="W67" s="499"/>
      <c r="X67" s="363"/>
    </row>
    <row r="68" spans="1:24" x14ac:dyDescent="0.2">
      <c r="A68" s="399">
        <v>12</v>
      </c>
      <c r="B68" s="403" t="s">
        <v>37</v>
      </c>
      <c r="C68" s="499" t="s">
        <v>306</v>
      </c>
      <c r="D68" s="495" t="str">
        <f>$J$67</f>
        <v>Monitoring Data</v>
      </c>
      <c r="E68" s="657"/>
      <c r="F68" s="669"/>
      <c r="G68" s="669"/>
      <c r="H68" s="664"/>
      <c r="I68" s="665"/>
      <c r="J68" s="670"/>
      <c r="K68" s="502" t="s">
        <v>38</v>
      </c>
      <c r="L68" s="428">
        <f>IF(C68="Inhalation",IF(K68="Central Tendency",'Look-up Values'!$G$13/_xlfn.MAXIFS('Exposure Results'!$H$5:$H$44,'Exposure Results'!$A$5:$A$44,A68,'Exposure Results'!$D$5:$D$44,B68, 'Exposure Results'!$Q$5:$Q$44, D68),'Look-up Values'!$G$13/_xlfn.MAXIFS('Exposure Results'!$G$5:$G$44,'Exposure Results'!$A$5:$A$44,A68,'Exposure Results'!$D$5:$D$44,B68, 'Exposure Results'!$Q$5:$Q$44, D68)),11/_xlfn.MAXIFS(Dermal!$E$15:$E$24,Dermal!$A$15:$A$24, A68,Dermal!$D$15:$D$24, K68))</f>
        <v>0.33862518176204615</v>
      </c>
      <c r="M68" s="387">
        <f>IF(C68="Inhalation",IF(K68="Central Tendency",'Look-up Values'!$G$14/_xlfn.MAXIFS('Exposure Results'!$N$5:$N$44,'Exposure Results'!$A$5:$A$44,A68,'Exposure Results'!$D$5:$D$44,B68, 'Exposure Results'!$Q$5:$Q$44, D68),'Look-up Values'!$G$14/_xlfn.MAXIFS('Exposure Results'!$M$5:$M$44,'Exposure Results'!$A$5:$A$44,A68,'Exposure Results'!$D$5:$D$44,B68, 'Exposure Results'!$Q$5:$Q$44, D68)),11/(_xlfn.MAXIFS(Dermal!$E$15:$E$24,Dermal!$A$15:$A$24, A68,Dermal!$D$15:$D$24, K68)*Dermal!$P$15))</f>
        <v>0.42183683052268539</v>
      </c>
      <c r="N68" s="408">
        <f>IF(C68="Inhalation",IF(K68="Central Tendency",'Look-up Values'!$K$12*_xlfn.MAXIFS('Exposure Results'!$L$5:$L$44,'Exposure Results'!$A$5:$A$44,A68,'Exposure Results'!$D$5:$D$44,B68, 'Exposure Results'!$Q$5:$Q$44, D68),'Look-up Values'!$K$12*_xlfn.MAXIFS('Exposure Results'!$K$5:$K$44,'Exposure Results'!$A$5:$A$44,A68,'Exposure Results'!$D$5:$D$44,B68, 'Exposure Results'!$Q$5:$Q$44, D68)), _xlfn.MAXIFS(Dermal!$E$124:$E$133,Dermal!$A$124:$A$133, A68, Dermal!$D$124:$D$133, K68))</f>
        <v>0.10298051282051281</v>
      </c>
      <c r="O68" s="390"/>
      <c r="P68" s="390"/>
      <c r="Q68" s="410" t="str">
        <f t="shared" si="7"/>
        <v/>
      </c>
      <c r="R68" s="284" t="s">
        <v>122</v>
      </c>
      <c r="S68" s="284" t="s">
        <v>122</v>
      </c>
      <c r="T68" s="284" t="s">
        <v>122</v>
      </c>
      <c r="U68" s="480"/>
      <c r="V68" s="491"/>
      <c r="W68" s="499"/>
      <c r="X68" s="363"/>
    </row>
    <row r="69" spans="1:24" x14ac:dyDescent="0.2">
      <c r="A69" s="399" t="s">
        <v>227</v>
      </c>
      <c r="B69" s="404"/>
      <c r="C69" s="499" t="s">
        <v>17</v>
      </c>
      <c r="D69" s="497"/>
      <c r="E69" s="657"/>
      <c r="F69" s="669"/>
      <c r="G69" s="669"/>
      <c r="H69" s="664"/>
      <c r="I69" s="658" t="s">
        <v>17</v>
      </c>
      <c r="J69" s="666" t="s">
        <v>22</v>
      </c>
      <c r="K69" s="502" t="s">
        <v>233</v>
      </c>
      <c r="L69" s="387">
        <f>IF(C69="Inhalation",IF(K69="Central Tendency",'Look-up Values'!$G$13/_xlfn.MAXIFS('Exposure Results'!$H$5:$H$44,'Exposure Results'!$A$5:$A$44,A69,'Exposure Results'!$D$5:$D$44,B69, 'Exposure Results'!$Q$5:$Q$44, D69),'Look-up Values'!$G$13/_xlfn.MAXIFS('Exposure Results'!$G$5:$G$44,'Exposure Results'!$A$5:$A$44,A69,'Exposure Results'!$D$5:$D$44,B69, 'Exposure Results'!$Q$5:$Q$44, D69)),11/_xlfn.MAXIFS(Dermal!$E$15:$E$24,Dermal!$A$15:$A$24, A69,Dermal!$D$15:$D$24, K69))</f>
        <v>430.99774999583701</v>
      </c>
      <c r="M69" s="387">
        <f>IF(C69="Inhalation",IF(K69="Central Tendency",'Look-up Values'!$G$14/_xlfn.MAXIFS('Exposure Results'!$N$5:$N$44,'Exposure Results'!$A$5:$A$44,A69,'Exposure Results'!$D$5:$D$44,B69, 'Exposure Results'!$Q$5:$Q$44, D69),'Look-up Values'!$G$14/_xlfn.MAXIFS('Exposure Results'!$M$5:$M$44,'Exposure Results'!$A$5:$A$44,A69,'Exposure Results'!$D$5:$D$44,B69, 'Exposure Results'!$Q$5:$Q$44, D69)),11/(_xlfn.MAXIFS(Dermal!$E$15:$E$24,Dermal!$A$15:$A$24, A69,Dermal!$D$15:$D$24, K69)*Dermal!$P$15))</f>
        <v>605.05453364800201</v>
      </c>
      <c r="N69" s="408">
        <f>IF(C69="Inhalation",IF(K69="Central Tendency",'Look-up Values'!$K$12*_xlfn.MAXIFS('Exposure Results'!$L$5:$L$44,'Exposure Results'!$A$5:$A$44,A69,'Exposure Results'!$D$5:$D$44,B69, 'Exposure Results'!$Q$5:$Q$44, D69),'Look-up Values'!$K$12*_xlfn.MAXIFS('Exposure Results'!$K$5:$K$44,'Exposure Results'!$A$5:$A$44,A69,'Exposure Results'!$D$5:$D$44,B69, 'Exposure Results'!$Q$5:$Q$44, D69)), _xlfn.MAXIFS(Dermal!$E$124:$E$133,Dermal!$A$124:$A$133, A69, Dermal!$D$124:$D$133, K69))</f>
        <v>6.0860571153846159E-5</v>
      </c>
      <c r="O69" s="390"/>
      <c r="P69" s="390"/>
      <c r="Q69" s="410" t="str">
        <f t="shared" si="7"/>
        <v/>
      </c>
      <c r="R69" s="284" t="s">
        <v>122</v>
      </c>
      <c r="S69" s="284" t="s">
        <v>122</v>
      </c>
      <c r="T69" s="284" t="s">
        <v>122</v>
      </c>
      <c r="U69" s="480"/>
      <c r="V69" s="491"/>
      <c r="W69" s="499"/>
      <c r="X69" s="363"/>
    </row>
    <row r="70" spans="1:24" x14ac:dyDescent="0.2">
      <c r="A70" s="399" t="s">
        <v>227</v>
      </c>
      <c r="C70" s="499" t="s">
        <v>17</v>
      </c>
      <c r="D70" s="501"/>
      <c r="E70" s="657"/>
      <c r="F70" s="669"/>
      <c r="G70" s="669"/>
      <c r="H70" s="659"/>
      <c r="I70" s="659"/>
      <c r="J70" s="667"/>
      <c r="K70" s="502" t="s">
        <v>38</v>
      </c>
      <c r="L70" s="387">
        <f>IF(C70="Inhalation",IF(K70="Central Tendency",'Look-up Values'!$G$13/_xlfn.MAXIFS('Exposure Results'!$H$5:$H$44,'Exposure Results'!$A$5:$A$44,A70,'Exposure Results'!$D$5:$D$44,B70, 'Exposure Results'!$Q$5:$Q$44, D70),'Look-up Values'!$G$13/_xlfn.MAXIFS('Exposure Results'!$G$5:$G$44,'Exposure Results'!$A$5:$A$44,A70,'Exposure Results'!$D$5:$D$44,B70, 'Exposure Results'!$Q$5:$Q$44, D70)),11/_xlfn.MAXIFS(Dermal!$E$15:$E$24,Dermal!$A$15:$A$24, A70,Dermal!$D$15:$D$24, K70))</f>
        <v>143.66591666527901</v>
      </c>
      <c r="M70" s="387">
        <f>IF(C70="Inhalation",IF(K70="Central Tendency",'Look-up Values'!$G$14/_xlfn.MAXIFS('Exposure Results'!$N$5:$N$44,'Exposure Results'!$A$5:$A$44,A70,'Exposure Results'!$D$5:$D$44,B70, 'Exposure Results'!$Q$5:$Q$44, D70),'Look-up Values'!$G$14/_xlfn.MAXIFS('Exposure Results'!$M$5:$M$44,'Exposure Results'!$A$5:$A$44,A70,'Exposure Results'!$D$5:$D$44,B70, 'Exposure Results'!$Q$5:$Q$44, D70)),11/(_xlfn.MAXIFS(Dermal!$E$15:$E$24,Dermal!$A$15:$A$24, A70,Dermal!$D$15:$D$24, K70)*Dermal!$P$15))</f>
        <v>201.684844549334</v>
      </c>
      <c r="N70" s="408">
        <f>IF(C70="Inhalation",IF(K70="Central Tendency",'Look-up Values'!$K$12*_xlfn.MAXIFS('Exposure Results'!$L$5:$L$44,'Exposure Results'!$A$5:$A$44,A70,'Exposure Results'!$D$5:$D$44,B70, 'Exposure Results'!$Q$5:$Q$44, D70),'Look-up Values'!$K$12*_xlfn.MAXIFS('Exposure Results'!$K$5:$K$44,'Exposure Results'!$A$5:$A$44,A70,'Exposure Results'!$D$5:$D$44,B70, 'Exposure Results'!$Q$5:$Q$44, D70)), _xlfn.MAXIFS(Dermal!$E$124:$E$133,Dermal!$A$124:$A$133, A70, Dermal!$D$124:$D$133, K70))</f>
        <v>2.3558930769230766E-4</v>
      </c>
      <c r="O70" s="390"/>
      <c r="P70" s="390"/>
      <c r="Q70" s="410" t="str">
        <f t="shared" si="7"/>
        <v/>
      </c>
      <c r="R70" s="284" t="s">
        <v>122</v>
      </c>
      <c r="S70" s="284" t="s">
        <v>122</v>
      </c>
      <c r="T70" s="284" t="s">
        <v>122</v>
      </c>
      <c r="U70" s="480"/>
      <c r="V70" s="491"/>
      <c r="W70" s="499"/>
      <c r="X70" s="363"/>
    </row>
    <row r="71" spans="1:24" ht="12.75" customHeight="1" x14ac:dyDescent="0.2">
      <c r="A71" s="399">
        <v>12</v>
      </c>
      <c r="B71" s="399" t="s">
        <v>39</v>
      </c>
      <c r="C71" s="499" t="s">
        <v>306</v>
      </c>
      <c r="D71" s="495" t="str">
        <f>$J$71</f>
        <v>Monitoring Data</v>
      </c>
      <c r="E71" s="657"/>
      <c r="F71" s="669"/>
      <c r="G71" s="669"/>
      <c r="H71" s="658" t="s">
        <v>39</v>
      </c>
      <c r="I71" s="665" t="s">
        <v>306</v>
      </c>
      <c r="J71" s="670" t="s">
        <v>80</v>
      </c>
      <c r="K71" s="502" t="s">
        <v>233</v>
      </c>
      <c r="L71" s="387">
        <f>IF(C71="Inhalation",IF(K71="Central Tendency",'Look-up Values'!$G$13/_xlfn.MAXIFS('Exposure Results'!$H$5:$H$44,'Exposure Results'!$A$5:$A$44,A71,'Exposure Results'!$D$5:$D$44,B71, 'Exposure Results'!$Q$5:$Q$44, D71),'Look-up Values'!$G$13/_xlfn.MAXIFS('Exposure Results'!$G$5:$G$44,'Exposure Results'!$A$5:$A$44,A71,'Exposure Results'!$D$5:$D$44,B71, 'Exposure Results'!$Q$5:$Q$44, D71)),11/_xlfn.MAXIFS(Dermal!$E$15:$E$24,Dermal!$A$15:$A$24, A71,Dermal!$D$15:$D$24, K71))</f>
        <v>1.4090343970161623</v>
      </c>
      <c r="M71" s="387">
        <f>IF(C71="Inhalation",IF(K71="Central Tendency",'Look-up Values'!$G$14/_xlfn.MAXIFS('Exposure Results'!$N$5:$N$44,'Exposure Results'!$A$5:$A$44,A71,'Exposure Results'!$D$5:$D$44,B71, 'Exposure Results'!$Q$5:$Q$44, D71),'Look-up Values'!$G$14/_xlfn.MAXIFS('Exposure Results'!$M$5:$M$44,'Exposure Results'!$A$5:$A$44,A71,'Exposure Results'!$D$5:$D$44,B71, 'Exposure Results'!$Q$5:$Q$44, D71)),11/(_xlfn.MAXIFS(Dermal!$E$15:$E$24,Dermal!$A$15:$A$24, A71,Dermal!$D$15:$D$24, K71)*Dermal!$P$15))</f>
        <v>1.9934013756236404</v>
      </c>
      <c r="N71" s="408">
        <f>IF(C71="Inhalation",IF(K71="Central Tendency",'Look-up Values'!$K$12*_xlfn.MAXIFS('Exposure Results'!$L$5:$L$44,'Exposure Results'!$A$5:$A$44,A71,'Exposure Results'!$D$5:$D$44,B71, 'Exposure Results'!$Q$5:$Q$44, D71),'Look-up Values'!$K$12*_xlfn.MAXIFS('Exposure Results'!$K$5:$K$44,'Exposure Results'!$A$5:$A$44,A71,'Exposure Results'!$D$5:$D$44,B71, 'Exposure Results'!$Q$5:$Q$44, D71)), _xlfn.MAXIFS(Dermal!$E$124:$E$133,Dermal!$A$124:$A$133, A71, Dermal!$D$124:$D$133, K71))</f>
        <v>1.9180256410256412E-2</v>
      </c>
      <c r="O71" s="390"/>
      <c r="P71" s="390"/>
      <c r="Q71" s="410" t="str">
        <f t="shared" si="7"/>
        <v/>
      </c>
      <c r="R71" s="284" t="s">
        <v>122</v>
      </c>
      <c r="S71" s="284" t="s">
        <v>122</v>
      </c>
      <c r="T71" s="284" t="s">
        <v>122</v>
      </c>
      <c r="U71" s="480"/>
      <c r="V71" s="491"/>
      <c r="W71" s="499"/>
      <c r="X71" s="363"/>
    </row>
    <row r="72" spans="1:24" x14ac:dyDescent="0.2">
      <c r="A72" s="399">
        <v>12</v>
      </c>
      <c r="B72" s="399" t="s">
        <v>39</v>
      </c>
      <c r="C72" s="499" t="s">
        <v>306</v>
      </c>
      <c r="D72" s="495" t="str">
        <f>$J$71</f>
        <v>Monitoring Data</v>
      </c>
      <c r="E72" s="657"/>
      <c r="F72" s="661"/>
      <c r="G72" s="661"/>
      <c r="H72" s="664"/>
      <c r="I72" s="665"/>
      <c r="J72" s="670"/>
      <c r="K72" s="502" t="s">
        <v>38</v>
      </c>
      <c r="L72" s="387">
        <f>IF(C72="Inhalation",IF(K72="Central Tendency",'Look-up Values'!$G$13/_xlfn.MAXIFS('Exposure Results'!$H$5:$H$44,'Exposure Results'!$A$5:$A$44,A72,'Exposure Results'!$D$5:$D$44,B72, 'Exposure Results'!$Q$5:$Q$44, D72),'Look-up Values'!$G$13/_xlfn.MAXIFS('Exposure Results'!$G$5:$G$44,'Exposure Results'!$A$5:$A$44,A72,'Exposure Results'!$D$5:$D$44,B72, 'Exposure Results'!$Q$5:$Q$44, D72)),11/_xlfn.MAXIFS(Dermal!$E$15:$E$24,Dermal!$A$15:$A$24, A72,Dermal!$D$15:$D$24, K72))</f>
        <v>0.82374318594791029</v>
      </c>
      <c r="M72" s="387">
        <f>IF(C72="Inhalation",IF(K72="Central Tendency",'Look-up Values'!$G$14/_xlfn.MAXIFS('Exposure Results'!$N$5:$N$44,'Exposure Results'!$A$5:$A$44,A72,'Exposure Results'!$D$5:$D$44,B72, 'Exposure Results'!$Q$5:$Q$44, D72),'Look-up Values'!$G$14/_xlfn.MAXIFS('Exposure Results'!$M$5:$M$44,'Exposure Results'!$A$5:$A$44,A72,'Exposure Results'!$D$5:$D$44,B72, 'Exposure Results'!$Q$5:$Q$44, D72)),11/(_xlfn.MAXIFS(Dermal!$E$15:$E$24,Dermal!$A$15:$A$24, A72,Dermal!$D$15:$D$24, K72)*Dermal!$P$15))</f>
        <v>1.0261647196962018</v>
      </c>
      <c r="N72" s="408">
        <f>IF(C72="Inhalation",IF(K72="Central Tendency",'Look-up Values'!$K$12*_xlfn.MAXIFS('Exposure Results'!$L$5:$L$44,'Exposure Results'!$A$5:$A$44,A72,'Exposure Results'!$D$5:$D$44,B72, 'Exposure Results'!$Q$5:$Q$44, D72),'Look-up Values'!$K$12*_xlfn.MAXIFS('Exposure Results'!$K$5:$K$44,'Exposure Results'!$A$5:$A$44,A72,'Exposure Results'!$D$5:$D$44,B72, 'Exposure Results'!$Q$5:$Q$44, D72)), _xlfn.MAXIFS(Dermal!$E$124:$E$133,Dermal!$A$124:$A$133, A72, Dermal!$D$124:$D$133, K72))</f>
        <v>4.2333333333333341E-2</v>
      </c>
      <c r="O72" s="390"/>
      <c r="P72" s="390"/>
      <c r="Q72" s="410" t="str">
        <f t="shared" si="7"/>
        <v/>
      </c>
      <c r="R72" s="284" t="s">
        <v>122</v>
      </c>
      <c r="S72" s="284" t="s">
        <v>122</v>
      </c>
      <c r="T72" s="284" t="s">
        <v>122</v>
      </c>
      <c r="U72" s="480"/>
      <c r="V72" s="491"/>
      <c r="W72" s="499"/>
      <c r="X72" s="363"/>
    </row>
    <row r="73" spans="1:24" ht="25.5" customHeight="1" x14ac:dyDescent="0.2">
      <c r="A73" s="399" t="s">
        <v>273</v>
      </c>
      <c r="B73" s="499" t="s">
        <v>37</v>
      </c>
      <c r="C73" s="499" t="s">
        <v>306</v>
      </c>
      <c r="D73" s="497" t="str">
        <f>$J$73</f>
        <v>Model</v>
      </c>
      <c r="E73" s="657"/>
      <c r="F73" s="657" t="s">
        <v>344</v>
      </c>
      <c r="G73" s="662" t="s">
        <v>345</v>
      </c>
      <c r="H73" s="658" t="s">
        <v>37</v>
      </c>
      <c r="I73" s="665" t="s">
        <v>306</v>
      </c>
      <c r="J73" s="666" t="s">
        <v>22</v>
      </c>
      <c r="K73" s="502" t="s">
        <v>233</v>
      </c>
      <c r="L73" s="387">
        <f>IF(C73="Inhalation",IF(K73="Central Tendency",'Look-up Values'!$G$13/_xlfn.MAXIFS('Exposure Results'!$H$5:$H$44,'Exposure Results'!$A$5:$A$44,A73,'Exposure Results'!$D$5:$D$44,B73, 'Exposure Results'!$Q$5:$Q$44, D73),'Look-up Values'!$G$13/_xlfn.MAXIFS('Exposure Results'!$G$5:$G$44,'Exposure Results'!$A$5:$A$44,A73,'Exposure Results'!$D$5:$D$44,B73, 'Exposure Results'!$Q$5:$Q$44, D73)),11/_xlfn.MAXIFS(Dermal!$E$15:$E$24,Dermal!$A$15:$A$24, A73,Dermal!$D$15:$D$24, K73))</f>
        <v>5.2476337914400464</v>
      </c>
      <c r="M73" s="387">
        <f>IF(C73="Inhalation",IF(K73="Central Tendency",'Look-up Values'!$G$14/_xlfn.MAXIFS('Exposure Results'!$N$5:$N$44,'Exposure Results'!$A$5:$A$44,A73,'Exposure Results'!$D$5:$D$44,B73, 'Exposure Results'!$Q$5:$Q$44, D73),'Look-up Values'!$G$14/_xlfn.MAXIFS('Exposure Results'!$M$5:$M$44,'Exposure Results'!$A$5:$A$44,A73,'Exposure Results'!$D$5:$D$44,B73, 'Exposure Results'!$Q$5:$Q$44, D73)),11/(_xlfn.MAXIFS(Dermal!$E$15:$E$24,Dermal!$A$15:$A$24, A73,Dermal!$D$15:$D$24, K73)*Dermal!$P$15))</f>
        <v>31.321913627214645</v>
      </c>
      <c r="N73" s="408">
        <f>IF(C73="Inhalation",IF(K73="Central Tendency",'Look-up Values'!$K$12*_xlfn.MAXIFS('Exposure Results'!$L$5:$L$44,'Exposure Results'!$A$5:$A$44,A73,'Exposure Results'!$D$5:$D$44,B73, 'Exposure Results'!$Q$5:$Q$44, D73),'Look-up Values'!$K$12*_xlfn.MAXIFS('Exposure Results'!$K$5:$K$44,'Exposure Results'!$A$5:$A$44,A73,'Exposure Results'!$D$5:$D$44,B73, 'Exposure Results'!$Q$5:$Q$44, D73)), _xlfn.MAXIFS(Dermal!$E$124:$E$133,Dermal!$A$124:$A$133, A73, Dermal!$D$124:$D$133, K73))</f>
        <v>1.1555588744618023E-3</v>
      </c>
      <c r="O73" s="390"/>
      <c r="P73" s="390"/>
      <c r="Q73" s="410" t="str">
        <f t="shared" si="7"/>
        <v/>
      </c>
      <c r="R73" s="284" t="s">
        <v>122</v>
      </c>
      <c r="S73" s="284" t="s">
        <v>122</v>
      </c>
      <c r="T73" s="284" t="s">
        <v>122</v>
      </c>
      <c r="U73" s="480"/>
      <c r="V73" s="491"/>
      <c r="W73" s="499"/>
      <c r="X73" s="363"/>
    </row>
    <row r="74" spans="1:24" x14ac:dyDescent="0.2">
      <c r="A74" s="399" t="s">
        <v>273</v>
      </c>
      <c r="B74" s="499" t="s">
        <v>37</v>
      </c>
      <c r="C74" s="499" t="s">
        <v>306</v>
      </c>
      <c r="D74" s="497" t="str">
        <f>$J$73</f>
        <v>Model</v>
      </c>
      <c r="E74" s="657"/>
      <c r="F74" s="657"/>
      <c r="G74" s="663"/>
      <c r="H74" s="664"/>
      <c r="I74" s="665"/>
      <c r="J74" s="667"/>
      <c r="K74" s="502" t="s">
        <v>38</v>
      </c>
      <c r="L74" s="387">
        <f>IF(C74="Inhalation",IF(K74="Central Tendency",'Look-up Values'!$G$13/_xlfn.MAXIFS('Exposure Results'!$H$5:$H$44,'Exposure Results'!$A$5:$A$44,A74,'Exposure Results'!$D$5:$D$44,B74, 'Exposure Results'!$Q$5:$Q$44, D74),'Look-up Values'!$G$13/_xlfn.MAXIFS('Exposure Results'!$G$5:$G$44,'Exposure Results'!$A$5:$A$44,A74,'Exposure Results'!$D$5:$D$44,B74, 'Exposure Results'!$Q$5:$Q$44, D74)),11/_xlfn.MAXIFS(Dermal!$E$15:$E$24,Dermal!$A$15:$A$24, A74,Dermal!$D$15:$D$24, K74))</f>
        <v>2.4170613232693121</v>
      </c>
      <c r="M74" s="387">
        <f>IF(C74="Inhalation",IF(K74="Central Tendency",'Look-up Values'!$G$14/_xlfn.MAXIFS('Exposure Results'!$N$5:$N$44,'Exposure Results'!$A$5:$A$44,A74,'Exposure Results'!$D$5:$D$44,B74, 'Exposure Results'!$Q$5:$Q$44, D74),'Look-up Values'!$G$14/_xlfn.MAXIFS('Exposure Results'!$M$5:$M$44,'Exposure Results'!$A$5:$A$44,A74,'Exposure Results'!$D$5:$D$44,B74, 'Exposure Results'!$Q$5:$Q$44, D74)),11/(_xlfn.MAXIFS(Dermal!$E$15:$E$24,Dermal!$A$15:$A$24, A74,Dermal!$D$15:$D$24, K74)*Dermal!$P$15))</f>
        <v>14.368206429465172</v>
      </c>
      <c r="N74" s="408">
        <f>IF(C74="Inhalation",IF(K74="Central Tendency",'Look-up Values'!$K$12*_xlfn.MAXIFS('Exposure Results'!$L$5:$L$44,'Exposure Results'!$A$5:$A$44,A74,'Exposure Results'!$D$5:$D$44,B74, 'Exposure Results'!$Q$5:$Q$44, D74),'Look-up Values'!$K$12*_xlfn.MAXIFS('Exposure Results'!$K$5:$K$44,'Exposure Results'!$A$5:$A$44,A74,'Exposure Results'!$D$5:$D$44,B74, 'Exposure Results'!$Q$5:$Q$44, D74)), _xlfn.MAXIFS(Dermal!$E$124:$E$133,Dermal!$A$124:$A$133, A74, Dermal!$D$124:$D$133, K74))</f>
        <v>2.7271998626659986E-3</v>
      </c>
      <c r="O74" s="390"/>
      <c r="P74" s="390"/>
      <c r="Q74" s="410" t="str">
        <f t="shared" si="7"/>
        <v/>
      </c>
      <c r="R74" s="284" t="s">
        <v>122</v>
      </c>
      <c r="S74" s="284" t="s">
        <v>122</v>
      </c>
      <c r="T74" s="284" t="s">
        <v>122</v>
      </c>
      <c r="U74" s="480"/>
      <c r="V74" s="491"/>
      <c r="W74" s="499"/>
      <c r="X74" s="363"/>
    </row>
    <row r="75" spans="1:24" x14ac:dyDescent="0.2">
      <c r="A75" s="399" t="s">
        <v>227</v>
      </c>
      <c r="B75" s="489"/>
      <c r="C75" s="499" t="s">
        <v>17</v>
      </c>
      <c r="D75" s="497"/>
      <c r="E75" s="657"/>
      <c r="F75" s="657"/>
      <c r="G75" s="663"/>
      <c r="H75" s="664"/>
      <c r="I75" s="658" t="s">
        <v>17</v>
      </c>
      <c r="J75" s="660" t="s">
        <v>22</v>
      </c>
      <c r="K75" s="495" t="s">
        <v>233</v>
      </c>
      <c r="L75" s="387">
        <f>IF(C75="Inhalation",IF(K75="Central Tendency",'Look-up Values'!$G$13/_xlfn.MAXIFS('Exposure Results'!$H$5:$H$44,'Exposure Results'!$A$5:$A$44,A75,'Exposure Results'!$D$5:$D$44,B75, 'Exposure Results'!$Q$5:$Q$44, D75),'Look-up Values'!$G$13/_xlfn.MAXIFS('Exposure Results'!$G$5:$G$44,'Exposure Results'!$A$5:$A$44,A75,'Exposure Results'!$D$5:$D$44,B75, 'Exposure Results'!$Q$5:$Q$44, D75)),11/_xlfn.MAXIFS(Dermal!$E$15:$E$24,Dermal!$A$15:$A$24, A75,Dermal!$D$15:$D$24, K75))</f>
        <v>430.99774999583701</v>
      </c>
      <c r="M75" s="387">
        <f>IF(C75="Inhalation",IF(K75="Central Tendency",'Look-up Values'!$G$14/_xlfn.MAXIFS('Exposure Results'!$N$5:$N$44,'Exposure Results'!$A$5:$A$44,A75,'Exposure Results'!$D$5:$D$44,B75, 'Exposure Results'!$Q$5:$Q$44, D75),'Look-up Values'!$G$14/_xlfn.MAXIFS('Exposure Results'!$M$5:$M$44,'Exposure Results'!$A$5:$A$44,A75,'Exposure Results'!$D$5:$D$44,B75, 'Exposure Results'!$Q$5:$Q$44, D75)),11/(_xlfn.MAXIFS(Dermal!$E$15:$E$24,Dermal!$A$15:$A$24, A75,Dermal!$D$15:$D$24, K75)*Dermal!$P$15))</f>
        <v>605.05453364800201</v>
      </c>
      <c r="N75" s="408">
        <f>IF(C75="Inhalation",IF(K75="Central Tendency",'Look-up Values'!$K$12*_xlfn.MAXIFS('Exposure Results'!$L$5:$L$44,'Exposure Results'!$A$5:$A$44,A75,'Exposure Results'!$D$5:$D$44,B75, 'Exposure Results'!$Q$5:$Q$44, D75),'Look-up Values'!$K$12*_xlfn.MAXIFS('Exposure Results'!$K$5:$K$44,'Exposure Results'!$A$5:$A$44,A75,'Exposure Results'!$D$5:$D$44,B75, 'Exposure Results'!$Q$5:$Q$44, D75)), _xlfn.MAXIFS(Dermal!$E$124:$E$133,Dermal!$A$124:$A$133, A75, Dermal!$D$124:$D$133, K75))</f>
        <v>6.0860571153846159E-5</v>
      </c>
      <c r="O75" s="390"/>
      <c r="P75" s="390"/>
      <c r="Q75" s="410" t="str">
        <f t="shared" si="7"/>
        <v/>
      </c>
      <c r="R75" s="284" t="s">
        <v>122</v>
      </c>
      <c r="S75" s="284" t="s">
        <v>122</v>
      </c>
      <c r="T75" s="284" t="s">
        <v>122</v>
      </c>
      <c r="U75" s="480"/>
      <c r="V75" s="491"/>
      <c r="W75" s="499"/>
      <c r="X75" s="363"/>
    </row>
    <row r="76" spans="1:24" x14ac:dyDescent="0.2">
      <c r="A76" s="399" t="s">
        <v>227</v>
      </c>
      <c r="C76" s="499" t="s">
        <v>17</v>
      </c>
      <c r="D76" s="501"/>
      <c r="E76" s="657"/>
      <c r="F76" s="657"/>
      <c r="G76" s="663"/>
      <c r="H76" s="659"/>
      <c r="I76" s="659"/>
      <c r="J76" s="661"/>
      <c r="K76" s="495" t="s">
        <v>38</v>
      </c>
      <c r="L76" s="387">
        <f>IF(C76="Inhalation",IF(K76="Central Tendency",'Look-up Values'!$G$13/_xlfn.MAXIFS('Exposure Results'!$H$5:$H$44,'Exposure Results'!$A$5:$A$44,A76,'Exposure Results'!$D$5:$D$44,B76, 'Exposure Results'!$Q$5:$Q$44, D76),'Look-up Values'!$G$13/_xlfn.MAXIFS('Exposure Results'!$G$5:$G$44,'Exposure Results'!$A$5:$A$44,A76,'Exposure Results'!$D$5:$D$44,B76, 'Exposure Results'!$Q$5:$Q$44, D76)),11/_xlfn.MAXIFS(Dermal!$E$15:$E$24,Dermal!$A$15:$A$24, A76,Dermal!$D$15:$D$24, K76))</f>
        <v>143.66591666527901</v>
      </c>
      <c r="M76" s="387">
        <f>IF(C76="Inhalation",IF(K76="Central Tendency",'Look-up Values'!$G$14/_xlfn.MAXIFS('Exposure Results'!$N$5:$N$44,'Exposure Results'!$A$5:$A$44,A76,'Exposure Results'!$D$5:$D$44,B76, 'Exposure Results'!$Q$5:$Q$44, D76),'Look-up Values'!$G$14/_xlfn.MAXIFS('Exposure Results'!$M$5:$M$44,'Exposure Results'!$A$5:$A$44,A76,'Exposure Results'!$D$5:$D$44,B76, 'Exposure Results'!$Q$5:$Q$44, D76)),11/(_xlfn.MAXIFS(Dermal!$E$15:$E$24,Dermal!$A$15:$A$24, A76,Dermal!$D$15:$D$24, K76)*Dermal!$P$15))</f>
        <v>201.684844549334</v>
      </c>
      <c r="N76" s="408">
        <f>IF(C76="Inhalation",IF(K76="Central Tendency",'Look-up Values'!$K$12*_xlfn.MAXIFS('Exposure Results'!$L$5:$L$44,'Exposure Results'!$A$5:$A$44,A76,'Exposure Results'!$D$5:$D$44,B76, 'Exposure Results'!$Q$5:$Q$44, D76),'Look-up Values'!$K$12*_xlfn.MAXIFS('Exposure Results'!$K$5:$K$44,'Exposure Results'!$A$5:$A$44,A76,'Exposure Results'!$D$5:$D$44,B76, 'Exposure Results'!$Q$5:$Q$44, D76)), _xlfn.MAXIFS(Dermal!$E$124:$E$133,Dermal!$A$124:$A$133, A76, Dermal!$D$124:$D$133, K76))</f>
        <v>2.3558930769230766E-4</v>
      </c>
      <c r="O76" s="390"/>
      <c r="P76" s="390"/>
      <c r="Q76" s="410" t="str">
        <f t="shared" si="7"/>
        <v/>
      </c>
      <c r="R76" s="284" t="s">
        <v>122</v>
      </c>
      <c r="S76" s="284" t="s">
        <v>122</v>
      </c>
      <c r="T76" s="284" t="s">
        <v>122</v>
      </c>
      <c r="U76" s="480"/>
      <c r="V76" s="491"/>
      <c r="W76" s="499"/>
      <c r="X76" s="363"/>
    </row>
    <row r="77" spans="1:24" x14ac:dyDescent="0.2">
      <c r="A77" s="399" t="s">
        <v>273</v>
      </c>
      <c r="B77" s="399" t="s">
        <v>39</v>
      </c>
      <c r="C77" s="499" t="s">
        <v>306</v>
      </c>
      <c r="D77" s="497" t="str">
        <f>$J$77</f>
        <v>Model</v>
      </c>
      <c r="E77" s="657"/>
      <c r="F77" s="657"/>
      <c r="G77" s="663"/>
      <c r="H77" s="658" t="s">
        <v>39</v>
      </c>
      <c r="I77" s="665" t="s">
        <v>306</v>
      </c>
      <c r="J77" s="660" t="s">
        <v>22</v>
      </c>
      <c r="K77" s="495" t="s">
        <v>233</v>
      </c>
      <c r="L77" s="387">
        <f>IF(C77="Inhalation",IF(K77="Central Tendency",'Look-up Values'!$G$13/_xlfn.MAXIFS('Exposure Results'!$H$5:$H$44,'Exposure Results'!$A$5:$A$44,A77,'Exposure Results'!$D$5:$D$44,B77, 'Exposure Results'!$Q$5:$Q$44, D77),'Look-up Values'!$G$13/_xlfn.MAXIFS('Exposure Results'!$G$5:$G$44,'Exposure Results'!$A$5:$A$44,A77,'Exposure Results'!$D$5:$D$44,B77, 'Exposure Results'!$Q$5:$Q$44, D77)),11/_xlfn.MAXIFS(Dermal!$E$15:$E$24,Dermal!$A$15:$A$24, A77,Dermal!$D$15:$D$24, K77))</f>
        <v>10.406544629382406</v>
      </c>
      <c r="M77" s="387">
        <f>IF(C77="Inhalation",IF(K77="Central Tendency",'Look-up Values'!$G$14/_xlfn.MAXIFS('Exposure Results'!$N$5:$N$44,'Exposure Results'!$A$5:$A$44,A77,'Exposure Results'!$D$5:$D$44,B77, 'Exposure Results'!$Q$5:$Q$44, D77),'Look-up Values'!$G$14/_xlfn.MAXIFS('Exposure Results'!$M$5:$M$44,'Exposure Results'!$A$5:$A$44,A77,'Exposure Results'!$D$5:$D$44,B77, 'Exposure Results'!$Q$5:$Q$44, D77)),11/(_xlfn.MAXIFS(Dermal!$E$15:$E$24,Dermal!$A$15:$A$24, A77,Dermal!$D$15:$D$24, K77)*Dermal!$P$15))</f>
        <v>62.063633778061536</v>
      </c>
      <c r="N77" s="408">
        <f>IF(C77="Inhalation",IF(K77="Central Tendency",'Look-up Values'!$K$12*_xlfn.MAXIFS('Exposure Results'!$L$5:$L$44,'Exposure Results'!$A$5:$A$44,A77,'Exposure Results'!$D$5:$D$44,B77, 'Exposure Results'!$Q$5:$Q$44, D77),'Look-up Values'!$K$12*_xlfn.MAXIFS('Exposure Results'!$K$5:$K$44,'Exposure Results'!$A$5:$A$44,A77,'Exposure Results'!$D$5:$D$44,B77, 'Exposure Results'!$Q$5:$Q$44, D77)), _xlfn.MAXIFS(Dermal!$E$124:$E$133,Dermal!$A$124:$A$133, A77, Dermal!$D$124:$D$133, K77))</f>
        <v>5.8166150371387175E-4</v>
      </c>
      <c r="O77" s="390"/>
      <c r="P77" s="390"/>
      <c r="Q77" s="410" t="str">
        <f t="shared" si="7"/>
        <v/>
      </c>
      <c r="R77" s="284" t="s">
        <v>122</v>
      </c>
      <c r="S77" s="284" t="s">
        <v>122</v>
      </c>
      <c r="T77" s="284" t="s">
        <v>122</v>
      </c>
      <c r="U77" s="480"/>
      <c r="V77" s="491"/>
      <c r="W77" s="499"/>
      <c r="X77" s="363"/>
    </row>
    <row r="78" spans="1:24" x14ac:dyDescent="0.2">
      <c r="A78" s="399" t="s">
        <v>273</v>
      </c>
      <c r="B78" s="399" t="s">
        <v>39</v>
      </c>
      <c r="C78" s="499" t="s">
        <v>306</v>
      </c>
      <c r="D78" s="497" t="str">
        <f>$J$77</f>
        <v>Model</v>
      </c>
      <c r="E78" s="657"/>
      <c r="F78" s="657"/>
      <c r="G78" s="663"/>
      <c r="H78" s="664"/>
      <c r="I78" s="665"/>
      <c r="J78" s="661"/>
      <c r="K78" s="495" t="s">
        <v>38</v>
      </c>
      <c r="L78" s="387">
        <f>IF(C78="Inhalation",IF(K78="Central Tendency",'Look-up Values'!$G$13/_xlfn.MAXIFS('Exposure Results'!$H$5:$H$44,'Exposure Results'!$A$5:$A$44,A78,'Exposure Results'!$D$5:$D$44,B78, 'Exposure Results'!$Q$5:$Q$44, D78),'Look-up Values'!$G$13/_xlfn.MAXIFS('Exposure Results'!$G$5:$G$44,'Exposure Results'!$A$5:$A$44,A78,'Exposure Results'!$D$5:$D$44,B78, 'Exposure Results'!$Q$5:$Q$44, D78)),11/_xlfn.MAXIFS(Dermal!$E$15:$E$24,Dermal!$A$15:$A$24, A78,Dermal!$D$15:$D$24, K78))</f>
        <v>3.6292106820956453</v>
      </c>
      <c r="M78" s="387">
        <f>IF(C78="Inhalation",IF(K78="Central Tendency",'Look-up Values'!$G$14/_xlfn.MAXIFS('Exposure Results'!$N$5:$N$44,'Exposure Results'!$A$5:$A$44,A78,'Exposure Results'!$D$5:$D$44,B78, 'Exposure Results'!$Q$5:$Q$44, D78),'Look-up Values'!$G$14/_xlfn.MAXIFS('Exposure Results'!$M$5:$M$44,'Exposure Results'!$A$5:$A$44,A78,'Exposure Results'!$D$5:$D$44,B78, 'Exposure Results'!$Q$5:$Q$44, D78)),11/(_xlfn.MAXIFS(Dermal!$E$15:$E$24,Dermal!$A$15:$A$24, A78,Dermal!$D$15:$D$24, K78)*Dermal!$P$15))</f>
        <v>21.61588644641952</v>
      </c>
      <c r="N78" s="408">
        <f>IF(C78="Inhalation",IF(K78="Central Tendency",'Look-up Values'!$K$12*_xlfn.MAXIFS('Exposure Results'!$L$5:$L$44,'Exposure Results'!$A$5:$A$44,A78,'Exposure Results'!$D$5:$D$44,B78, 'Exposure Results'!$Q$5:$Q$44, D78),'Look-up Values'!$K$12*_xlfn.MAXIFS('Exposure Results'!$K$5:$K$44,'Exposure Results'!$A$5:$A$44,A78,'Exposure Results'!$D$5:$D$44,B78, 'Exposure Results'!$Q$5:$Q$44, D78)), _xlfn.MAXIFS(Dermal!$E$124:$E$133,Dermal!$A$124:$A$133, A78, Dermal!$D$124:$D$133, K78))</f>
        <v>1.7813049838053491E-3</v>
      </c>
      <c r="O78" s="390"/>
      <c r="P78" s="390"/>
      <c r="Q78" s="410" t="str">
        <f t="shared" si="7"/>
        <v/>
      </c>
      <c r="R78" s="284" t="s">
        <v>122</v>
      </c>
      <c r="S78" s="284" t="s">
        <v>122</v>
      </c>
      <c r="T78" s="284" t="s">
        <v>122</v>
      </c>
      <c r="U78" s="480"/>
      <c r="V78" s="491"/>
      <c r="W78" s="499"/>
      <c r="X78" s="363"/>
    </row>
    <row r="79" spans="1:24" ht="25.5" x14ac:dyDescent="0.2">
      <c r="C79" s="499"/>
      <c r="D79" s="486"/>
      <c r="E79" s="657"/>
      <c r="F79" s="495" t="s">
        <v>346</v>
      </c>
      <c r="G79" s="657" t="s">
        <v>347</v>
      </c>
      <c r="H79" s="499"/>
      <c r="I79" s="499"/>
      <c r="J79" s="486"/>
      <c r="K79" s="495"/>
      <c r="L79" s="387"/>
      <c r="M79" s="387"/>
      <c r="N79" s="408"/>
      <c r="O79" s="491"/>
      <c r="P79" s="491"/>
      <c r="Q79" s="410" t="str">
        <f t="shared" si="7"/>
        <v/>
      </c>
      <c r="R79" s="284"/>
      <c r="S79" s="284"/>
      <c r="T79" s="284"/>
      <c r="U79" s="480"/>
      <c r="V79" s="491"/>
      <c r="W79" s="499"/>
      <c r="X79" s="363"/>
    </row>
    <row r="80" spans="1:24" x14ac:dyDescent="0.2">
      <c r="C80" s="499"/>
      <c r="D80" s="486"/>
      <c r="E80" s="657"/>
      <c r="F80" s="495" t="s">
        <v>348</v>
      </c>
      <c r="G80" s="657"/>
      <c r="H80" s="499"/>
      <c r="I80" s="499"/>
      <c r="J80" s="486"/>
      <c r="K80" s="495"/>
      <c r="L80" s="387"/>
      <c r="M80" s="387"/>
      <c r="N80" s="408"/>
      <c r="O80" s="491"/>
      <c r="P80" s="491"/>
      <c r="Q80" s="410" t="str">
        <f t="shared" si="7"/>
        <v/>
      </c>
      <c r="R80" s="284"/>
      <c r="S80" s="284"/>
      <c r="T80" s="284"/>
      <c r="U80" s="480"/>
      <c r="V80" s="491"/>
      <c r="W80" s="499"/>
      <c r="X80" s="363"/>
    </row>
    <row r="81" spans="1:24" ht="30" customHeight="1" x14ac:dyDescent="0.2">
      <c r="C81" s="499"/>
      <c r="D81" s="486"/>
      <c r="E81" s="657" t="s">
        <v>349</v>
      </c>
      <c r="F81" s="495" t="s">
        <v>350</v>
      </c>
      <c r="G81" s="495" t="s">
        <v>351</v>
      </c>
      <c r="H81" s="499"/>
      <c r="I81" s="499"/>
      <c r="J81" s="486"/>
      <c r="K81" s="495"/>
      <c r="L81" s="387"/>
      <c r="M81" s="387"/>
      <c r="N81" s="408"/>
      <c r="O81" s="491"/>
      <c r="P81" s="491"/>
      <c r="Q81" s="410" t="str">
        <f t="shared" si="7"/>
        <v/>
      </c>
      <c r="R81" s="284"/>
      <c r="S81" s="284"/>
      <c r="T81" s="284"/>
      <c r="U81" s="480"/>
      <c r="V81" s="491"/>
      <c r="W81" s="499"/>
      <c r="X81" s="363"/>
    </row>
    <row r="82" spans="1:24" ht="38.25" x14ac:dyDescent="0.2">
      <c r="C82" s="499"/>
      <c r="D82" s="486"/>
      <c r="E82" s="657"/>
      <c r="F82" s="495" t="s">
        <v>352</v>
      </c>
      <c r="G82" s="495" t="s">
        <v>338</v>
      </c>
      <c r="H82" s="394" t="s">
        <v>353</v>
      </c>
      <c r="I82" s="499"/>
      <c r="J82" s="486"/>
      <c r="K82" s="495"/>
      <c r="L82" s="387"/>
      <c r="M82" s="387"/>
      <c r="N82" s="408"/>
      <c r="O82" s="491"/>
      <c r="P82" s="491"/>
      <c r="Q82" s="410" t="str">
        <f t="shared" si="7"/>
        <v/>
      </c>
      <c r="R82" s="284"/>
      <c r="S82" s="284"/>
      <c r="T82" s="284"/>
      <c r="U82" s="480"/>
      <c r="V82" s="491"/>
      <c r="W82" s="499"/>
      <c r="X82" s="363"/>
    </row>
    <row r="83" spans="1:24" ht="25.5" x14ac:dyDescent="0.2">
      <c r="C83" s="499"/>
      <c r="D83" s="486"/>
      <c r="E83" s="657"/>
      <c r="F83" s="495" t="s">
        <v>354</v>
      </c>
      <c r="G83" s="657" t="s">
        <v>351</v>
      </c>
      <c r="H83" s="499"/>
      <c r="I83" s="499"/>
      <c r="J83" s="486"/>
      <c r="K83" s="495"/>
      <c r="L83" s="387"/>
      <c r="M83" s="387"/>
      <c r="N83" s="408"/>
      <c r="O83" s="491"/>
      <c r="P83" s="491"/>
      <c r="Q83" s="410" t="str">
        <f t="shared" si="7"/>
        <v/>
      </c>
      <c r="R83" s="284"/>
      <c r="S83" s="284"/>
      <c r="T83" s="284"/>
      <c r="U83" s="480"/>
      <c r="V83" s="491"/>
      <c r="W83" s="499"/>
      <c r="X83" s="363"/>
    </row>
    <row r="84" spans="1:24" ht="38.25" x14ac:dyDescent="0.2">
      <c r="C84" s="499"/>
      <c r="D84" s="486"/>
      <c r="E84" s="657"/>
      <c r="F84" s="495" t="s">
        <v>355</v>
      </c>
      <c r="G84" s="657"/>
      <c r="H84" s="499"/>
      <c r="I84" s="499"/>
      <c r="J84" s="486"/>
      <c r="K84" s="495"/>
      <c r="L84" s="387"/>
      <c r="M84" s="387"/>
      <c r="N84" s="408"/>
      <c r="O84" s="491"/>
      <c r="P84" s="491"/>
      <c r="Q84" s="410" t="str">
        <f t="shared" si="7"/>
        <v/>
      </c>
      <c r="R84" s="284"/>
      <c r="S84" s="284"/>
      <c r="T84" s="284"/>
      <c r="U84" s="480"/>
      <c r="V84" s="491"/>
      <c r="W84" s="499"/>
      <c r="X84" s="363"/>
    </row>
    <row r="85" spans="1:24" ht="25.5" x14ac:dyDescent="0.2">
      <c r="C85" s="499"/>
      <c r="D85" s="486"/>
      <c r="E85" s="657"/>
      <c r="F85" s="495" t="s">
        <v>356</v>
      </c>
      <c r="G85" s="657"/>
      <c r="H85" s="499"/>
      <c r="I85" s="499"/>
      <c r="J85" s="486"/>
      <c r="K85" s="495"/>
      <c r="L85" s="387"/>
      <c r="M85" s="387"/>
      <c r="N85" s="408"/>
      <c r="O85" s="491"/>
      <c r="P85" s="491"/>
      <c r="Q85" s="410" t="str">
        <f t="shared" si="7"/>
        <v/>
      </c>
      <c r="R85" s="284"/>
      <c r="S85" s="284"/>
      <c r="T85" s="284"/>
      <c r="U85" s="480"/>
      <c r="V85" s="491"/>
      <c r="W85" s="499"/>
      <c r="X85" s="363"/>
    </row>
    <row r="86" spans="1:24" ht="25.5" x14ac:dyDescent="0.2">
      <c r="C86" s="499"/>
      <c r="D86" s="486"/>
      <c r="E86" s="657"/>
      <c r="F86" s="495" t="s">
        <v>357</v>
      </c>
      <c r="G86" s="657"/>
      <c r="H86" s="499"/>
      <c r="I86" s="499"/>
      <c r="J86" s="486"/>
      <c r="K86" s="495"/>
      <c r="L86" s="387"/>
      <c r="M86" s="387"/>
      <c r="N86" s="408"/>
      <c r="O86" s="491"/>
      <c r="P86" s="491"/>
      <c r="Q86" s="410" t="str">
        <f t="shared" si="7"/>
        <v/>
      </c>
      <c r="R86" s="284"/>
      <c r="S86" s="284"/>
      <c r="T86" s="284"/>
      <c r="U86" s="480"/>
      <c r="V86" s="491"/>
      <c r="W86" s="499"/>
      <c r="X86" s="363"/>
    </row>
    <row r="87" spans="1:24" ht="25.5" x14ac:dyDescent="0.2">
      <c r="C87" s="499"/>
      <c r="D87" s="486"/>
      <c r="E87" s="657"/>
      <c r="F87" s="495" t="s">
        <v>358</v>
      </c>
      <c r="G87" s="657"/>
      <c r="H87" s="499"/>
      <c r="I87" s="499"/>
      <c r="J87" s="486"/>
      <c r="K87" s="495"/>
      <c r="L87" s="387"/>
      <c r="M87" s="387"/>
      <c r="N87" s="408"/>
      <c r="O87" s="491"/>
      <c r="P87" s="491"/>
      <c r="Q87" s="410" t="str">
        <f t="shared" si="7"/>
        <v/>
      </c>
      <c r="R87" s="284"/>
      <c r="S87" s="284"/>
      <c r="T87" s="284"/>
      <c r="U87" s="480"/>
      <c r="V87" s="491"/>
      <c r="W87" s="499"/>
      <c r="X87" s="363"/>
    </row>
    <row r="88" spans="1:24" x14ac:dyDescent="0.2">
      <c r="C88" s="499"/>
      <c r="D88" s="486"/>
      <c r="E88" s="657"/>
      <c r="F88" s="495" t="s">
        <v>359</v>
      </c>
      <c r="G88" s="657"/>
      <c r="H88" s="499"/>
      <c r="I88" s="499"/>
      <c r="J88" s="486"/>
      <c r="K88" s="495"/>
      <c r="L88" s="387"/>
      <c r="M88" s="387"/>
      <c r="N88" s="408"/>
      <c r="O88" s="491"/>
      <c r="P88" s="491"/>
      <c r="Q88" s="410" t="str">
        <f t="shared" si="7"/>
        <v/>
      </c>
      <c r="R88" s="284"/>
      <c r="S88" s="284"/>
      <c r="T88" s="284"/>
      <c r="U88" s="480"/>
      <c r="V88" s="491"/>
      <c r="W88" s="499"/>
      <c r="X88" s="363"/>
    </row>
    <row r="89" spans="1:24" x14ac:dyDescent="0.2">
      <c r="C89" s="499"/>
      <c r="D89" s="486"/>
      <c r="E89" s="657"/>
      <c r="F89" s="495" t="s">
        <v>360</v>
      </c>
      <c r="G89" s="657"/>
      <c r="H89" s="499"/>
      <c r="I89" s="499"/>
      <c r="J89" s="486"/>
      <c r="K89" s="495"/>
      <c r="L89" s="387"/>
      <c r="M89" s="387"/>
      <c r="N89" s="408"/>
      <c r="O89" s="491"/>
      <c r="P89" s="491"/>
      <c r="Q89" s="410" t="str">
        <f t="shared" si="7"/>
        <v/>
      </c>
      <c r="R89" s="284"/>
      <c r="S89" s="284"/>
      <c r="T89" s="284"/>
      <c r="U89" s="480"/>
      <c r="V89" s="491"/>
      <c r="W89" s="499"/>
      <c r="X89" s="363"/>
    </row>
    <row r="90" spans="1:24" x14ac:dyDescent="0.2">
      <c r="C90" s="499"/>
      <c r="D90" s="486"/>
      <c r="E90" s="657"/>
      <c r="F90" s="495" t="s">
        <v>361</v>
      </c>
      <c r="G90" s="657"/>
      <c r="H90" s="499"/>
      <c r="I90" s="499"/>
      <c r="J90" s="486"/>
      <c r="K90" s="495"/>
      <c r="L90" s="387"/>
      <c r="M90" s="387"/>
      <c r="N90" s="408"/>
      <c r="O90" s="491"/>
      <c r="P90" s="491"/>
      <c r="Q90" s="410" t="str">
        <f t="shared" si="7"/>
        <v/>
      </c>
      <c r="R90" s="284"/>
      <c r="S90" s="284"/>
      <c r="T90" s="284"/>
      <c r="U90" s="480"/>
      <c r="V90" s="491"/>
      <c r="W90" s="499"/>
      <c r="X90" s="363"/>
    </row>
    <row r="91" spans="1:24" x14ac:dyDescent="0.2">
      <c r="C91" s="499"/>
      <c r="D91" s="486"/>
      <c r="E91" s="657"/>
      <c r="F91" s="495" t="s">
        <v>362</v>
      </c>
      <c r="G91" s="657"/>
      <c r="H91" s="499"/>
      <c r="I91" s="499"/>
      <c r="J91" s="486"/>
      <c r="K91" s="495"/>
      <c r="L91" s="387"/>
      <c r="M91" s="387"/>
      <c r="N91" s="408"/>
      <c r="O91" s="491"/>
      <c r="P91" s="491"/>
      <c r="Q91" s="410" t="str">
        <f t="shared" si="7"/>
        <v/>
      </c>
      <c r="R91" s="284"/>
      <c r="S91" s="284"/>
      <c r="T91" s="284"/>
      <c r="U91" s="480"/>
      <c r="V91" s="491"/>
      <c r="W91" s="499"/>
      <c r="X91" s="363"/>
    </row>
    <row r="92" spans="1:24" ht="30" customHeight="1" x14ac:dyDescent="0.2">
      <c r="A92" s="399">
        <v>6</v>
      </c>
      <c r="B92" s="499" t="s">
        <v>37</v>
      </c>
      <c r="C92" s="499" t="s">
        <v>306</v>
      </c>
      <c r="D92" s="495" t="str">
        <f>$J$92</f>
        <v>Model</v>
      </c>
      <c r="E92" s="657" t="s">
        <v>363</v>
      </c>
      <c r="F92" s="657" t="s">
        <v>364</v>
      </c>
      <c r="G92" s="657" t="s">
        <v>170</v>
      </c>
      <c r="H92" s="665" t="s">
        <v>37</v>
      </c>
      <c r="I92" s="665" t="s">
        <v>306</v>
      </c>
      <c r="J92" s="625" t="s">
        <v>22</v>
      </c>
      <c r="K92" s="495" t="s">
        <v>233</v>
      </c>
      <c r="L92" s="387">
        <f>IF(C92="Inhalation",IF(K92="Central Tendency",'Look-up Values'!$G$13/_xlfn.MAXIFS('Exposure Results'!$H$5:$H$44,'Exposure Results'!$A$5:$A$44,A92,'Exposure Results'!$D$5:$D$44,B92, 'Exposure Results'!$Q$5:$Q$44, D92),'Look-up Values'!$G$13/_xlfn.MAXIFS('Exposure Results'!$G$5:$G$44,'Exposure Results'!$A$5:$A$44,A92,'Exposure Results'!$D$5:$D$44,B92, 'Exposure Results'!$Q$5:$Q$44, D92)),11/_xlfn.MAXIFS(Dermal!$E$15:$E$24,Dermal!$A$15:$A$24, A92,Dermal!$D$15:$D$24, K92))</f>
        <v>4441.3150870406907</v>
      </c>
      <c r="M92" s="387">
        <f>IF(C92="Inhalation",IF(K92="Central Tendency",'Look-up Values'!$G$14/_xlfn.MAXIFS('Exposure Results'!$N$5:$N$44,'Exposure Results'!$A$5:$A$44,A92,'Exposure Results'!$D$5:$D$44,B92, 'Exposure Results'!$Q$5:$Q$44, D92),'Look-up Values'!$G$14/_xlfn.MAXIFS('Exposure Results'!$M$5:$M$44,'Exposure Results'!$A$5:$A$44,A92,'Exposure Results'!$D$5:$D$44,B92, 'Exposure Results'!$Q$5:$Q$44, D92)),11/(_xlfn.MAXIFS(Dermal!$E$15:$E$24,Dermal!$A$15:$A$24, A92,Dermal!$D$15:$D$24, K92)*Dermal!$P$15))</f>
        <v>6234.92310296097</v>
      </c>
      <c r="N92" s="408">
        <f>IF(C92="Inhalation",IF(K92="Central Tendency",'Look-up Values'!$K$12*_xlfn.MAXIFS('Exposure Results'!$L$5:$L$44,'Exposure Results'!$A$5:$A$44,A92,'Exposure Results'!$D$5:$D$44,B92, 'Exposure Results'!$Q$5:$Q$44, D92),'Look-up Values'!$K$12*_xlfn.MAXIFS('Exposure Results'!$K$5:$K$44,'Exposure Results'!$A$5:$A$44,A92,'Exposure Results'!$D$5:$D$44,B92, 'Exposure Results'!$Q$5:$Q$44, D92)), _xlfn.MAXIFS(Dermal!$E$124:$E$133,Dermal!$A$124:$A$133, A92, Dermal!$D$124:$D$133, K92))</f>
        <v>6.0850537500703602E-6</v>
      </c>
      <c r="O92" s="390"/>
      <c r="P92" s="390"/>
      <c r="Q92" s="410" t="str">
        <f t="shared" si="7"/>
        <v/>
      </c>
      <c r="R92" s="284"/>
      <c r="S92" s="284"/>
      <c r="T92" s="284"/>
      <c r="U92" s="480"/>
      <c r="V92" s="491"/>
      <c r="W92" s="499"/>
      <c r="X92" s="363"/>
    </row>
    <row r="93" spans="1:24" ht="25.5" x14ac:dyDescent="0.2">
      <c r="A93" s="399">
        <v>6</v>
      </c>
      <c r="B93" s="499" t="s">
        <v>37</v>
      </c>
      <c r="C93" s="499" t="s">
        <v>306</v>
      </c>
      <c r="D93" s="495" t="str">
        <f>$J$92</f>
        <v>Model</v>
      </c>
      <c r="E93" s="657"/>
      <c r="F93" s="657"/>
      <c r="G93" s="657"/>
      <c r="H93" s="665"/>
      <c r="I93" s="665"/>
      <c r="J93" s="625"/>
      <c r="K93" s="495" t="s">
        <v>38</v>
      </c>
      <c r="L93" s="387">
        <f>IF(C93="Inhalation",IF(K93="Central Tendency",'Look-up Values'!$G$13/_xlfn.MAXIFS('Exposure Results'!$H$5:$H$44,'Exposure Results'!$A$5:$A$44,A93,'Exposure Results'!$D$5:$D$44,B93, 'Exposure Results'!$Q$5:$Q$44, D93),'Look-up Values'!$G$13/_xlfn.MAXIFS('Exposure Results'!$G$5:$G$44,'Exposure Results'!$A$5:$A$44,A93,'Exposure Results'!$D$5:$D$44,B93, 'Exposure Results'!$Q$5:$Q$44, D93)),11/_xlfn.MAXIFS(Dermal!$E$15:$E$24,Dermal!$A$15:$A$24, A93,Dermal!$D$15:$D$24, K93))</f>
        <v>299.6352492220156</v>
      </c>
      <c r="M93" s="387">
        <f>IF(C93="Inhalation",IF(K93="Central Tendency",'Look-up Values'!$G$14/_xlfn.MAXIFS('Exposure Results'!$N$5:$N$44,'Exposure Results'!$A$5:$A$44,A93,'Exposure Results'!$D$5:$D$44,B93, 'Exposure Results'!$Q$5:$Q$44, D93),'Look-up Values'!$G$14/_xlfn.MAXIFS('Exposure Results'!$M$5:$M$44,'Exposure Results'!$A$5:$A$44,A93,'Exposure Results'!$D$5:$D$44,B93, 'Exposure Results'!$Q$5:$Q$44, D93)),11/(_xlfn.MAXIFS(Dermal!$E$15:$E$24,Dermal!$A$15:$A$24, A93,Dermal!$D$15:$D$24, K93)*Dermal!$P$15))</f>
        <v>420.64179217706038</v>
      </c>
      <c r="N93" s="408">
        <f>IF(C93="Inhalation",IF(K93="Central Tendency",'Look-up Values'!$K$12*_xlfn.MAXIFS('Exposure Results'!$L$5:$L$44,'Exposure Results'!$A$5:$A$44,A93,'Exposure Results'!$D$5:$D$44,B93, 'Exposure Results'!$Q$5:$Q$44, D93),'Look-up Values'!$K$12*_xlfn.MAXIFS('Exposure Results'!$K$5:$K$44,'Exposure Results'!$A$5:$A$44,A93,'Exposure Results'!$D$5:$D$44,B93, 'Exposure Results'!$Q$5:$Q$44, D93)), _xlfn.MAXIFS(Dermal!$E$124:$E$133,Dermal!$A$124:$A$133, A93, Dermal!$D$124:$D$133, K93))</f>
        <v>1.1638081621684141E-4</v>
      </c>
      <c r="O93" s="390"/>
      <c r="P93" s="390"/>
      <c r="Q93" s="410">
        <f t="shared" si="7"/>
        <v>1.1638081621684141E-5</v>
      </c>
      <c r="R93" s="284"/>
      <c r="S93" s="284"/>
      <c r="T93" s="388" t="str">
        <f t="shared" ref="T93" si="8">IF(C93="Inhalation", TEXT(IFERROR(N93/W93, ""), "0.00E+00")&amp;CHAR(10)&amp;" (APF "&amp;W93&amp;")", TEXT(IFERROR(N93/X93, ""), "0.00E+00")&amp;CHAR(10)&amp;" (PF "&amp;X93&amp;")")</f>
        <v>1.16E-05
 (APF 10)</v>
      </c>
      <c r="U93" s="480"/>
      <c r="V93" s="491"/>
      <c r="W93" s="499">
        <v>10</v>
      </c>
      <c r="X93" s="363"/>
    </row>
    <row r="94" spans="1:24" ht="15" customHeight="1" x14ac:dyDescent="0.2">
      <c r="A94" s="399" t="s">
        <v>215</v>
      </c>
      <c r="B94" s="489"/>
      <c r="C94" s="499" t="s">
        <v>17</v>
      </c>
      <c r="D94" s="497"/>
      <c r="E94" s="657"/>
      <c r="F94" s="657"/>
      <c r="G94" s="657"/>
      <c r="H94" s="665"/>
      <c r="I94" s="658" t="s">
        <v>17</v>
      </c>
      <c r="J94" s="660" t="s">
        <v>22</v>
      </c>
      <c r="K94" s="495" t="s">
        <v>233</v>
      </c>
      <c r="L94" s="387">
        <f>IF(C94="Inhalation",IF(K94="Central Tendency",'Look-up Values'!$G$13/_xlfn.MAXIFS('Exposure Results'!$H$5:$H$44,'Exposure Results'!$A$5:$A$44,A94,'Exposure Results'!$D$5:$D$44,B94, 'Exposure Results'!$Q$5:$Q$44, D94),'Look-up Values'!$G$13/_xlfn.MAXIFS('Exposure Results'!$G$5:$G$44,'Exposure Results'!$A$5:$A$44,A94,'Exposure Results'!$D$5:$D$44,B94, 'Exposure Results'!$Q$5:$Q$44, D94)),11/_xlfn.MAXIFS(Dermal!$E$15:$E$24,Dermal!$A$15:$A$24, A94,Dermal!$D$15:$D$24, K94))</f>
        <v>405.13788499608677</v>
      </c>
      <c r="M94" s="387">
        <f>IF(C94="Inhalation",IF(K94="Central Tendency",'Look-up Values'!$G$14/_xlfn.MAXIFS('Exposure Results'!$N$5:$N$44,'Exposure Results'!$A$5:$A$44,A94,'Exposure Results'!$D$5:$D$44,B94, 'Exposure Results'!$Q$5:$Q$44, D94),'Look-up Values'!$G$14/_xlfn.MAXIFS('Exposure Results'!$M$5:$M$44,'Exposure Results'!$A$5:$A$44,A94,'Exposure Results'!$D$5:$D$44,B94, 'Exposure Results'!$Q$5:$Q$44, D94)),11/(_xlfn.MAXIFS(Dermal!$E$15:$E$24,Dermal!$A$15:$A$24, A94,Dermal!$D$15:$D$24, K94)*Dermal!$P$15))</f>
        <v>568.75126162912181</v>
      </c>
      <c r="N94" s="408">
        <f>IF(C94="Inhalation",IF(K94="Central Tendency",'Look-up Values'!$K$12*_xlfn.MAXIFS('Exposure Results'!$L$5:$L$44,'Exposure Results'!$A$5:$A$44,A94,'Exposure Results'!$D$5:$D$44,B94, 'Exposure Results'!$Q$5:$Q$44, D94),'Look-up Values'!$K$12*_xlfn.MAXIFS('Exposure Results'!$K$5:$K$44,'Exposure Results'!$A$5:$A$44,A94,'Exposure Results'!$D$5:$D$44,B94, 'Exposure Results'!$Q$5:$Q$44, D94)), _xlfn.MAXIFS(Dermal!$E$124:$E$133,Dermal!$A$124:$A$133, A94, Dermal!$D$124:$D$133, K94))</f>
        <v>6.474528846153846E-5</v>
      </c>
      <c r="O94" s="390"/>
      <c r="P94" s="390"/>
      <c r="Q94" s="410" t="str">
        <f t="shared" si="7"/>
        <v/>
      </c>
      <c r="R94" s="284"/>
      <c r="S94" s="284"/>
      <c r="T94" s="284"/>
      <c r="U94" s="480"/>
      <c r="V94" s="491"/>
      <c r="W94" s="499"/>
      <c r="X94" s="363"/>
    </row>
    <row r="95" spans="1:24" ht="25.5" x14ac:dyDescent="0.2">
      <c r="A95" s="399" t="s">
        <v>215</v>
      </c>
      <c r="C95" s="499" t="s">
        <v>17</v>
      </c>
      <c r="D95" s="501"/>
      <c r="E95" s="657"/>
      <c r="F95" s="657"/>
      <c r="G95" s="657"/>
      <c r="H95" s="665"/>
      <c r="I95" s="659"/>
      <c r="J95" s="661"/>
      <c r="K95" s="495" t="s">
        <v>38</v>
      </c>
      <c r="L95" s="387">
        <f>IF(C95="Inhalation",IF(K95="Central Tendency",'Look-up Values'!$G$13/_xlfn.MAXIFS('Exposure Results'!$H$5:$H$44,'Exposure Results'!$A$5:$A$44,A95,'Exposure Results'!$D$5:$D$44,B95, 'Exposure Results'!$Q$5:$Q$44, D95),'Look-up Values'!$G$13/_xlfn.MAXIFS('Exposure Results'!$G$5:$G$44,'Exposure Results'!$A$5:$A$44,A95,'Exposure Results'!$D$5:$D$44,B95, 'Exposure Results'!$Q$5:$Q$44, D95)),11/_xlfn.MAXIFS(Dermal!$E$15:$E$24,Dermal!$A$15:$A$24, A95,Dermal!$D$15:$D$24, K95))</f>
        <v>135.04596166536226</v>
      </c>
      <c r="M95" s="387">
        <f>IF(C95="Inhalation",IF(K95="Central Tendency",'Look-up Values'!$G$14/_xlfn.MAXIFS('Exposure Results'!$N$5:$N$44,'Exposure Results'!$A$5:$A$44,A95,'Exposure Results'!$D$5:$D$44,B95, 'Exposure Results'!$Q$5:$Q$44, D95),'Look-up Values'!$G$14/_xlfn.MAXIFS('Exposure Results'!$M$5:$M$44,'Exposure Results'!$A$5:$A$44,A95,'Exposure Results'!$D$5:$D$44,B95, 'Exposure Results'!$Q$5:$Q$44, D95)),11/(_xlfn.MAXIFS(Dermal!$E$15:$E$24,Dermal!$A$15:$A$24, A95,Dermal!$D$15:$D$24, K95)*Dermal!$P$15))</f>
        <v>189.58375387637395</v>
      </c>
      <c r="N95" s="408">
        <f>IF(C95="Inhalation",IF(K95="Central Tendency",'Look-up Values'!$K$12*_xlfn.MAXIFS('Exposure Results'!$L$5:$L$44,'Exposure Results'!$A$5:$A$44,A95,'Exposure Results'!$D$5:$D$44,B95, 'Exposure Results'!$Q$5:$Q$44, D95),'Look-up Values'!$K$12*_xlfn.MAXIFS('Exposure Results'!$K$5:$K$44,'Exposure Results'!$A$5:$A$44,A95,'Exposure Results'!$D$5:$D$44,B95, 'Exposure Results'!$Q$5:$Q$44, D95)), _xlfn.MAXIFS(Dermal!$E$124:$E$133,Dermal!$A$124:$A$133, A95, Dermal!$D$124:$D$133, K95))</f>
        <v>2.5062692307692305E-4</v>
      </c>
      <c r="O95" s="491"/>
      <c r="P95" s="491"/>
      <c r="Q95" s="410">
        <f t="shared" si="7"/>
        <v>5.0125384615384611E-5</v>
      </c>
      <c r="R95" s="284"/>
      <c r="S95" s="284"/>
      <c r="T95" s="388" t="str">
        <f t="shared" ref="T95" si="9">IF(C95="Inhalation", TEXT(IFERROR(N95/W95, ""), "0.00E+00")&amp;CHAR(10)&amp;" (APF "&amp;W95&amp;")", TEXT(IFERROR(N95/X95, ""), "0.00E+00")&amp;CHAR(10)&amp;" (PF "&amp;X95&amp;")")</f>
        <v>5.01E-05
 (PF 5)</v>
      </c>
      <c r="U95" s="480"/>
      <c r="V95" s="491"/>
      <c r="W95" s="499"/>
      <c r="X95" s="499">
        <v>5</v>
      </c>
    </row>
  </sheetData>
  <sheetProtection algorithmName="SHA-512" hashValue="IrR1mjdGqIeR6qYR1nI5VyaItWyPiaejjXqj4rh/vyuaqqssVrjW6PcI67PtLKM9papbilrx9RHem/1qGSRpXA==" saltValue="GvfPmUyguXwyKQNcWU8JhA==" spinCount="100000" sheet="1" selectLockedCells="1" selectUnlockedCells="1"/>
  <mergeCells count="163">
    <mergeCell ref="I36:I37"/>
    <mergeCell ref="I42:I43"/>
    <mergeCell ref="I61:I62"/>
    <mergeCell ref="I69:I70"/>
    <mergeCell ref="I65:I66"/>
    <mergeCell ref="A1:A2"/>
    <mergeCell ref="B1:B2"/>
    <mergeCell ref="J5:J6"/>
    <mergeCell ref="C1:C2"/>
    <mergeCell ref="E11:E14"/>
    <mergeCell ref="F11:F14"/>
    <mergeCell ref="G11:G14"/>
    <mergeCell ref="H11:H14"/>
    <mergeCell ref="I11:I12"/>
    <mergeCell ref="J11:J12"/>
    <mergeCell ref="E7:E10"/>
    <mergeCell ref="F7:F10"/>
    <mergeCell ref="G7:G10"/>
    <mergeCell ref="H7:H10"/>
    <mergeCell ref="I7:I8"/>
    <mergeCell ref="J7:J8"/>
    <mergeCell ref="J13:J14"/>
    <mergeCell ref="J9:J10"/>
    <mergeCell ref="I5:I6"/>
    <mergeCell ref="I9:I10"/>
    <mergeCell ref="I13:I14"/>
    <mergeCell ref="K1:K2"/>
    <mergeCell ref="L1:N1"/>
    <mergeCell ref="O1:Q1"/>
    <mergeCell ref="U1:U2"/>
    <mergeCell ref="E3:E6"/>
    <mergeCell ref="F3:F6"/>
    <mergeCell ref="G3:G6"/>
    <mergeCell ref="H3:H6"/>
    <mergeCell ref="I3:I4"/>
    <mergeCell ref="J3:J4"/>
    <mergeCell ref="E1:E2"/>
    <mergeCell ref="F1:F2"/>
    <mergeCell ref="G1:G2"/>
    <mergeCell ref="H1:H2"/>
    <mergeCell ref="I1:I2"/>
    <mergeCell ref="J1:J2"/>
    <mergeCell ref="H21:H24"/>
    <mergeCell ref="I21:I22"/>
    <mergeCell ref="J21:J22"/>
    <mergeCell ref="E15:E20"/>
    <mergeCell ref="F15:F20"/>
    <mergeCell ref="G15:G20"/>
    <mergeCell ref="H15:H18"/>
    <mergeCell ref="I15:I16"/>
    <mergeCell ref="J15:J16"/>
    <mergeCell ref="H19:H20"/>
    <mergeCell ref="I19:I20"/>
    <mergeCell ref="J19:J20"/>
    <mergeCell ref="J23:J24"/>
    <mergeCell ref="J17:J18"/>
    <mergeCell ref="E21:E24"/>
    <mergeCell ref="F21:F24"/>
    <mergeCell ref="G21:G24"/>
    <mergeCell ref="I17:I18"/>
    <mergeCell ref="I23:I24"/>
    <mergeCell ref="E29:E32"/>
    <mergeCell ref="F29:F32"/>
    <mergeCell ref="G29:G32"/>
    <mergeCell ref="H29:H32"/>
    <mergeCell ref="I29:I30"/>
    <mergeCell ref="J29:J30"/>
    <mergeCell ref="E25:E28"/>
    <mergeCell ref="F25:F28"/>
    <mergeCell ref="G25:G28"/>
    <mergeCell ref="H25:H28"/>
    <mergeCell ref="I25:I26"/>
    <mergeCell ref="J25:J26"/>
    <mergeCell ref="J31:J32"/>
    <mergeCell ref="J27:J28"/>
    <mergeCell ref="I27:I28"/>
    <mergeCell ref="I31:I32"/>
    <mergeCell ref="H40:H43"/>
    <mergeCell ref="I40:I41"/>
    <mergeCell ref="J40:J41"/>
    <mergeCell ref="H44:H45"/>
    <mergeCell ref="I44:I45"/>
    <mergeCell ref="J44:J45"/>
    <mergeCell ref="E34:E58"/>
    <mergeCell ref="F34:F45"/>
    <mergeCell ref="G34:G39"/>
    <mergeCell ref="H34:H37"/>
    <mergeCell ref="I34:I35"/>
    <mergeCell ref="J34:J35"/>
    <mergeCell ref="H38:H39"/>
    <mergeCell ref="I38:I39"/>
    <mergeCell ref="J38:J39"/>
    <mergeCell ref="G40:G45"/>
    <mergeCell ref="J55:J56"/>
    <mergeCell ref="J49:J50"/>
    <mergeCell ref="J42:J43"/>
    <mergeCell ref="J36:J37"/>
    <mergeCell ref="F53:F58"/>
    <mergeCell ref="G53:G58"/>
    <mergeCell ref="H53:H56"/>
    <mergeCell ref="I53:I54"/>
    <mergeCell ref="J53:J54"/>
    <mergeCell ref="H57:H58"/>
    <mergeCell ref="I57:I58"/>
    <mergeCell ref="J57:J58"/>
    <mergeCell ref="F47:F52"/>
    <mergeCell ref="G47:G52"/>
    <mergeCell ref="H47:H50"/>
    <mergeCell ref="I47:I48"/>
    <mergeCell ref="J47:J48"/>
    <mergeCell ref="H51:H52"/>
    <mergeCell ref="I51:I52"/>
    <mergeCell ref="J51:J52"/>
    <mergeCell ref="I49:I50"/>
    <mergeCell ref="I55:I56"/>
    <mergeCell ref="J65:J66"/>
    <mergeCell ref="E67:E80"/>
    <mergeCell ref="F67:F72"/>
    <mergeCell ref="G67:G72"/>
    <mergeCell ref="H67:H70"/>
    <mergeCell ref="I67:I68"/>
    <mergeCell ref="J67:J68"/>
    <mergeCell ref="H71:H72"/>
    <mergeCell ref="I71:I72"/>
    <mergeCell ref="E59:E66"/>
    <mergeCell ref="F59:F66"/>
    <mergeCell ref="G59:G66"/>
    <mergeCell ref="H59:H62"/>
    <mergeCell ref="I59:I60"/>
    <mergeCell ref="J59:J60"/>
    <mergeCell ref="H63:H64"/>
    <mergeCell ref="I63:I64"/>
    <mergeCell ref="J63:J64"/>
    <mergeCell ref="H65:H66"/>
    <mergeCell ref="J75:J76"/>
    <mergeCell ref="J69:J70"/>
    <mergeCell ref="J61:J62"/>
    <mergeCell ref="J71:J72"/>
    <mergeCell ref="I75:I76"/>
    <mergeCell ref="D1:D2"/>
    <mergeCell ref="V1:V2"/>
    <mergeCell ref="W1:W2"/>
    <mergeCell ref="X1:X2"/>
    <mergeCell ref="R1:T1"/>
    <mergeCell ref="E81:E91"/>
    <mergeCell ref="G83:G91"/>
    <mergeCell ref="E92:E95"/>
    <mergeCell ref="F92:F95"/>
    <mergeCell ref="G92:G95"/>
    <mergeCell ref="I94:I95"/>
    <mergeCell ref="J94:J95"/>
    <mergeCell ref="F73:F78"/>
    <mergeCell ref="G73:G78"/>
    <mergeCell ref="H73:H76"/>
    <mergeCell ref="I73:I74"/>
    <mergeCell ref="J73:J74"/>
    <mergeCell ref="H77:H78"/>
    <mergeCell ref="I77:I78"/>
    <mergeCell ref="J77:J78"/>
    <mergeCell ref="H92:H95"/>
    <mergeCell ref="I92:I93"/>
    <mergeCell ref="J92:J93"/>
    <mergeCell ref="G79:G80"/>
  </mergeCells>
  <conditionalFormatting sqref="L3:M95">
    <cfRule type="containsBlanks" dxfId="6" priority="3" stopIfTrue="1">
      <formula>LEN(TRIM(L3))=0</formula>
    </cfRule>
    <cfRule type="cellIs" dxfId="5" priority="8" operator="lessThan">
      <formula>100</formula>
    </cfRule>
  </conditionalFormatting>
  <conditionalFormatting sqref="Q3:Q95 N3:N95">
    <cfRule type="cellIs" dxfId="4" priority="7" operator="greaterThan">
      <formula>0.0001</formula>
    </cfRule>
  </conditionalFormatting>
  <conditionalFormatting sqref="O3:P95">
    <cfRule type="containsBlanks" dxfId="3" priority="5" stopIfTrue="1">
      <formula>LEN(TRIM(O3))=0</formula>
    </cfRule>
    <cfRule type="cellIs" dxfId="2" priority="9" operator="lessThan">
      <formula>100</formula>
    </cfRule>
  </conditionalFormatting>
  <conditionalFormatting sqref="N3:N95">
    <cfRule type="containsBlanks" dxfId="1" priority="2" stopIfTrue="1">
      <formula>LEN(TRIM(N3))=0</formula>
    </cfRule>
  </conditionalFormatting>
  <conditionalFormatting sqref="Q3:Q95">
    <cfRule type="containsBlanks" dxfId="0" priority="1" stopIfTrue="1">
      <formula>LEN(TRIM(Q3))=0</formula>
    </cfRule>
  </conditionalFormatting>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B2:P31"/>
  <sheetViews>
    <sheetView topLeftCell="A4" zoomScale="80" zoomScaleNormal="80" workbookViewId="0">
      <selection activeCell="B4" sqref="B4"/>
    </sheetView>
  </sheetViews>
  <sheetFormatPr defaultColWidth="8.85546875" defaultRowHeight="15" x14ac:dyDescent="0.25"/>
  <cols>
    <col min="1" max="1" width="3.5703125" style="2" customWidth="1"/>
    <col min="2" max="2" width="18.140625" style="2" bestFit="1" customWidth="1"/>
    <col min="3" max="3" width="20.28515625" style="2" bestFit="1" customWidth="1"/>
    <col min="4" max="4" width="25.28515625" style="2" bestFit="1" customWidth="1"/>
    <col min="5" max="5" width="23.7109375" style="2" customWidth="1"/>
    <col min="6" max="6" width="8.85546875" style="219" customWidth="1"/>
    <col min="7" max="9" width="8.85546875" style="2"/>
    <col min="10" max="10" width="14.7109375" style="2" bestFit="1" customWidth="1"/>
    <col min="11" max="11" width="11.28515625" style="2" customWidth="1"/>
    <col min="12" max="12" width="6.7109375" style="2" customWidth="1"/>
    <col min="13" max="13" width="6.28515625" style="2" customWidth="1"/>
    <col min="14" max="14" width="18.5703125" style="2" bestFit="1" customWidth="1"/>
    <col min="15" max="15" width="18" style="2" bestFit="1" customWidth="1"/>
    <col min="16" max="16" width="20.85546875" style="2" bestFit="1" customWidth="1"/>
    <col min="17" max="18" width="6.5703125" style="2" customWidth="1"/>
    <col min="19" max="16384" width="8.85546875" style="2"/>
  </cols>
  <sheetData>
    <row r="2" spans="2:16" ht="18.75" x14ac:dyDescent="0.3">
      <c r="B2" s="1" t="s">
        <v>365</v>
      </c>
    </row>
    <row r="3" spans="2:16" ht="18.75" x14ac:dyDescent="0.3">
      <c r="B3" s="1"/>
    </row>
    <row r="4" spans="2:16" ht="30" customHeight="1" x14ac:dyDescent="0.25">
      <c r="B4" s="3"/>
      <c r="C4" s="4"/>
      <c r="D4" s="5"/>
      <c r="E4" s="5"/>
      <c r="F4" s="220"/>
      <c r="G4" s="681" t="s">
        <v>366</v>
      </c>
      <c r="H4" s="681"/>
      <c r="I4" s="681"/>
      <c r="J4" s="681"/>
      <c r="K4" s="6" t="s">
        <v>367</v>
      </c>
      <c r="N4" s="680" t="s">
        <v>368</v>
      </c>
      <c r="O4" s="681"/>
      <c r="P4" s="682"/>
    </row>
    <row r="5" spans="2:16" ht="30" x14ac:dyDescent="0.25">
      <c r="B5" s="7"/>
      <c r="C5" s="683" t="s">
        <v>181</v>
      </c>
      <c r="D5" s="683"/>
      <c r="E5" s="9" t="s">
        <v>182</v>
      </c>
      <c r="F5" s="221" t="s">
        <v>369</v>
      </c>
      <c r="G5" s="10" t="s">
        <v>370</v>
      </c>
      <c r="H5" s="10"/>
      <c r="I5" s="10"/>
      <c r="J5" s="10" t="s">
        <v>371</v>
      </c>
      <c r="K5" s="11" t="s">
        <v>372</v>
      </c>
      <c r="N5" s="26" t="s">
        <v>373</v>
      </c>
      <c r="O5" s="27" t="s">
        <v>374</v>
      </c>
      <c r="P5" s="25" t="s">
        <v>375</v>
      </c>
    </row>
    <row r="6" spans="2:16" ht="33" x14ac:dyDescent="0.25">
      <c r="B6" s="30" t="s">
        <v>376</v>
      </c>
      <c r="C6" s="31" t="s">
        <v>377</v>
      </c>
      <c r="D6" s="31" t="s">
        <v>378</v>
      </c>
      <c r="E6" s="32" t="s">
        <v>185</v>
      </c>
      <c r="F6" s="31" t="s">
        <v>49</v>
      </c>
      <c r="G6" s="33">
        <v>31</v>
      </c>
      <c r="H6" s="33"/>
      <c r="I6" s="33"/>
      <c r="J6" s="33">
        <v>100</v>
      </c>
      <c r="K6" s="34" t="s">
        <v>379</v>
      </c>
      <c r="N6" s="7"/>
      <c r="O6" s="8" t="s">
        <v>380</v>
      </c>
      <c r="P6" s="16">
        <f>0.000001</f>
        <v>9.9999999999999995E-7</v>
      </c>
    </row>
    <row r="7" spans="2:16" ht="60" x14ac:dyDescent="0.25">
      <c r="B7" s="677" t="s">
        <v>187</v>
      </c>
      <c r="C7" s="2" t="s">
        <v>188</v>
      </c>
      <c r="D7" s="28" t="s">
        <v>381</v>
      </c>
      <c r="E7" s="21" t="s">
        <v>185</v>
      </c>
      <c r="F7" s="28" t="s">
        <v>59</v>
      </c>
      <c r="G7" s="14">
        <v>150</v>
      </c>
      <c r="H7" s="14"/>
      <c r="I7" s="14"/>
      <c r="J7" s="14">
        <v>100</v>
      </c>
      <c r="K7" s="15" t="s">
        <v>379</v>
      </c>
      <c r="N7" s="7"/>
      <c r="O7" s="8" t="s">
        <v>382</v>
      </c>
      <c r="P7" s="16">
        <f>0.00001</f>
        <v>1.0000000000000001E-5</v>
      </c>
    </row>
    <row r="8" spans="2:16" ht="30" x14ac:dyDescent="0.25">
      <c r="B8" s="678"/>
      <c r="C8" s="28" t="s">
        <v>189</v>
      </c>
      <c r="D8" s="28" t="s">
        <v>383</v>
      </c>
      <c r="E8" s="13" t="s">
        <v>185</v>
      </c>
      <c r="F8" s="28" t="s">
        <v>61</v>
      </c>
      <c r="G8" s="503">
        <v>180</v>
      </c>
      <c r="H8" s="14"/>
      <c r="I8" s="14"/>
      <c r="J8" s="14">
        <v>100</v>
      </c>
      <c r="K8" s="15" t="s">
        <v>379</v>
      </c>
      <c r="N8" s="7" t="s">
        <v>384</v>
      </c>
      <c r="O8" s="8" t="s">
        <v>83</v>
      </c>
      <c r="P8" s="16">
        <f>0.0001</f>
        <v>1E-4</v>
      </c>
    </row>
    <row r="9" spans="2:16" ht="45" x14ac:dyDescent="0.25">
      <c r="B9" s="678"/>
      <c r="C9" s="28" t="s">
        <v>190</v>
      </c>
      <c r="D9" s="12" t="s">
        <v>385</v>
      </c>
      <c r="E9" s="13" t="s">
        <v>185</v>
      </c>
      <c r="F9" s="28" t="s">
        <v>63</v>
      </c>
      <c r="G9" s="14">
        <v>53</v>
      </c>
      <c r="H9" s="14"/>
      <c r="I9" s="14"/>
      <c r="J9" s="14">
        <v>100</v>
      </c>
      <c r="K9" s="15" t="s">
        <v>379</v>
      </c>
      <c r="N9" s="7"/>
      <c r="O9" s="8" t="s">
        <v>85</v>
      </c>
      <c r="P9" s="17"/>
    </row>
    <row r="10" spans="2:16" ht="33" x14ac:dyDescent="0.25">
      <c r="B10" s="678"/>
      <c r="C10" s="28" t="s">
        <v>377</v>
      </c>
      <c r="D10" s="28" t="s">
        <v>386</v>
      </c>
      <c r="E10" s="13" t="s">
        <v>185</v>
      </c>
      <c r="F10" s="28" t="s">
        <v>65</v>
      </c>
      <c r="G10" s="503">
        <f>G6</f>
        <v>31</v>
      </c>
      <c r="H10" s="14"/>
      <c r="I10" s="14"/>
      <c r="J10" s="14">
        <v>100</v>
      </c>
      <c r="K10" s="15" t="s">
        <v>379</v>
      </c>
      <c r="N10" s="7"/>
      <c r="O10" s="8" t="s">
        <v>387</v>
      </c>
      <c r="P10" s="17"/>
    </row>
    <row r="11" spans="2:16" ht="45" x14ac:dyDescent="0.25">
      <c r="B11" s="679"/>
      <c r="C11" s="29" t="s">
        <v>192</v>
      </c>
      <c r="D11" s="29" t="s">
        <v>388</v>
      </c>
      <c r="E11" s="22" t="s">
        <v>193</v>
      </c>
      <c r="F11" s="29" t="s">
        <v>67</v>
      </c>
      <c r="G11" s="23">
        <v>25</v>
      </c>
      <c r="H11" s="23"/>
      <c r="I11" s="23"/>
      <c r="J11" s="23">
        <v>100</v>
      </c>
      <c r="K11" s="24" t="s">
        <v>379</v>
      </c>
      <c r="N11" s="7"/>
      <c r="O11" s="8" t="s">
        <v>389</v>
      </c>
      <c r="P11" s="17"/>
    </row>
    <row r="12" spans="2:16" x14ac:dyDescent="0.25">
      <c r="B12" s="7" t="s">
        <v>390</v>
      </c>
      <c r="C12" s="8" t="s">
        <v>194</v>
      </c>
      <c r="D12" s="8"/>
      <c r="E12" s="8"/>
      <c r="F12" s="28" t="s">
        <v>76</v>
      </c>
      <c r="G12" s="218" t="s">
        <v>379</v>
      </c>
      <c r="H12" s="218"/>
      <c r="I12" s="218"/>
      <c r="J12" s="218" t="s">
        <v>379</v>
      </c>
      <c r="K12" s="222">
        <f>0.004</f>
        <v>4.0000000000000001E-3</v>
      </c>
      <c r="N12" s="18"/>
      <c r="O12" s="19" t="s">
        <v>391</v>
      </c>
      <c r="P12" s="20"/>
    </row>
    <row r="13" spans="2:16" ht="30" x14ac:dyDescent="0.25">
      <c r="B13" s="227" t="s">
        <v>376</v>
      </c>
      <c r="C13" s="228" t="s">
        <v>377</v>
      </c>
      <c r="D13" s="229" t="s">
        <v>392</v>
      </c>
      <c r="E13" s="230"/>
      <c r="F13" s="231" t="s">
        <v>51</v>
      </c>
      <c r="G13" s="232">
        <v>17</v>
      </c>
      <c r="H13" s="232"/>
      <c r="I13" s="232"/>
      <c r="J13" s="233">
        <v>100</v>
      </c>
      <c r="K13" s="234" t="s">
        <v>379</v>
      </c>
      <c r="N13" s="8"/>
      <c r="O13" s="8"/>
      <c r="P13" s="8"/>
    </row>
    <row r="14" spans="2:16" ht="30" x14ac:dyDescent="0.25">
      <c r="B14" s="223" t="s">
        <v>187</v>
      </c>
      <c r="C14" s="226" t="s">
        <v>377</v>
      </c>
      <c r="D14" s="224" t="s">
        <v>392</v>
      </c>
      <c r="E14" s="19"/>
      <c r="F14" s="225" t="s">
        <v>66</v>
      </c>
      <c r="G14" s="504">
        <f>G13</f>
        <v>17</v>
      </c>
      <c r="H14" s="235"/>
      <c r="I14" s="235"/>
      <c r="J14" s="236">
        <v>100</v>
      </c>
      <c r="K14" s="237" t="s">
        <v>379</v>
      </c>
      <c r="N14" s="8"/>
      <c r="O14" s="8"/>
      <c r="P14" s="8"/>
    </row>
    <row r="15" spans="2:16" x14ac:dyDescent="0.25">
      <c r="B15" s="8"/>
      <c r="C15" s="8"/>
      <c r="D15" s="8"/>
      <c r="E15" s="8"/>
      <c r="F15" s="28"/>
      <c r="G15" s="218"/>
      <c r="H15" s="218"/>
      <c r="I15" s="218"/>
      <c r="J15" s="218"/>
      <c r="K15" s="14"/>
      <c r="N15" s="8"/>
      <c r="O15" s="8"/>
      <c r="P15" s="8"/>
    </row>
    <row r="17" spans="2:5" x14ac:dyDescent="0.25">
      <c r="B17" s="47" t="s">
        <v>393</v>
      </c>
      <c r="C17"/>
      <c r="D17"/>
      <c r="E17"/>
    </row>
    <row r="18" spans="2:5" x14ac:dyDescent="0.25">
      <c r="B18">
        <v>9.9999999999999995E-7</v>
      </c>
      <c r="C18">
        <f t="shared" ref="C18:C23" si="0">10^-5</f>
        <v>1.0000000000000001E-5</v>
      </c>
      <c r="D18">
        <f t="shared" ref="D18:D23" si="1">10^-4</f>
        <v>1E-4</v>
      </c>
      <c r="E18">
        <v>7</v>
      </c>
    </row>
    <row r="19" spans="2:5" x14ac:dyDescent="0.25">
      <c r="B19">
        <v>9.9999999999999995E-7</v>
      </c>
      <c r="C19">
        <f t="shared" si="0"/>
        <v>1.0000000000000001E-5</v>
      </c>
      <c r="D19">
        <f t="shared" si="1"/>
        <v>1E-4</v>
      </c>
      <c r="E19">
        <v>5</v>
      </c>
    </row>
    <row r="20" spans="2:5" x14ac:dyDescent="0.25">
      <c r="B20">
        <v>9.9999999999999995E-7</v>
      </c>
      <c r="C20">
        <f t="shared" si="0"/>
        <v>1.0000000000000001E-5</v>
      </c>
      <c r="D20">
        <f t="shared" si="1"/>
        <v>1E-4</v>
      </c>
      <c r="E20">
        <v>4</v>
      </c>
    </row>
    <row r="21" spans="2:5" x14ac:dyDescent="0.25">
      <c r="B21">
        <v>9.9999999999999995E-7</v>
      </c>
      <c r="C21">
        <f t="shared" si="0"/>
        <v>1.0000000000000001E-5</v>
      </c>
      <c r="D21">
        <f t="shared" si="1"/>
        <v>1E-4</v>
      </c>
      <c r="E21">
        <v>3</v>
      </c>
    </row>
    <row r="22" spans="2:5" x14ac:dyDescent="0.25">
      <c r="B22">
        <v>9.9999999999999995E-7</v>
      </c>
      <c r="C22">
        <f t="shared" si="0"/>
        <v>1.0000000000000001E-5</v>
      </c>
      <c r="D22">
        <f t="shared" si="1"/>
        <v>1E-4</v>
      </c>
      <c r="E22">
        <v>2</v>
      </c>
    </row>
    <row r="23" spans="2:5" x14ac:dyDescent="0.25">
      <c r="B23" s="48">
        <v>9.9999999999999995E-7</v>
      </c>
      <c r="C23" s="48">
        <f t="shared" si="0"/>
        <v>1.0000000000000001E-5</v>
      </c>
      <c r="D23" s="48">
        <f t="shared" si="1"/>
        <v>1E-4</v>
      </c>
      <c r="E23" s="48">
        <v>0</v>
      </c>
    </row>
    <row r="25" spans="2:5" x14ac:dyDescent="0.25">
      <c r="B25" s="65"/>
      <c r="C25" s="69"/>
    </row>
    <row r="26" spans="2:5" x14ac:dyDescent="0.25">
      <c r="B26" s="65"/>
      <c r="C26" s="81"/>
    </row>
    <row r="27" spans="2:5" x14ac:dyDescent="0.25">
      <c r="B27" s="68"/>
      <c r="C27" s="82"/>
    </row>
    <row r="29" spans="2:5" x14ac:dyDescent="0.25">
      <c r="B29" s="65"/>
    </row>
    <row r="30" spans="2:5" x14ac:dyDescent="0.25">
      <c r="B30" s="65"/>
    </row>
    <row r="31" spans="2:5" x14ac:dyDescent="0.25">
      <c r="B31" s="68"/>
    </row>
  </sheetData>
  <mergeCells count="4">
    <mergeCell ref="B7:B11"/>
    <mergeCell ref="N4:P4"/>
    <mergeCell ref="G4:J4"/>
    <mergeCell ref="C5:D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E19"/>
  <sheetViews>
    <sheetView workbookViewId="0">
      <selection activeCell="B13" sqref="B13"/>
    </sheetView>
  </sheetViews>
  <sheetFormatPr defaultRowHeight="15" x14ac:dyDescent="0.25"/>
  <cols>
    <col min="2" max="2" width="39" customWidth="1"/>
  </cols>
  <sheetData>
    <row r="1" spans="1:5" x14ac:dyDescent="0.25">
      <c r="A1" s="35"/>
      <c r="B1" s="41" t="s">
        <v>21</v>
      </c>
      <c r="E1" t="s">
        <v>80</v>
      </c>
    </row>
    <row r="2" spans="1:5" x14ac:dyDescent="0.25">
      <c r="A2" s="35"/>
      <c r="B2" s="49" t="s">
        <v>124</v>
      </c>
      <c r="E2" t="s">
        <v>22</v>
      </c>
    </row>
    <row r="3" spans="1:5" x14ac:dyDescent="0.25">
      <c r="A3" s="35"/>
      <c r="B3" s="41" t="s">
        <v>128</v>
      </c>
    </row>
    <row r="4" spans="1:5" x14ac:dyDescent="0.25">
      <c r="A4" s="35"/>
      <c r="B4" s="41" t="s">
        <v>141</v>
      </c>
      <c r="E4" s="36"/>
    </row>
    <row r="5" spans="1:5" x14ac:dyDescent="0.25">
      <c r="A5" s="35"/>
      <c r="B5" s="41" t="s">
        <v>146</v>
      </c>
      <c r="E5" s="36"/>
    </row>
    <row r="6" spans="1:5" x14ac:dyDescent="0.25">
      <c r="A6" s="35"/>
      <c r="B6" s="41" t="s">
        <v>95</v>
      </c>
    </row>
    <row r="7" spans="1:5" x14ac:dyDescent="0.25">
      <c r="A7" s="35"/>
      <c r="B7" s="41" t="s">
        <v>166</v>
      </c>
    </row>
    <row r="8" spans="1:5" x14ac:dyDescent="0.25">
      <c r="A8" s="35"/>
      <c r="B8" s="45" t="s">
        <v>275</v>
      </c>
    </row>
    <row r="9" spans="1:5" x14ac:dyDescent="0.25">
      <c r="A9" s="35"/>
      <c r="B9" s="44" t="s">
        <v>170</v>
      </c>
    </row>
    <row r="10" spans="1:5" x14ac:dyDescent="0.25">
      <c r="A10" s="35"/>
      <c r="B10" s="44" t="s">
        <v>394</v>
      </c>
    </row>
    <row r="11" spans="1:5" x14ac:dyDescent="0.25">
      <c r="A11" s="35"/>
    </row>
    <row r="13" spans="1:5" x14ac:dyDescent="0.25">
      <c r="A13" s="35"/>
    </row>
    <row r="14" spans="1:5" x14ac:dyDescent="0.25">
      <c r="A14" s="35"/>
    </row>
    <row r="15" spans="1:5" x14ac:dyDescent="0.25">
      <c r="A15" s="35"/>
    </row>
    <row r="16" spans="1:5" x14ac:dyDescent="0.25">
      <c r="A16" s="35"/>
    </row>
    <row r="17" spans="1:1" x14ac:dyDescent="0.25">
      <c r="A17" s="35"/>
    </row>
    <row r="18" spans="1:1" x14ac:dyDescent="0.25">
      <c r="A18" s="35"/>
    </row>
    <row r="19" spans="1:1" x14ac:dyDescent="0.25">
      <c r="A19" s="35"/>
    </row>
  </sheetData>
  <sortState xmlns:xlrd2="http://schemas.microsoft.com/office/spreadsheetml/2017/richdata2" ref="A1:B24">
    <sortCondition ref="A1:A2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F5A92-BB64-4CFB-8A7A-835065CD9FEE}">
  <sheetPr codeName="Sheet3"/>
  <dimension ref="A1:B9"/>
  <sheetViews>
    <sheetView zoomScale="90" zoomScaleNormal="90" workbookViewId="0"/>
  </sheetViews>
  <sheetFormatPr defaultRowHeight="15" x14ac:dyDescent="0.25"/>
  <cols>
    <col min="1" max="1" width="18.85546875" style="436" bestFit="1" customWidth="1"/>
    <col min="2" max="2" width="173.5703125" style="436" bestFit="1" customWidth="1"/>
    <col min="3" max="16384" width="9.140625" style="436"/>
  </cols>
  <sheetData>
    <row r="1" spans="1:2" x14ac:dyDescent="0.25">
      <c r="A1" s="435" t="s">
        <v>4</v>
      </c>
    </row>
    <row r="3" spans="1:2" x14ac:dyDescent="0.25">
      <c r="A3" s="437" t="s">
        <v>5</v>
      </c>
      <c r="B3" s="437" t="s">
        <v>6</v>
      </c>
    </row>
    <row r="4" spans="1:2" x14ac:dyDescent="0.25">
      <c r="A4" s="438" t="s">
        <v>7</v>
      </c>
      <c r="B4" s="436" t="s">
        <v>8</v>
      </c>
    </row>
    <row r="5" spans="1:2" x14ac:dyDescent="0.25">
      <c r="A5" s="439" t="s">
        <v>9</v>
      </c>
      <c r="B5" s="436" t="s">
        <v>10</v>
      </c>
    </row>
    <row r="6" spans="1:2" x14ac:dyDescent="0.25">
      <c r="A6" s="439" t="s">
        <v>11</v>
      </c>
      <c r="B6" s="436" t="s">
        <v>12</v>
      </c>
    </row>
    <row r="7" spans="1:2" x14ac:dyDescent="0.25">
      <c r="A7" s="446" t="s">
        <v>13</v>
      </c>
      <c r="B7" s="436" t="s">
        <v>14</v>
      </c>
    </row>
    <row r="8" spans="1:2" x14ac:dyDescent="0.25">
      <c r="A8" s="438" t="s">
        <v>15</v>
      </c>
      <c r="B8" s="436" t="s">
        <v>16</v>
      </c>
    </row>
    <row r="9" spans="1:2" x14ac:dyDescent="0.25">
      <c r="A9" s="439" t="s">
        <v>17</v>
      </c>
      <c r="B9" s="436" t="s">
        <v>18</v>
      </c>
    </row>
  </sheetData>
  <hyperlinks>
    <hyperlink ref="A4" location="Dashboard!A1" display="Dashboard" xr:uid="{2C50F04C-89B6-4725-8253-6AF2D2DA721B}"/>
    <hyperlink ref="A5" location="'Spray Adhesives'!A1" display="Spray Adhesives" xr:uid="{FDCBF168-2146-48EA-946F-EC97FC8C4AE5}"/>
    <hyperlink ref="A6" location="'Dry Cleaning Model'!A1" display="Dry Cleaning Model" xr:uid="{F98C5841-2378-457B-B4FC-5FC02C4D755F}"/>
    <hyperlink ref="A9" location="Dermal!A1" display="Dermal" xr:uid="{BA82D5A3-3422-4EDD-B074-08BECE1B9BCA}"/>
    <hyperlink ref="A8" location="RR!A1" display="RR" xr:uid="{4129092C-4E90-49CC-A249-0239B2701EB2}"/>
    <hyperlink ref="A7" location="'Cancer Inhal Table'!A1" display="Cancer Inhal Table" xr:uid="{49E3A20C-B6BF-4CEE-961F-C1D28639682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B1:AO45"/>
  <sheetViews>
    <sheetView zoomScale="80" zoomScaleNormal="80" workbookViewId="0">
      <selection activeCell="D3" sqref="D3"/>
    </sheetView>
  </sheetViews>
  <sheetFormatPr defaultColWidth="8.85546875" defaultRowHeight="12.75" x14ac:dyDescent="0.25"/>
  <cols>
    <col min="1" max="1" width="2.7109375" style="100" customWidth="1"/>
    <col min="2" max="2" width="8.28515625" style="100" hidden="1" customWidth="1"/>
    <col min="3" max="3" width="28.85546875" style="100" customWidth="1"/>
    <col min="4" max="4" width="13.28515625" style="56" customWidth="1"/>
    <col min="5" max="8" width="15.7109375" style="100" customWidth="1"/>
    <col min="9" max="9" width="14.140625" style="100" customWidth="1"/>
    <col min="10" max="10" width="10.140625" style="100" customWidth="1"/>
    <col min="11" max="11" width="29" style="100" customWidth="1"/>
    <col min="12" max="12" width="12" style="100" customWidth="1"/>
    <col min="13" max="16" width="15.7109375" style="100" customWidth="1"/>
    <col min="17" max="17" width="14.42578125" style="100" customWidth="1"/>
    <col min="18" max="16384" width="8.85546875" style="100"/>
  </cols>
  <sheetData>
    <row r="1" spans="3:17" ht="13.5" thickBot="1" x14ac:dyDescent="0.3"/>
    <row r="2" spans="3:17" ht="15" customHeight="1" x14ac:dyDescent="0.25">
      <c r="C2" s="102" t="s">
        <v>19</v>
      </c>
      <c r="D2" s="122" t="s">
        <v>20</v>
      </c>
    </row>
    <row r="3" spans="3:17" x14ac:dyDescent="0.25">
      <c r="C3" s="451" t="s">
        <v>21</v>
      </c>
      <c r="D3" s="452" t="s">
        <v>22</v>
      </c>
      <c r="F3" s="522"/>
    </row>
    <row r="4" spans="3:17" s="105" customFormat="1" ht="13.5" x14ac:dyDescent="0.25">
      <c r="C4" s="106"/>
      <c r="D4" s="107"/>
      <c r="I4" s="106"/>
    </row>
    <row r="5" spans="3:17" s="72" customFormat="1" ht="13.5" customHeight="1" x14ac:dyDescent="0.25">
      <c r="C5" s="523" t="s">
        <v>23</v>
      </c>
      <c r="D5" s="523"/>
      <c r="E5" s="523"/>
      <c r="F5" s="523"/>
      <c r="G5" s="523"/>
      <c r="H5" s="473"/>
      <c r="J5" s="245"/>
      <c r="K5" s="245" t="s">
        <v>24</v>
      </c>
      <c r="L5" s="245"/>
      <c r="M5" s="245"/>
      <c r="P5" s="245"/>
    </row>
    <row r="6" spans="3:17" ht="12.75" customHeight="1" x14ac:dyDescent="0.25">
      <c r="P6" s="245"/>
    </row>
    <row r="7" spans="3:17" ht="13.5" customHeight="1" thickBot="1" x14ac:dyDescent="0.3">
      <c r="C7" s="105" t="s">
        <v>25</v>
      </c>
      <c r="K7" s="105" t="s">
        <v>25</v>
      </c>
    </row>
    <row r="8" spans="3:17" ht="38.25" x14ac:dyDescent="0.25">
      <c r="C8" s="524" t="s">
        <v>26</v>
      </c>
      <c r="D8" s="530" t="s">
        <v>27</v>
      </c>
      <c r="E8" s="476" t="s">
        <v>28</v>
      </c>
      <c r="F8" s="476" t="s">
        <v>29</v>
      </c>
      <c r="G8" s="476" t="s">
        <v>30</v>
      </c>
      <c r="H8" s="83" t="s">
        <v>31</v>
      </c>
      <c r="I8" s="476" t="s">
        <v>30</v>
      </c>
      <c r="K8" s="524" t="s">
        <v>26</v>
      </c>
      <c r="L8" s="530" t="s">
        <v>27</v>
      </c>
      <c r="M8" s="476" t="s">
        <v>28</v>
      </c>
      <c r="N8" s="476" t="s">
        <v>29</v>
      </c>
      <c r="O8" s="476" t="s">
        <v>30</v>
      </c>
      <c r="P8" s="83" t="s">
        <v>31</v>
      </c>
      <c r="Q8" s="476" t="s">
        <v>30</v>
      </c>
    </row>
    <row r="9" spans="3:17" ht="27" x14ac:dyDescent="0.25">
      <c r="C9" s="525"/>
      <c r="D9" s="531"/>
      <c r="E9" s="477" t="s">
        <v>32</v>
      </c>
      <c r="F9" s="477" t="s">
        <v>33</v>
      </c>
      <c r="G9" s="477" t="s">
        <v>34</v>
      </c>
      <c r="H9" s="84" t="s">
        <v>35</v>
      </c>
      <c r="I9" s="477" t="s">
        <v>36</v>
      </c>
      <c r="K9" s="525"/>
      <c r="L9" s="531"/>
      <c r="M9" s="477" t="s">
        <v>32</v>
      </c>
      <c r="N9" s="477" t="s">
        <v>33</v>
      </c>
      <c r="O9" s="477" t="s">
        <v>34</v>
      </c>
      <c r="P9" s="84" t="s">
        <v>35</v>
      </c>
      <c r="Q9" s="477" t="s">
        <v>36</v>
      </c>
    </row>
    <row r="10" spans="3:17" ht="20.25" customHeight="1" x14ac:dyDescent="0.25">
      <c r="C10" s="85" t="s">
        <v>37</v>
      </c>
      <c r="D10" s="532" t="s">
        <v>38</v>
      </c>
      <c r="E10" s="57">
        <f>SUMIFS('Exposure Results'!E:E, 'Exposure Results'!D:D, C10, 'Exposure Results'!B:B, $C$3, 'Exposure Results'!C:C, "&lt;&gt;Post-EC", 'Exposure Results'!Q:Q, $D$3)</f>
        <v>0</v>
      </c>
      <c r="F10" s="58">
        <f>SUMIFS('Exposure Results'!G:G, 'Exposure Results'!D:D, C10, 'Exposure Results'!B:B, $C$3, 'Exposure Results'!C:C, "&lt;&gt;Post-EC", 'Exposure Results'!Q:Q, $D$3)</f>
        <v>0</v>
      </c>
      <c r="G10" s="58">
        <f>SUMIFS('Exposure Results'!I:I, 'Exposure Results'!D:D, C10, 'Exposure Results'!B:B, $C$3, 'Exposure Results'!C:C, "&lt;&gt;Post-EC", 'Exposure Results'!Q:Q, $D$3)</f>
        <v>0</v>
      </c>
      <c r="H10" s="88">
        <f>SUMIFS('Exposure Results'!K:K, 'Exposure Results'!D:D, C10, 'Exposure Results'!B:B, $C$3, 'Exposure Results'!C:C, "&lt;&gt;Post-EC", 'Exposure Results'!Q:Q, $D$3)</f>
        <v>0</v>
      </c>
      <c r="I10" s="58">
        <f>SUMIFS('Exposure Results'!M:M, 'Exposure Results'!D:D, C10, 'Exposure Results'!B:B, $C$3, 'Exposure Results'!C:C, "&lt;&gt;Post-EC", 'Exposure Results'!Q:Q, $D$3)</f>
        <v>0</v>
      </c>
      <c r="K10" s="85" t="s">
        <v>37</v>
      </c>
      <c r="L10" s="532" t="s">
        <v>38</v>
      </c>
      <c r="M10" s="60">
        <f>SUMIFS('Exposure Results'!E:E, 'Exposure Results'!D:D, K10, 'Exposure Results'!B:B, $C$3, 'Exposure Results'!C:C, "Post-EC", 'Exposure Results'!Q:Q, $D$3)</f>
        <v>0</v>
      </c>
      <c r="N10" s="58">
        <f>SUMIFS('Exposure Results'!G:G, 'Exposure Results'!D:D, K10, 'Exposure Results'!B:B, $C$3, 'Exposure Results'!C:C, "Post-EC", 'Exposure Results'!Q:Q, $D$3)</f>
        <v>0</v>
      </c>
      <c r="O10" s="58">
        <f>SUMIFS('Exposure Results'!I:I, 'Exposure Results'!D:D, K10, 'Exposure Results'!B:B, $C$3, 'Exposure Results'!C:C, "Post-EC", 'Exposure Results'!Q:Q, $D$3)</f>
        <v>0</v>
      </c>
      <c r="P10" s="59">
        <f>SUMIFS('Exposure Results'!K:K, 'Exposure Results'!D:D, K10, 'Exposure Results'!B:B, $C$3, 'Exposure Results'!C:C, "Post-EC", 'Exposure Results'!Q:Q, $D$3)</f>
        <v>0</v>
      </c>
      <c r="Q10" s="58">
        <f>SUMIFS('Exposure Results'!M:M, 'Exposure Results'!D:D, K10, 'Exposure Results'!B:B, $C$3, 'Exposure Results'!C:C, "Post-EC", 'Exposure Results'!Q:Q, $D$3)</f>
        <v>0</v>
      </c>
    </row>
    <row r="11" spans="3:17" ht="20.25" customHeight="1" thickBot="1" x14ac:dyDescent="0.3">
      <c r="C11" s="86" t="s">
        <v>39</v>
      </c>
      <c r="D11" s="533"/>
      <c r="E11" s="61">
        <f>SUMIFS('Exposure Results'!E:E, 'Exposure Results'!D:D, C11, 'Exposure Results'!B:B, $C$3, 'Exposure Results'!C:C, "&lt;&gt;Post-EC", 'Exposure Results'!Q:Q, $D$3)</f>
        <v>0</v>
      </c>
      <c r="F11" s="61">
        <f>SUMIFS('Exposure Results'!G:G, 'Exposure Results'!D:D, C11, 'Exposure Results'!B:B, $C$3, 'Exposure Results'!C:C, "&lt;&gt;Post-EC", 'Exposure Results'!Q:Q, $D$3)</f>
        <v>0</v>
      </c>
      <c r="G11" s="61">
        <f>SUMIFS('Exposure Results'!I:I, 'Exposure Results'!D:D, C11, 'Exposure Results'!B:B, $C$3, 'Exposure Results'!C:C, "&lt;&gt;Post-EC", 'Exposure Results'!Q:Q, $D$3)</f>
        <v>0</v>
      </c>
      <c r="H11" s="62">
        <f>SUMIFS('Exposure Results'!K:K, 'Exposure Results'!D:D, C11, 'Exposure Results'!B:B, $C$3, 'Exposure Results'!C:C, "&lt;&gt;Post-EC", 'Exposure Results'!Q:Q, $D$3)</f>
        <v>0</v>
      </c>
      <c r="I11" s="61">
        <f>SUMIFS('Exposure Results'!M:M, 'Exposure Results'!D:D, C11, 'Exposure Results'!B:B, $C$3, 'Exposure Results'!C:C, "&lt;&gt;Post-EC", 'Exposure Results'!Q:Q, $D$3)</f>
        <v>0</v>
      </c>
      <c r="K11" s="86" t="s">
        <v>39</v>
      </c>
      <c r="L11" s="533"/>
      <c r="M11" s="61">
        <f>SUMIFS('Exposure Results'!E:E, 'Exposure Results'!D:D, K11, 'Exposure Results'!B:B, $C$3, 'Exposure Results'!C:C, "Post-EC", 'Exposure Results'!Q:Q, $D$3)</f>
        <v>0</v>
      </c>
      <c r="N11" s="61">
        <f>SUMIFS('Exposure Results'!G:G, 'Exposure Results'!D:D, K11, 'Exposure Results'!B:B, $C$3, 'Exposure Results'!C:C, "Post-EC", 'Exposure Results'!Q:Q, $D$3)</f>
        <v>0</v>
      </c>
      <c r="O11" s="61">
        <f>SUMIFS('Exposure Results'!I:I, 'Exposure Results'!D:D, K11, 'Exposure Results'!B:B, $C$3, 'Exposure Results'!C:C, "Post-EC", 'Exposure Results'!Q:Q, $D$3)</f>
        <v>0</v>
      </c>
      <c r="P11" s="62">
        <f>SUMIFS('Exposure Results'!K:K, 'Exposure Results'!D:D, K11, 'Exposure Results'!B:B, $C$3, 'Exposure Results'!C:C, "Post-EC", 'Exposure Results'!Q:Q, $D$3)</f>
        <v>0</v>
      </c>
      <c r="Q11" s="61">
        <f>SUMIFS('Exposure Results'!M:M, 'Exposure Results'!D:D, K11, 'Exposure Results'!B:B, $C$3, 'Exposure Results'!C:C, "Post-EC", 'Exposure Results'!Q:Q, $D$3)</f>
        <v>0</v>
      </c>
    </row>
    <row r="12" spans="3:17" ht="20.25" customHeight="1" x14ac:dyDescent="0.25">
      <c r="C12" s="87" t="s">
        <v>37</v>
      </c>
      <c r="D12" s="534" t="s">
        <v>40</v>
      </c>
      <c r="E12" s="77">
        <f>SUMIFS('Exposure Results'!F:F, 'Exposure Results'!D:D, C12, 'Exposure Results'!B:B, $C$3, 'Exposure Results'!C:C, "&lt;&gt;Post-EC", 'Exposure Results'!Q:Q, $D$3)</f>
        <v>0</v>
      </c>
      <c r="F12" s="77">
        <f>SUMIFS('Exposure Results'!H:H, 'Exposure Results'!D:D, C12, 'Exposure Results'!B:B, $C$3, 'Exposure Results'!C:C, "&lt;&gt;Post-EC", 'Exposure Results'!Q:Q, $D$3)</f>
        <v>0</v>
      </c>
      <c r="G12" s="77">
        <f>SUMIFS('Exposure Results'!J:J, 'Exposure Results'!D:D, C12, 'Exposure Results'!B:B, $C$3, 'Exposure Results'!C:C, "&lt;&gt;Post-EC", 'Exposure Results'!Q:Q, $D$3)</f>
        <v>0</v>
      </c>
      <c r="H12" s="378">
        <f>SUMIFS('Exposure Results'!L:L, 'Exposure Results'!D:D, C12, 'Exposure Results'!B:B, $C$3, 'Exposure Results'!C:C, "&lt;&gt;Post-EC", 'Exposure Results'!Q:Q, $D$3)</f>
        <v>0</v>
      </c>
      <c r="I12" s="77">
        <f>SUMIFS('Exposure Results'!N:N, 'Exposure Results'!D:D, C12, 'Exposure Results'!B:B, $C$3, 'Exposure Results'!C:C, "&lt;&gt;Post-EC", 'Exposure Results'!Q:Q, $D$3)</f>
        <v>0</v>
      </c>
      <c r="K12" s="87" t="s">
        <v>37</v>
      </c>
      <c r="L12" s="534" t="s">
        <v>40</v>
      </c>
      <c r="M12" s="77">
        <f>SUMIFS('Exposure Results'!F:F, 'Exposure Results'!D:D, K12, 'Exposure Results'!B:B, $C$3, 'Exposure Results'!C:C, "Post-EC", 'Exposure Results'!Q:Q, $D$3)</f>
        <v>0</v>
      </c>
      <c r="N12" s="77">
        <f>SUMIFS('Exposure Results'!H:H, 'Exposure Results'!D:D, K12, 'Exposure Results'!B:B, $C$3, 'Exposure Results'!C:C, "Post-EC", 'Exposure Results'!Q:Q, $D$3)</f>
        <v>0</v>
      </c>
      <c r="O12" s="77">
        <f>SUMIFS('Exposure Results'!J:J, 'Exposure Results'!D:D, K12, 'Exposure Results'!B:B, $C$3, 'Exposure Results'!C:C, "Post-EC", 'Exposure Results'!Q:Q, $D$3)</f>
        <v>0</v>
      </c>
      <c r="P12" s="78">
        <f>SUMIFS('Exposure Results'!L:L, 'Exposure Results'!D:D, K12, 'Exposure Results'!B:B, $C$3, 'Exposure Results'!C:C, "Post-EC", 'Exposure Results'!Q:Q, $D$3)</f>
        <v>0</v>
      </c>
      <c r="Q12" s="77">
        <f>SUMIFS('Exposure Results'!N:N, 'Exposure Results'!D:D, K12, 'Exposure Results'!B:B, $C$3, 'Exposure Results'!C:C, "Post-EC", 'Exposure Results'!Q:Q, $D$3)</f>
        <v>0</v>
      </c>
    </row>
    <row r="13" spans="3:17" ht="20.25" customHeight="1" thickBot="1" x14ac:dyDescent="0.3">
      <c r="C13" s="86" t="s">
        <v>39</v>
      </c>
      <c r="D13" s="535"/>
      <c r="E13" s="61">
        <f>SUMIFS('Exposure Results'!F:F, 'Exposure Results'!D:D, C13, 'Exposure Results'!B:B, $C$3, 'Exposure Results'!C:C, "&lt;&gt;Post-EC", 'Exposure Results'!Q:Q, $D$3)</f>
        <v>0</v>
      </c>
      <c r="F13" s="61">
        <f>SUMIFS('Exposure Results'!H:H, 'Exposure Results'!D:D, C13, 'Exposure Results'!B:B, $C$3, 'Exposure Results'!C:C, "&lt;&gt;Post-EC", 'Exposure Results'!Q:Q, $D$3)</f>
        <v>0</v>
      </c>
      <c r="G13" s="61">
        <f>SUMIFS('Exposure Results'!J:J, 'Exposure Results'!D:D, C13, 'Exposure Results'!B:B, $C$3, 'Exposure Results'!C:C, "&lt;&gt;Post-EC", 'Exposure Results'!Q:Q, $D$3)</f>
        <v>0</v>
      </c>
      <c r="H13" s="62">
        <f>SUMIFS('Exposure Results'!L:L, 'Exposure Results'!D:D, C11, 'Exposure Results'!B:B, $C$3, 'Exposure Results'!C:C, "&lt;&gt;Post-EC", 'Exposure Results'!Q:Q, $D$3)</f>
        <v>0</v>
      </c>
      <c r="I13" s="61">
        <f>SUMIFS('Exposure Results'!N:N, 'Exposure Results'!D:D, C13, 'Exposure Results'!B:B, $C$3, 'Exposure Results'!C:C, "&lt;&gt;Post-EC", 'Exposure Results'!Q:Q, $D$3)</f>
        <v>0</v>
      </c>
      <c r="K13" s="86" t="s">
        <v>39</v>
      </c>
      <c r="L13" s="535"/>
      <c r="M13" s="61">
        <f>SUMIFS('Exposure Results'!F:F, 'Exposure Results'!D:D, K13, 'Exposure Results'!B:B, $C$3, 'Exposure Results'!C:C, "Post-EC", 'Exposure Results'!Q:Q, $D$3)</f>
        <v>0</v>
      </c>
      <c r="N13" s="61">
        <f>SUMIFS('Exposure Results'!H:H, 'Exposure Results'!D:D, K13, 'Exposure Results'!B:B, $C$3, 'Exposure Results'!C:C, "Post-EC", 'Exposure Results'!Q:Q, $D$3)</f>
        <v>0</v>
      </c>
      <c r="O13" s="61">
        <f>SUMIFS('Exposure Results'!J:J, 'Exposure Results'!D:D, K13, 'Exposure Results'!B:B, $C$3, 'Exposure Results'!C:C, "Post-EC", 'Exposure Results'!Q:Q, $D$3)</f>
        <v>0</v>
      </c>
      <c r="P13" s="62">
        <f>SUMIFS('Exposure Results'!L:L, 'Exposure Results'!D:D, K13, 'Exposure Results'!B:B, $C$3, 'Exposure Results'!C:C, "Post-EC", 'Exposure Results'!Q:Q, $D$3)</f>
        <v>0</v>
      </c>
      <c r="Q13" s="61">
        <f>SUMIFS('Exposure Results'!N:N, 'Exposure Results'!D:D, K13, 'Exposure Results'!B:B, $C$3, 'Exposure Results'!C:C, "Post-EC", 'Exposure Results'!Q:Q, $D$3)</f>
        <v>0</v>
      </c>
    </row>
    <row r="14" spans="3:17" ht="20.25" customHeight="1" x14ac:dyDescent="0.25">
      <c r="C14" s="246"/>
      <c r="D14" s="67"/>
      <c r="E14" s="64"/>
      <c r="F14" s="64"/>
      <c r="G14" s="64"/>
      <c r="H14" s="64"/>
      <c r="I14" s="246"/>
      <c r="J14" s="67"/>
      <c r="K14" s="64"/>
      <c r="L14" s="64"/>
      <c r="M14" s="64"/>
      <c r="N14" s="64"/>
      <c r="P14" s="195"/>
    </row>
    <row r="15" spans="3:17" x14ac:dyDescent="0.25">
      <c r="G15" s="247" t="s">
        <v>41</v>
      </c>
      <c r="H15" s="449">
        <v>50</v>
      </c>
      <c r="O15" s="247" t="s">
        <v>41</v>
      </c>
      <c r="P15" s="450">
        <v>25</v>
      </c>
    </row>
    <row r="16" spans="3:17" ht="13.5" thickBot="1" x14ac:dyDescent="0.3">
      <c r="C16" s="111" t="s">
        <v>42</v>
      </c>
      <c r="J16" s="111"/>
      <c r="K16" s="111" t="s">
        <v>42</v>
      </c>
    </row>
    <row r="17" spans="2:41" s="112" customFormat="1" x14ac:dyDescent="0.25">
      <c r="B17" s="95"/>
      <c r="C17" s="528" t="s">
        <v>43</v>
      </c>
      <c r="D17" s="526" t="s">
        <v>44</v>
      </c>
      <c r="E17" s="526" t="s">
        <v>27</v>
      </c>
      <c r="F17" s="526" t="s">
        <v>45</v>
      </c>
      <c r="G17" s="526"/>
      <c r="H17" s="288" t="str">
        <f>"APF="&amp;H15</f>
        <v>APF=50</v>
      </c>
      <c r="I17" s="538" t="s">
        <v>46</v>
      </c>
      <c r="J17" s="100"/>
      <c r="K17" s="528" t="s">
        <v>43</v>
      </c>
      <c r="L17" s="526" t="s">
        <v>44</v>
      </c>
      <c r="M17" s="526" t="s">
        <v>27</v>
      </c>
      <c r="N17" s="526" t="s">
        <v>47</v>
      </c>
      <c r="O17" s="526"/>
      <c r="P17" s="288" t="str">
        <f>"APF="&amp;P15</f>
        <v>APF=25</v>
      </c>
      <c r="Q17" s="538" t="s">
        <v>46</v>
      </c>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row>
    <row r="18" spans="2:41" x14ac:dyDescent="0.25">
      <c r="B18" s="56" t="s">
        <v>48</v>
      </c>
      <c r="C18" s="529"/>
      <c r="D18" s="527"/>
      <c r="E18" s="527"/>
      <c r="F18" s="475" t="s">
        <v>37</v>
      </c>
      <c r="G18" s="475" t="s">
        <v>39</v>
      </c>
      <c r="H18" s="475" t="s">
        <v>37</v>
      </c>
      <c r="I18" s="539"/>
      <c r="J18" s="66"/>
      <c r="K18" s="529"/>
      <c r="L18" s="527"/>
      <c r="M18" s="527"/>
      <c r="N18" s="475" t="s">
        <v>37</v>
      </c>
      <c r="O18" s="475" t="s">
        <v>39</v>
      </c>
      <c r="P18" s="475" t="s">
        <v>37</v>
      </c>
      <c r="Q18" s="539"/>
    </row>
    <row r="19" spans="2:41" s="66" customFormat="1" ht="26.25" customHeight="1" x14ac:dyDescent="0.25">
      <c r="B19" s="70" t="s">
        <v>49</v>
      </c>
      <c r="C19" s="529" t="s">
        <v>50</v>
      </c>
      <c r="D19" s="537">
        <f>VLOOKUP($B19,'Look-up Values'!$F$6:$K$12,2)</f>
        <v>31</v>
      </c>
      <c r="E19" s="481" t="s">
        <v>40</v>
      </c>
      <c r="F19" s="196" t="str">
        <f>IFERROR(D19/F12, "")</f>
        <v/>
      </c>
      <c r="G19" s="60" t="str">
        <f>IFERROR(D19/F13, "N/A")</f>
        <v>N/A</v>
      </c>
      <c r="H19" s="196" t="str">
        <f>IFERROR(F19*$H$15, "-")</f>
        <v>-</v>
      </c>
      <c r="I19" s="540">
        <f>VLOOKUP($B19,'Look-up Values'!$F$6:$K$12,5)</f>
        <v>100</v>
      </c>
      <c r="K19" s="529" t="s">
        <v>50</v>
      </c>
      <c r="L19" s="537">
        <f>VLOOKUP(B19,'Look-up Values'!$F$6:$K$12,2)</f>
        <v>31</v>
      </c>
      <c r="M19" s="481" t="s">
        <v>40</v>
      </c>
      <c r="N19" s="196" t="str">
        <f>IFERROR(L19/N12, "")</f>
        <v/>
      </c>
      <c r="O19" s="60" t="str">
        <f>IFERROR(L19/N13, "")</f>
        <v/>
      </c>
      <c r="P19" s="60" t="str">
        <f>IFERROR(N19*$P$15, "")</f>
        <v/>
      </c>
      <c r="Q19" s="540">
        <f>VLOOKUP(B19,'Look-up Values'!$F$6:$K$12,5)</f>
        <v>100</v>
      </c>
    </row>
    <row r="20" spans="2:41" s="66" customFormat="1" ht="26.25" customHeight="1" x14ac:dyDescent="0.25">
      <c r="B20" s="70" t="s">
        <v>49</v>
      </c>
      <c r="C20" s="529"/>
      <c r="D20" s="537"/>
      <c r="E20" s="481" t="s">
        <v>38</v>
      </c>
      <c r="F20" s="196" t="str">
        <f>IFERROR(D19/F10, "")</f>
        <v/>
      </c>
      <c r="G20" s="60" t="str">
        <f>IFERROR(D19/F11, "N/A")</f>
        <v>N/A</v>
      </c>
      <c r="H20" s="196" t="str">
        <f>IFERROR(F20*$H$15, "-")</f>
        <v>-</v>
      </c>
      <c r="I20" s="540"/>
      <c r="K20" s="529"/>
      <c r="L20" s="537"/>
      <c r="M20" s="481" t="s">
        <v>38</v>
      </c>
      <c r="N20" s="196" t="str">
        <f>IFERROR(L19/N10, "")</f>
        <v/>
      </c>
      <c r="O20" s="60" t="str">
        <f>IFERROR(L19/N11, "")</f>
        <v/>
      </c>
      <c r="P20" s="60" t="str">
        <f>IFERROR(N20*$P$15, "")</f>
        <v/>
      </c>
      <c r="Q20" s="540"/>
    </row>
    <row r="21" spans="2:41" s="66" customFormat="1" ht="26.25" customHeight="1" x14ac:dyDescent="0.25">
      <c r="B21" s="70" t="s">
        <v>51</v>
      </c>
      <c r="C21" s="529" t="s">
        <v>52</v>
      </c>
      <c r="D21" s="537">
        <f>VLOOKUP($B21,'Look-up Values'!$F$6:$K$14,2)</f>
        <v>17</v>
      </c>
      <c r="E21" s="481" t="s">
        <v>40</v>
      </c>
      <c r="F21" s="196" t="str">
        <f>IFERROR(D21/F12, "")</f>
        <v/>
      </c>
      <c r="G21" s="200" t="str">
        <f>IFERROR(D21/F13, "N/A")</f>
        <v>N/A</v>
      </c>
      <c r="H21" s="196" t="str">
        <f>IFERROR(F21*$H$15, "-")</f>
        <v>-</v>
      </c>
      <c r="I21" s="540">
        <f>VLOOKUP($B21,'Look-up Values'!$F$6:$K$14,5)</f>
        <v>100</v>
      </c>
      <c r="K21" s="529" t="s">
        <v>52</v>
      </c>
      <c r="L21" s="537">
        <f>VLOOKUP($B21,'Look-up Values'!$F$6:$K$14,2)</f>
        <v>17</v>
      </c>
      <c r="M21" s="481" t="s">
        <v>40</v>
      </c>
      <c r="N21" s="196" t="str">
        <f>IFERROR(L21/N12, "")</f>
        <v/>
      </c>
      <c r="O21" s="60" t="str">
        <f>IFERROR(L21/N13, "")</f>
        <v/>
      </c>
      <c r="P21" s="60" t="str">
        <f>IFERROR(N21*$P$15, "")</f>
        <v/>
      </c>
      <c r="Q21" s="540">
        <f>VLOOKUP(B21,'Look-up Values'!$F$6:$K$14,5)</f>
        <v>100</v>
      </c>
    </row>
    <row r="22" spans="2:41" s="66" customFormat="1" ht="26.25" customHeight="1" thickBot="1" x14ac:dyDescent="0.3">
      <c r="B22" s="70" t="s">
        <v>51</v>
      </c>
      <c r="C22" s="541"/>
      <c r="D22" s="542"/>
      <c r="E22" s="479" t="s">
        <v>38</v>
      </c>
      <c r="F22" s="380" t="str">
        <f>IFERROR(D21/F10, "")</f>
        <v/>
      </c>
      <c r="G22" s="415" t="str">
        <f>IFERROR(D21/F11, "N/A")</f>
        <v>N/A</v>
      </c>
      <c r="H22" s="197" t="str">
        <f>IFERROR(F22*$H$15, "-")</f>
        <v>-</v>
      </c>
      <c r="I22" s="543"/>
      <c r="K22" s="541"/>
      <c r="L22" s="542"/>
      <c r="M22" s="479" t="s">
        <v>38</v>
      </c>
      <c r="N22" s="197" t="str">
        <f>IFERROR(L21/N10, "")</f>
        <v/>
      </c>
      <c r="O22" s="198" t="str">
        <f>IFERROR(L21/N11, "")</f>
        <v/>
      </c>
      <c r="P22" s="198" t="str">
        <f>IFERROR(N22*$P$15, "")</f>
        <v/>
      </c>
      <c r="Q22" s="543"/>
    </row>
    <row r="23" spans="2:41" s="66" customFormat="1" x14ac:dyDescent="0.25">
      <c r="B23" s="70"/>
      <c r="C23" s="113"/>
      <c r="D23" s="70"/>
      <c r="E23" s="114"/>
      <c r="G23" s="70"/>
      <c r="H23" s="70"/>
      <c r="I23" s="70"/>
      <c r="K23" s="113"/>
      <c r="L23" s="113"/>
      <c r="M23" s="70"/>
      <c r="N23" s="70"/>
      <c r="O23" s="63"/>
      <c r="Q23" s="70"/>
    </row>
    <row r="24" spans="2:41" s="66" customFormat="1" ht="30" customHeight="1" thickBot="1" x14ac:dyDescent="0.3">
      <c r="C24" s="111" t="s">
        <v>53</v>
      </c>
      <c r="D24" s="70"/>
      <c r="E24" s="115"/>
      <c r="F24" s="115"/>
      <c r="G24" s="70"/>
      <c r="H24" s="70"/>
      <c r="I24" s="70"/>
      <c r="K24" s="111" t="s">
        <v>53</v>
      </c>
      <c r="L24" s="111"/>
      <c r="N24" s="63"/>
      <c r="O24" s="63"/>
    </row>
    <row r="25" spans="2:41" s="66" customFormat="1" x14ac:dyDescent="0.25">
      <c r="C25" s="528" t="s">
        <v>43</v>
      </c>
      <c r="D25" s="526" t="s">
        <v>54</v>
      </c>
      <c r="E25" s="526" t="s">
        <v>27</v>
      </c>
      <c r="F25" s="526" t="s">
        <v>55</v>
      </c>
      <c r="G25" s="526"/>
      <c r="H25" s="474" t="str">
        <f>"APF="&amp;H15</f>
        <v>APF=50</v>
      </c>
      <c r="I25" s="538" t="s">
        <v>46</v>
      </c>
      <c r="K25" s="528" t="s">
        <v>43</v>
      </c>
      <c r="L25" s="526" t="s">
        <v>54</v>
      </c>
      <c r="M25" s="526" t="s">
        <v>27</v>
      </c>
      <c r="N25" s="526" t="s">
        <v>56</v>
      </c>
      <c r="O25" s="526"/>
      <c r="P25" s="288" t="str">
        <f>"APF="&amp;P15</f>
        <v>APF=25</v>
      </c>
      <c r="Q25" s="538" t="s">
        <v>46</v>
      </c>
    </row>
    <row r="26" spans="2:41" s="66" customFormat="1" x14ac:dyDescent="0.25">
      <c r="C26" s="529"/>
      <c r="D26" s="527"/>
      <c r="E26" s="527"/>
      <c r="F26" s="475" t="s">
        <v>37</v>
      </c>
      <c r="G26" s="475" t="s">
        <v>39</v>
      </c>
      <c r="H26" s="475" t="s">
        <v>37</v>
      </c>
      <c r="I26" s="539"/>
      <c r="K26" s="529"/>
      <c r="L26" s="527"/>
      <c r="M26" s="527"/>
      <c r="N26" s="475" t="s">
        <v>57</v>
      </c>
      <c r="O26" s="475" t="s">
        <v>58</v>
      </c>
      <c r="P26" s="475" t="s">
        <v>37</v>
      </c>
      <c r="Q26" s="539"/>
    </row>
    <row r="27" spans="2:41" s="66" customFormat="1" ht="26.25" customHeight="1" x14ac:dyDescent="0.25">
      <c r="B27" s="70" t="s">
        <v>59</v>
      </c>
      <c r="C27" s="536" t="s">
        <v>60</v>
      </c>
      <c r="D27" s="537">
        <f>VLOOKUP($B27,'Look-up Values'!$F$6:$K$12,2)</f>
        <v>150</v>
      </c>
      <c r="E27" s="481" t="s">
        <v>40</v>
      </c>
      <c r="F27" s="92" t="str">
        <f>IFERROR(D27/$G$12, "")</f>
        <v/>
      </c>
      <c r="G27" s="92" t="str">
        <f>IFERROR(D27/$G$13, "N/A")</f>
        <v>N/A</v>
      </c>
      <c r="H27" s="196" t="str">
        <f t="shared" ref="H27:H38" si="0">IFERROR(F27*$H$15, "-")</f>
        <v>-</v>
      </c>
      <c r="I27" s="540">
        <f>VLOOKUP($B27,'Look-up Values'!$F$6:$K$12,5)</f>
        <v>100</v>
      </c>
      <c r="K27" s="536" t="s">
        <v>60</v>
      </c>
      <c r="L27" s="537">
        <f>VLOOKUP($B27,'Look-up Values'!$F$6:$K$12,2)</f>
        <v>150</v>
      </c>
      <c r="M27" s="481" t="s">
        <v>40</v>
      </c>
      <c r="N27" s="92" t="str">
        <f>IFERROR(L27/$O$12, "")</f>
        <v/>
      </c>
      <c r="O27" s="92" t="str">
        <f>IFERROR(L27/$O$13, "")</f>
        <v/>
      </c>
      <c r="P27" s="60" t="str">
        <f t="shared" ref="P27:P38" si="1">IFERROR(N27*$P$15, "")</f>
        <v/>
      </c>
      <c r="Q27" s="540">
        <f>VLOOKUP($B27,'Look-up Values'!$F$6:$K$12,5)</f>
        <v>100</v>
      </c>
    </row>
    <row r="28" spans="2:41" s="66" customFormat="1" ht="26.25" customHeight="1" x14ac:dyDescent="0.25">
      <c r="B28" s="70" t="s">
        <v>59</v>
      </c>
      <c r="C28" s="536"/>
      <c r="D28" s="537"/>
      <c r="E28" s="481" t="s">
        <v>38</v>
      </c>
      <c r="F28" s="92" t="str">
        <f>IFERROR(D27/$G$10, "")</f>
        <v/>
      </c>
      <c r="G28" s="92" t="str">
        <f>IFERROR(D27/$G$11, "N/A")</f>
        <v>N/A</v>
      </c>
      <c r="H28" s="196" t="str">
        <f t="shared" si="0"/>
        <v>-</v>
      </c>
      <c r="I28" s="540"/>
      <c r="K28" s="536"/>
      <c r="L28" s="537"/>
      <c r="M28" s="481" t="s">
        <v>38</v>
      </c>
      <c r="N28" s="92" t="str">
        <f>IFERROR(L27/$O$10, "")</f>
        <v/>
      </c>
      <c r="O28" s="92" t="str">
        <f>IFERROR(L27/$O$11, "")</f>
        <v/>
      </c>
      <c r="P28" s="60" t="str">
        <f t="shared" si="1"/>
        <v/>
      </c>
      <c r="Q28" s="540"/>
    </row>
    <row r="29" spans="2:41" s="66" customFormat="1" ht="26.25" customHeight="1" x14ac:dyDescent="0.25">
      <c r="B29" s="70" t="s">
        <v>61</v>
      </c>
      <c r="C29" s="536" t="s">
        <v>62</v>
      </c>
      <c r="D29" s="537">
        <f>VLOOKUP($B29,'Look-up Values'!$F$6:$K$12,2)</f>
        <v>180</v>
      </c>
      <c r="E29" s="481" t="s">
        <v>40</v>
      </c>
      <c r="F29" s="92" t="str">
        <f>IFERROR(D29/$G$12, "")</f>
        <v/>
      </c>
      <c r="G29" s="92" t="str">
        <f>IFERROR(D29/$G$13, "N/A")</f>
        <v>N/A</v>
      </c>
      <c r="H29" s="196" t="str">
        <f t="shared" si="0"/>
        <v>-</v>
      </c>
      <c r="I29" s="540">
        <f>VLOOKUP($B29,'Look-up Values'!$F$6:$K$12,5)</f>
        <v>100</v>
      </c>
      <c r="J29" s="63"/>
      <c r="K29" s="536" t="s">
        <v>62</v>
      </c>
      <c r="L29" s="537">
        <f>VLOOKUP($B29,'Look-up Values'!$F$6:$K$12,2)</f>
        <v>180</v>
      </c>
      <c r="M29" s="481" t="s">
        <v>40</v>
      </c>
      <c r="N29" s="92" t="str">
        <f>IFERROR(L29/$O$12, "")</f>
        <v/>
      </c>
      <c r="O29" s="92" t="str">
        <f>IFERROR(L29/$O$13, "")</f>
        <v/>
      </c>
      <c r="P29" s="60" t="str">
        <f t="shared" si="1"/>
        <v/>
      </c>
      <c r="Q29" s="540">
        <f>VLOOKUP($B29,'Look-up Values'!$F$6:$K$12,5)</f>
        <v>100</v>
      </c>
    </row>
    <row r="30" spans="2:41" s="66" customFormat="1" ht="26.25" customHeight="1" x14ac:dyDescent="0.25">
      <c r="B30" s="70" t="s">
        <v>61</v>
      </c>
      <c r="C30" s="536"/>
      <c r="D30" s="537"/>
      <c r="E30" s="481" t="s">
        <v>38</v>
      </c>
      <c r="F30" s="92" t="str">
        <f>IFERROR(D29/$G$10, "")</f>
        <v/>
      </c>
      <c r="G30" s="92" t="str">
        <f>IFERROR(D29/$G$11, "N/A")</f>
        <v>N/A</v>
      </c>
      <c r="H30" s="196" t="str">
        <f>IFERROR(F30*$H$15, "-")</f>
        <v>-</v>
      </c>
      <c r="I30" s="540"/>
      <c r="J30" s="63"/>
      <c r="K30" s="536"/>
      <c r="L30" s="537"/>
      <c r="M30" s="481" t="s">
        <v>38</v>
      </c>
      <c r="N30" s="92" t="str">
        <f>IFERROR(L29/$O$10, "")</f>
        <v/>
      </c>
      <c r="O30" s="92" t="str">
        <f>IFERROR(L29/$O$11, "")</f>
        <v/>
      </c>
      <c r="P30" s="60" t="str">
        <f t="shared" si="1"/>
        <v/>
      </c>
      <c r="Q30" s="540"/>
    </row>
    <row r="31" spans="2:41" s="63" customFormat="1" ht="26.25" customHeight="1" x14ac:dyDescent="0.25">
      <c r="B31" s="70" t="s">
        <v>63</v>
      </c>
      <c r="C31" s="536" t="s">
        <v>64</v>
      </c>
      <c r="D31" s="537">
        <f>VLOOKUP($B31,'Look-up Values'!$F$6:$K$12,2)</f>
        <v>53</v>
      </c>
      <c r="E31" s="481" t="s">
        <v>40</v>
      </c>
      <c r="F31" s="92" t="str">
        <f>IFERROR(D31/$G$12, "")</f>
        <v/>
      </c>
      <c r="G31" s="92" t="str">
        <f>IFERROR(D31/$G$13, "N/A")</f>
        <v>N/A</v>
      </c>
      <c r="H31" s="196" t="str">
        <f t="shared" si="0"/>
        <v>-</v>
      </c>
      <c r="I31" s="540">
        <f>VLOOKUP($B31,'Look-up Values'!$F$6:$K$12,5)</f>
        <v>100</v>
      </c>
      <c r="J31" s="66"/>
      <c r="K31" s="536" t="s">
        <v>64</v>
      </c>
      <c r="L31" s="537">
        <f>VLOOKUP($B31,'Look-up Values'!$F$6:$K$12,2)</f>
        <v>53</v>
      </c>
      <c r="M31" s="481" t="s">
        <v>40</v>
      </c>
      <c r="N31" s="92" t="str">
        <f>IFERROR(L31/$O$12, "")</f>
        <v/>
      </c>
      <c r="O31" s="92" t="str">
        <f>IFERROR(L31/$O$13, "")</f>
        <v/>
      </c>
      <c r="P31" s="60" t="str">
        <f t="shared" si="1"/>
        <v/>
      </c>
      <c r="Q31" s="540">
        <f>VLOOKUP($B31,'Look-up Values'!$F$6:$K$12,5)</f>
        <v>100</v>
      </c>
    </row>
    <row r="32" spans="2:41" s="63" customFormat="1" ht="26.25" customHeight="1" x14ac:dyDescent="0.25">
      <c r="B32" s="70" t="s">
        <v>63</v>
      </c>
      <c r="C32" s="536"/>
      <c r="D32" s="537"/>
      <c r="E32" s="481" t="s">
        <v>38</v>
      </c>
      <c r="F32" s="92" t="str">
        <f>IFERROR(D31/$G$10, "")</f>
        <v/>
      </c>
      <c r="G32" s="92" t="str">
        <f>IFERROR(D31/$G$11, "N/A")</f>
        <v>N/A</v>
      </c>
      <c r="H32" s="196" t="str">
        <f t="shared" si="0"/>
        <v>-</v>
      </c>
      <c r="I32" s="540"/>
      <c r="J32" s="66"/>
      <c r="K32" s="536"/>
      <c r="L32" s="537"/>
      <c r="M32" s="481" t="s">
        <v>38</v>
      </c>
      <c r="N32" s="92" t="str">
        <f>IFERROR(L31/$O$10, "")</f>
        <v/>
      </c>
      <c r="O32" s="92" t="str">
        <f>IFERROR(L31/$O$11, "")</f>
        <v/>
      </c>
      <c r="P32" s="60" t="str">
        <f t="shared" si="1"/>
        <v/>
      </c>
      <c r="Q32" s="540"/>
    </row>
    <row r="33" spans="2:17" s="66" customFormat="1" ht="26.25" customHeight="1" x14ac:dyDescent="0.25">
      <c r="B33" s="70" t="s">
        <v>65</v>
      </c>
      <c r="C33" s="529" t="s">
        <v>50</v>
      </c>
      <c r="D33" s="537">
        <f>VLOOKUP($B33,'Look-up Values'!$F$6:$K$12,2)</f>
        <v>31</v>
      </c>
      <c r="E33" s="481" t="s">
        <v>40</v>
      </c>
      <c r="F33" s="92" t="str">
        <f>IFERROR(D33/$I$12, "")</f>
        <v/>
      </c>
      <c r="G33" s="92" t="str">
        <f>IFERROR(D33/$I$13, "N/A")</f>
        <v>N/A</v>
      </c>
      <c r="H33" s="196" t="str">
        <f t="shared" si="0"/>
        <v>-</v>
      </c>
      <c r="I33" s="540">
        <f>VLOOKUP($B33,'Look-up Values'!$F$6:$K$12,5)</f>
        <v>100</v>
      </c>
      <c r="K33" s="529" t="s">
        <v>50</v>
      </c>
      <c r="L33" s="537">
        <f>VLOOKUP($B33,'Look-up Values'!$F$6:$K$12,2)</f>
        <v>31</v>
      </c>
      <c r="M33" s="481" t="s">
        <v>40</v>
      </c>
      <c r="N33" s="92" t="str">
        <f>IFERROR(L33/$Q$12, "")</f>
        <v/>
      </c>
      <c r="O33" s="92" t="str">
        <f>IFERROR(L33/$Q$13, "")</f>
        <v/>
      </c>
      <c r="P33" s="60" t="str">
        <f t="shared" si="1"/>
        <v/>
      </c>
      <c r="Q33" s="540">
        <f>VLOOKUP($B33,'Look-up Values'!$F$6:$K$12,5)</f>
        <v>100</v>
      </c>
    </row>
    <row r="34" spans="2:17" s="66" customFormat="1" ht="26.25" customHeight="1" x14ac:dyDescent="0.25">
      <c r="B34" s="70" t="s">
        <v>65</v>
      </c>
      <c r="C34" s="529"/>
      <c r="D34" s="537"/>
      <c r="E34" s="481" t="s">
        <v>38</v>
      </c>
      <c r="F34" s="92" t="str">
        <f>IFERROR(D33/$I$10, "")</f>
        <v/>
      </c>
      <c r="G34" s="92" t="str">
        <f>IFERROR(D33/$I$11, "N/A")</f>
        <v>N/A</v>
      </c>
      <c r="H34" s="196" t="str">
        <f t="shared" si="0"/>
        <v>-</v>
      </c>
      <c r="I34" s="540"/>
      <c r="K34" s="529"/>
      <c r="L34" s="537"/>
      <c r="M34" s="481" t="s">
        <v>38</v>
      </c>
      <c r="N34" s="92" t="str">
        <f>IFERROR(L33/$Q$10, "")</f>
        <v/>
      </c>
      <c r="O34" s="92" t="str">
        <f>IFERROR(L33/$Q$11, "")</f>
        <v/>
      </c>
      <c r="P34" s="60" t="str">
        <f t="shared" si="1"/>
        <v/>
      </c>
      <c r="Q34" s="540"/>
    </row>
    <row r="35" spans="2:17" s="66" customFormat="1" ht="26.25" customHeight="1" x14ac:dyDescent="0.25">
      <c r="B35" s="70" t="s">
        <v>66</v>
      </c>
      <c r="C35" s="529" t="s">
        <v>52</v>
      </c>
      <c r="D35" s="537">
        <f>VLOOKUP($B35,'Look-up Values'!$F$6:$K$14,2)</f>
        <v>17</v>
      </c>
      <c r="E35" s="481" t="s">
        <v>40</v>
      </c>
      <c r="F35" s="92" t="str">
        <f>IFERROR(D35/$I$12, "")</f>
        <v/>
      </c>
      <c r="G35" s="92" t="str">
        <f>IFERROR(D35/$I$13, "N/A")</f>
        <v>N/A</v>
      </c>
      <c r="H35" s="196" t="str">
        <f t="shared" si="0"/>
        <v>-</v>
      </c>
      <c r="I35" s="540">
        <f>VLOOKUP($B35,'Look-up Values'!$F$6:$K$14,5)</f>
        <v>100</v>
      </c>
      <c r="K35" s="529" t="s">
        <v>52</v>
      </c>
      <c r="L35" s="537">
        <f>VLOOKUP($B35,'Look-up Values'!$F$6:$K$14,2)</f>
        <v>17</v>
      </c>
      <c r="M35" s="481" t="s">
        <v>40</v>
      </c>
      <c r="N35" s="92" t="str">
        <f>IFERROR(L35/$Q$12, "")</f>
        <v/>
      </c>
      <c r="O35" s="92" t="str">
        <f>IFERROR(L35/$Q$13, "")</f>
        <v/>
      </c>
      <c r="P35" s="60" t="str">
        <f>IFERROR(N35*$P$15, "")</f>
        <v/>
      </c>
      <c r="Q35" s="540">
        <f>VLOOKUP($B35,'Look-up Values'!$F$6:$K$14,5)</f>
        <v>100</v>
      </c>
    </row>
    <row r="36" spans="2:17" s="66" customFormat="1" ht="26.25" customHeight="1" x14ac:dyDescent="0.25">
      <c r="B36" s="70" t="s">
        <v>66</v>
      </c>
      <c r="C36" s="529"/>
      <c r="D36" s="537"/>
      <c r="E36" s="481" t="s">
        <v>38</v>
      </c>
      <c r="F36" s="92" t="str">
        <f>IFERROR(D35/$I$10, "")</f>
        <v/>
      </c>
      <c r="G36" s="92" t="str">
        <f>IFERROR(D35/$I$11, "N/A")</f>
        <v>N/A</v>
      </c>
      <c r="H36" s="196" t="str">
        <f t="shared" si="0"/>
        <v>-</v>
      </c>
      <c r="I36" s="540"/>
      <c r="K36" s="529"/>
      <c r="L36" s="537"/>
      <c r="M36" s="481" t="s">
        <v>38</v>
      </c>
      <c r="N36" s="94" t="str">
        <f>IFERROR(L35/$Q$10, "")</f>
        <v/>
      </c>
      <c r="O36" s="92" t="str">
        <f>IFERROR(L35/$Q$11, "")</f>
        <v/>
      </c>
      <c r="P36" s="60" t="str">
        <f t="shared" si="1"/>
        <v/>
      </c>
      <c r="Q36" s="540"/>
    </row>
    <row r="37" spans="2:17" s="66" customFormat="1" ht="26.25" customHeight="1" x14ac:dyDescent="0.25">
      <c r="B37" s="70" t="s">
        <v>67</v>
      </c>
      <c r="C37" s="536" t="s">
        <v>68</v>
      </c>
      <c r="D37" s="537">
        <f>VLOOKUP($B37,'Look-up Values'!$F$6:$K$12,2)</f>
        <v>25</v>
      </c>
      <c r="E37" s="481" t="s">
        <v>40</v>
      </c>
      <c r="F37" s="92" t="str">
        <f>IFERROR(D37/$G$12, "")</f>
        <v/>
      </c>
      <c r="G37" s="92" t="str">
        <f>IFERROR(D37/$G$13, "N/A")</f>
        <v>N/A</v>
      </c>
      <c r="H37" s="196" t="str">
        <f t="shared" si="0"/>
        <v>-</v>
      </c>
      <c r="I37" s="540">
        <f>VLOOKUP($B37,'Look-up Values'!$F$6:$K$12,5)</f>
        <v>100</v>
      </c>
      <c r="K37" s="536" t="s">
        <v>68</v>
      </c>
      <c r="L37" s="537">
        <f>VLOOKUP($B37,'Look-up Values'!$F$6:$K$12,2)</f>
        <v>25</v>
      </c>
      <c r="M37" s="481" t="s">
        <v>40</v>
      </c>
      <c r="N37" s="92" t="str">
        <f>IFERROR(L37/$O$12, "")</f>
        <v/>
      </c>
      <c r="O37" s="92" t="str">
        <f>IFERROR(L37/$O$13, "")</f>
        <v/>
      </c>
      <c r="P37" s="60" t="str">
        <f t="shared" si="1"/>
        <v/>
      </c>
      <c r="Q37" s="540">
        <f>VLOOKUP($B37,'Look-up Values'!$F$6:$K$12,5)</f>
        <v>100</v>
      </c>
    </row>
    <row r="38" spans="2:17" s="66" customFormat="1" ht="26.25" customHeight="1" thickBot="1" x14ac:dyDescent="0.3">
      <c r="B38" s="70" t="s">
        <v>67</v>
      </c>
      <c r="C38" s="550"/>
      <c r="D38" s="542"/>
      <c r="E38" s="479" t="s">
        <v>38</v>
      </c>
      <c r="F38" s="93" t="str">
        <f>IFERROR(D37/$G$10, "")</f>
        <v/>
      </c>
      <c r="G38" s="93" t="str">
        <f>IFERROR(D37/$G$11, "N/A")</f>
        <v>N/A</v>
      </c>
      <c r="H38" s="197" t="str">
        <f t="shared" si="0"/>
        <v>-</v>
      </c>
      <c r="I38" s="543"/>
      <c r="K38" s="550"/>
      <c r="L38" s="542"/>
      <c r="M38" s="479" t="s">
        <v>38</v>
      </c>
      <c r="N38" s="93" t="str">
        <f>IFERROR(L37/$O$10, "")</f>
        <v/>
      </c>
      <c r="O38" s="93" t="str">
        <f>IFERROR(L37/$O$11, "")</f>
        <v/>
      </c>
      <c r="P38" s="198" t="str">
        <f t="shared" si="1"/>
        <v/>
      </c>
      <c r="Q38" s="543"/>
    </row>
    <row r="39" spans="2:17" s="66" customFormat="1" x14ac:dyDescent="0.25">
      <c r="B39" s="100"/>
      <c r="C39" s="115"/>
      <c r="D39" s="113"/>
      <c r="E39" s="67"/>
      <c r="F39" s="115"/>
      <c r="G39" s="115"/>
      <c r="H39" s="115"/>
      <c r="I39" s="115"/>
      <c r="Q39" s="118"/>
    </row>
    <row r="40" spans="2:17" s="66" customFormat="1" x14ac:dyDescent="0.25">
      <c r="B40" s="72"/>
      <c r="C40" s="115"/>
      <c r="D40" s="113"/>
      <c r="E40" s="115"/>
      <c r="F40" s="115"/>
      <c r="G40" s="115"/>
      <c r="H40" s="115"/>
      <c r="I40" s="115"/>
      <c r="Q40" s="118"/>
    </row>
    <row r="41" spans="2:17" s="66" customFormat="1" ht="13.5" thickBot="1" x14ac:dyDescent="0.3">
      <c r="B41" s="72"/>
      <c r="C41" s="111" t="s">
        <v>69</v>
      </c>
      <c r="D41" s="113"/>
      <c r="E41" s="115"/>
      <c r="F41" s="115"/>
      <c r="G41" s="115"/>
      <c r="H41" s="115" t="s">
        <v>70</v>
      </c>
      <c r="I41" s="115"/>
      <c r="K41" s="111" t="s">
        <v>69</v>
      </c>
      <c r="L41" s="111"/>
      <c r="P41" s="115" t="s">
        <v>70</v>
      </c>
      <c r="Q41" s="118"/>
    </row>
    <row r="42" spans="2:17" s="66" customFormat="1" ht="15.75" x14ac:dyDescent="0.2">
      <c r="B42" s="72"/>
      <c r="C42" s="159" t="s">
        <v>71</v>
      </c>
      <c r="D42" s="73" t="s">
        <v>72</v>
      </c>
      <c r="E42" s="242" t="s">
        <v>27</v>
      </c>
      <c r="F42" s="242" t="s">
        <v>73</v>
      </c>
      <c r="G42" s="242" t="s">
        <v>74</v>
      </c>
      <c r="H42" s="242" t="s">
        <v>73</v>
      </c>
      <c r="I42" s="74" t="s">
        <v>75</v>
      </c>
      <c r="K42" s="159" t="s">
        <v>71</v>
      </c>
      <c r="L42" s="75" t="s">
        <v>72</v>
      </c>
      <c r="M42" s="242" t="s">
        <v>27</v>
      </c>
      <c r="N42" s="242" t="s">
        <v>73</v>
      </c>
      <c r="O42" s="160" t="s">
        <v>74</v>
      </c>
      <c r="P42" s="242" t="s">
        <v>73</v>
      </c>
      <c r="Q42" s="74" t="s">
        <v>75</v>
      </c>
    </row>
    <row r="43" spans="2:17" s="66" customFormat="1" ht="16.5" customHeight="1" x14ac:dyDescent="0.25">
      <c r="B43" s="76" t="s">
        <v>76</v>
      </c>
      <c r="C43" s="544" t="s">
        <v>77</v>
      </c>
      <c r="D43" s="548">
        <f>VLOOKUP($B43,'Look-up Values'!$F$6:$K$12,6)</f>
        <v>4.0000000000000001E-3</v>
      </c>
      <c r="E43" s="289" t="s">
        <v>38</v>
      </c>
      <c r="F43" s="79">
        <f>IFERROR(H10*D43, "")</f>
        <v>0</v>
      </c>
      <c r="G43" s="80">
        <f>IFERROR(H11*D43, "")</f>
        <v>0</v>
      </c>
      <c r="H43" s="79">
        <f>IFERROR(F43/$H$15, "-")</f>
        <v>0</v>
      </c>
      <c r="I43" s="546" t="s">
        <v>78</v>
      </c>
      <c r="K43" s="544" t="s">
        <v>77</v>
      </c>
      <c r="L43" s="551">
        <f>VLOOKUP($B43,'Look-up Values'!$F$6:$K$12,6)</f>
        <v>4.0000000000000001E-3</v>
      </c>
      <c r="M43" s="289" t="s">
        <v>38</v>
      </c>
      <c r="N43" s="79">
        <f>IFERROR(P10*L43, "")</f>
        <v>0</v>
      </c>
      <c r="O43" s="80">
        <f>IFERROR(P11*L43, "")</f>
        <v>0</v>
      </c>
      <c r="P43" s="79">
        <f>IFERROR(N43/$P$15, "-")</f>
        <v>0</v>
      </c>
      <c r="Q43" s="553">
        <v>43742</v>
      </c>
    </row>
    <row r="44" spans="2:17" s="66" customFormat="1" ht="13.5" thickBot="1" x14ac:dyDescent="0.3">
      <c r="B44" s="76" t="s">
        <v>76</v>
      </c>
      <c r="C44" s="545"/>
      <c r="D44" s="549"/>
      <c r="E44" s="482" t="s">
        <v>40</v>
      </c>
      <c r="F44" s="99">
        <f>IFERROR(H12*D43, "")</f>
        <v>0</v>
      </c>
      <c r="G44" s="99">
        <f>IFERROR(H13*D43, "")</f>
        <v>0</v>
      </c>
      <c r="H44" s="98">
        <f>IFERROR(F44/$H$15, "-")</f>
        <v>0</v>
      </c>
      <c r="I44" s="547"/>
      <c r="K44" s="545"/>
      <c r="L44" s="552"/>
      <c r="M44" s="482" t="s">
        <v>40</v>
      </c>
      <c r="N44" s="98">
        <f>IFERROR(P12*L43, "")</f>
        <v>0</v>
      </c>
      <c r="O44" s="98">
        <f>IFERROR(P13*L43, "")</f>
        <v>0</v>
      </c>
      <c r="P44" s="98">
        <f>IFERROR(N44/$P$15, "-")</f>
        <v>0</v>
      </c>
      <c r="Q44" s="554"/>
    </row>
    <row r="45" spans="2:17" s="66" customFormat="1" x14ac:dyDescent="0.25">
      <c r="C45" s="115"/>
      <c r="D45" s="119"/>
      <c r="E45" s="114"/>
      <c r="F45" s="120"/>
      <c r="G45" s="120"/>
      <c r="H45" s="120"/>
      <c r="I45" s="115"/>
      <c r="J45" s="119"/>
      <c r="K45" s="114"/>
      <c r="L45" s="120"/>
      <c r="M45" s="120"/>
    </row>
  </sheetData>
  <sheetProtection algorithmName="SHA-512" hashValue="ASncaWQqfr6AKSaRKaUL+xeV5OauTXoMhM9HvdTqcNGBG2uvPI4RysrKqdGkXwFD/KHvem8Fr0QXSJhXERLwag==" saltValue="Z/yKU696pfNtl5A5+SptOQ==" spinCount="100000" sheet="1" autoFilter="0"/>
  <mergeCells count="83">
    <mergeCell ref="N25:O25"/>
    <mergeCell ref="N17:O17"/>
    <mergeCell ref="M17:M18"/>
    <mergeCell ref="L17:L18"/>
    <mergeCell ref="K21:K22"/>
    <mergeCell ref="L21:L22"/>
    <mergeCell ref="M25:M26"/>
    <mergeCell ref="K25:K26"/>
    <mergeCell ref="L25:L26"/>
    <mergeCell ref="Q43:Q44"/>
    <mergeCell ref="Q31:Q32"/>
    <mergeCell ref="Q33:Q34"/>
    <mergeCell ref="Q37:Q38"/>
    <mergeCell ref="Q17:Q18"/>
    <mergeCell ref="Q35:Q36"/>
    <mergeCell ref="Q19:Q20"/>
    <mergeCell ref="Q27:Q28"/>
    <mergeCell ref="Q29:Q30"/>
    <mergeCell ref="Q25:Q26"/>
    <mergeCell ref="Q21:Q22"/>
    <mergeCell ref="L35:L36"/>
    <mergeCell ref="K29:K30"/>
    <mergeCell ref="K31:K32"/>
    <mergeCell ref="K33:K34"/>
    <mergeCell ref="K43:K44"/>
    <mergeCell ref="K37:K38"/>
    <mergeCell ref="K35:K36"/>
    <mergeCell ref="L43:L44"/>
    <mergeCell ref="L33:L34"/>
    <mergeCell ref="L37:L38"/>
    <mergeCell ref="L29:L30"/>
    <mergeCell ref="L31:L32"/>
    <mergeCell ref="C43:C44"/>
    <mergeCell ref="I43:I44"/>
    <mergeCell ref="D43:D44"/>
    <mergeCell ref="C31:C32"/>
    <mergeCell ref="C33:C34"/>
    <mergeCell ref="C37:C38"/>
    <mergeCell ref="I31:I32"/>
    <mergeCell ref="I33:I34"/>
    <mergeCell ref="I37:I38"/>
    <mergeCell ref="D31:D32"/>
    <mergeCell ref="D33:D34"/>
    <mergeCell ref="D37:D38"/>
    <mergeCell ref="C35:C36"/>
    <mergeCell ref="D35:D36"/>
    <mergeCell ref="I35:I36"/>
    <mergeCell ref="C29:C30"/>
    <mergeCell ref="I27:I28"/>
    <mergeCell ref="I29:I30"/>
    <mergeCell ref="C19:C20"/>
    <mergeCell ref="C25:C26"/>
    <mergeCell ref="C21:C22"/>
    <mergeCell ref="D27:D28"/>
    <mergeCell ref="D29:D30"/>
    <mergeCell ref="D25:D26"/>
    <mergeCell ref="I19:I20"/>
    <mergeCell ref="F25:G25"/>
    <mergeCell ref="E25:E26"/>
    <mergeCell ref="I25:I26"/>
    <mergeCell ref="D21:D22"/>
    <mergeCell ref="I21:I22"/>
    <mergeCell ref="L8:L9"/>
    <mergeCell ref="L10:L11"/>
    <mergeCell ref="L12:L13"/>
    <mergeCell ref="K8:K9"/>
    <mergeCell ref="C27:C28"/>
    <mergeCell ref="K19:K20"/>
    <mergeCell ref="D19:D20"/>
    <mergeCell ref="L27:L28"/>
    <mergeCell ref="I17:I18"/>
    <mergeCell ref="F17:G17"/>
    <mergeCell ref="E17:E18"/>
    <mergeCell ref="K27:K28"/>
    <mergeCell ref="K17:K18"/>
    <mergeCell ref="L19:L20"/>
    <mergeCell ref="C5:G5"/>
    <mergeCell ref="C8:C9"/>
    <mergeCell ref="D17:D18"/>
    <mergeCell ref="C17:C18"/>
    <mergeCell ref="D8:D9"/>
    <mergeCell ref="D10:D11"/>
    <mergeCell ref="D12:D13"/>
  </mergeCells>
  <conditionalFormatting sqref="E10 F43 F27:F36 F38 N28 N30 N32:N36 N38">
    <cfRule type="cellIs" dxfId="182" priority="121" operator="greaterThanOrEqual">
      <formula>0.1</formula>
    </cfRule>
    <cfRule type="cellIs" dxfId="181" priority="122" operator="lessThan">
      <formula>0.1</formula>
    </cfRule>
  </conditionalFormatting>
  <conditionalFormatting sqref="F43">
    <cfRule type="cellIs" dxfId="180" priority="123" operator="lessThanOrEqual">
      <formula>#REF!</formula>
    </cfRule>
    <cfRule type="cellIs" dxfId="179" priority="124" operator="greaterThan">
      <formula>#REF!</formula>
    </cfRule>
  </conditionalFormatting>
  <conditionalFormatting sqref="M10">
    <cfRule type="cellIs" dxfId="178" priority="95" operator="greaterThanOrEqual">
      <formula>0.1</formula>
    </cfRule>
    <cfRule type="cellIs" dxfId="177" priority="96" operator="lessThan">
      <formula>0.1</formula>
    </cfRule>
  </conditionalFormatting>
  <conditionalFormatting sqref="N28 N30 N32 N34 N38">
    <cfRule type="expression" dxfId="176" priority="93">
      <formula>N28&lt;#REF!</formula>
    </cfRule>
    <cfRule type="expression" dxfId="175" priority="94">
      <formula>N28&gt;=#REF!</formula>
    </cfRule>
  </conditionalFormatting>
  <conditionalFormatting sqref="N43:N44">
    <cfRule type="cellIs" dxfId="174" priority="87" operator="greaterThanOrEqual">
      <formula>0.1</formula>
    </cfRule>
    <cfRule type="cellIs" dxfId="173" priority="88" operator="lessThan">
      <formula>0.1</formula>
    </cfRule>
  </conditionalFormatting>
  <conditionalFormatting sqref="N43:N44">
    <cfRule type="cellIs" dxfId="172" priority="89" operator="lessThanOrEqual">
      <formula>#REF!</formula>
    </cfRule>
    <cfRule type="cellIs" dxfId="171" priority="90" operator="greaterThan">
      <formula>#REF!</formula>
    </cfRule>
  </conditionalFormatting>
  <conditionalFormatting sqref="E10:H14 K14:N14 M10:P13">
    <cfRule type="cellIs" dxfId="170" priority="86" operator="equal">
      <formula>0</formula>
    </cfRule>
  </conditionalFormatting>
  <conditionalFormatting sqref="F37">
    <cfRule type="cellIs" dxfId="169" priority="81" operator="greaterThanOrEqual">
      <formula>0.1</formula>
    </cfRule>
    <cfRule type="cellIs" dxfId="168" priority="82" operator="lessThan">
      <formula>0.1</formula>
    </cfRule>
  </conditionalFormatting>
  <conditionalFormatting sqref="H19 N19:P19 H21:H22 N21:P22">
    <cfRule type="cellIs" dxfId="167" priority="75" operator="lessThan">
      <formula>$I$19</formula>
    </cfRule>
  </conditionalFormatting>
  <conditionalFormatting sqref="N27:P36">
    <cfRule type="cellIs" dxfId="166" priority="141" operator="greaterThan">
      <formula>$Q$27</formula>
    </cfRule>
    <cfRule type="cellIs" dxfId="165" priority="142" operator="lessThan">
      <formula>$Q$27</formula>
    </cfRule>
  </conditionalFormatting>
  <conditionalFormatting sqref="N29">
    <cfRule type="cellIs" dxfId="164" priority="69" operator="greaterThanOrEqual">
      <formula>0.1</formula>
    </cfRule>
    <cfRule type="cellIs" dxfId="163" priority="70" operator="lessThan">
      <formula>0.1</formula>
    </cfRule>
  </conditionalFormatting>
  <conditionalFormatting sqref="N29:O29 N33:O33 N35:O36 F27:H36">
    <cfRule type="cellIs" dxfId="162" priority="67" operator="lessThan">
      <formula>$I$27</formula>
    </cfRule>
    <cfRule type="cellIs" dxfId="161" priority="68" operator="greaterThan">
      <formula>$I$27</formula>
    </cfRule>
  </conditionalFormatting>
  <conditionalFormatting sqref="N31">
    <cfRule type="cellIs" dxfId="160" priority="65" operator="greaterThanOrEqual">
      <formula>0.1</formula>
    </cfRule>
    <cfRule type="cellIs" dxfId="159" priority="66" operator="lessThan">
      <formula>0.1</formula>
    </cfRule>
  </conditionalFormatting>
  <conditionalFormatting sqref="N31:O31">
    <cfRule type="cellIs" dxfId="158" priority="63" operator="lessThan">
      <formula>$I$27</formula>
    </cfRule>
    <cfRule type="cellIs" dxfId="157" priority="64" operator="greaterThan">
      <formula>$I$27</formula>
    </cfRule>
  </conditionalFormatting>
  <conditionalFormatting sqref="N37">
    <cfRule type="cellIs" dxfId="156" priority="57" operator="greaterThanOrEqual">
      <formula>0.1</formula>
    </cfRule>
    <cfRule type="cellIs" dxfId="155" priority="58" operator="lessThan">
      <formula>0.1</formula>
    </cfRule>
  </conditionalFormatting>
  <conditionalFormatting sqref="H43:H44">
    <cfRule type="cellIs" dxfId="154" priority="40" operator="greaterThanOrEqual">
      <formula>0.1</formula>
    </cfRule>
    <cfRule type="cellIs" dxfId="153" priority="41" operator="lessThan">
      <formula>0.1</formula>
    </cfRule>
  </conditionalFormatting>
  <conditionalFormatting sqref="H43:H44">
    <cfRule type="cellIs" dxfId="152" priority="42" operator="lessThanOrEqual">
      <formula>#REF!</formula>
    </cfRule>
    <cfRule type="cellIs" dxfId="151" priority="43" operator="greaterThan">
      <formula>#REF!</formula>
    </cfRule>
  </conditionalFormatting>
  <conditionalFormatting sqref="N36">
    <cfRule type="expression" dxfId="150" priority="12">
      <formula>N36&lt;#REF!</formula>
    </cfRule>
    <cfRule type="expression" dxfId="149" priority="13">
      <formula>N36&gt;=#REF!</formula>
    </cfRule>
  </conditionalFormatting>
  <conditionalFormatting sqref="F37:H38">
    <cfRule type="cellIs" dxfId="148" priority="129" operator="lessThan">
      <formula>$I$37</formula>
    </cfRule>
    <cfRule type="cellIs" dxfId="147" priority="130" operator="greaterThan">
      <formula>$I$37</formula>
    </cfRule>
  </conditionalFormatting>
  <conditionalFormatting sqref="F19:H22">
    <cfRule type="cellIs" dxfId="146" priority="133" operator="greaterThan">
      <formula>$I$19</formula>
    </cfRule>
    <cfRule type="cellIs" dxfId="145" priority="134" operator="lessThan">
      <formula>$I$19</formula>
    </cfRule>
  </conditionalFormatting>
  <conditionalFormatting sqref="N19:O22 H19:H22 H27:H38">
    <cfRule type="cellIs" dxfId="144" priority="135" operator="greaterThan">
      <formula>$Q$19</formula>
    </cfRule>
  </conditionalFormatting>
  <conditionalFormatting sqref="N37:O38">
    <cfRule type="cellIs" dxfId="143" priority="143" operator="greaterThan">
      <formula>$Q$37</formula>
    </cfRule>
    <cfRule type="cellIs" dxfId="142" priority="144" operator="lessThan">
      <formula>$Q$37</formula>
    </cfRule>
  </conditionalFormatting>
  <conditionalFormatting sqref="N19:P22 H19:H22 H27:H38">
    <cfRule type="cellIs" dxfId="141" priority="136" operator="lessThan">
      <formula>$Q$19</formula>
    </cfRule>
  </conditionalFormatting>
  <conditionalFormatting sqref="P27:P38">
    <cfRule type="cellIs" dxfId="140" priority="7" operator="lessThan">
      <formula>$I$19</formula>
    </cfRule>
  </conditionalFormatting>
  <conditionalFormatting sqref="P27:P38">
    <cfRule type="cellIs" dxfId="139" priority="8" operator="lessThan">
      <formula>$Q$19</formula>
    </cfRule>
  </conditionalFormatting>
  <conditionalFormatting sqref="P43:P44">
    <cfRule type="cellIs" dxfId="138" priority="3" operator="greaterThanOrEqual">
      <formula>0.1</formula>
    </cfRule>
    <cfRule type="cellIs" dxfId="137" priority="4" operator="lessThan">
      <formula>0.1</formula>
    </cfRule>
  </conditionalFormatting>
  <conditionalFormatting sqref="P43:P44">
    <cfRule type="cellIs" dxfId="136" priority="5" operator="lessThanOrEqual">
      <formula>#REF!</formula>
    </cfRule>
    <cfRule type="cellIs" dxfId="135" priority="6" operator="greaterThan">
      <formula>#REF!</formula>
    </cfRule>
  </conditionalFormatting>
  <conditionalFormatting sqref="N27:P39">
    <cfRule type="cellIs" dxfId="134" priority="73" operator="greaterThanOrEqual">
      <formula>0.1</formula>
    </cfRule>
    <cfRule type="cellIs" dxfId="133" priority="74" operator="lessThan">
      <formula>0.1</formula>
    </cfRule>
  </conditionalFormatting>
  <conditionalFormatting sqref="I10:I13">
    <cfRule type="cellIs" dxfId="132" priority="2" operator="equal">
      <formula>0</formula>
    </cfRule>
  </conditionalFormatting>
  <conditionalFormatting sqref="Q10:Q13">
    <cfRule type="cellIs" dxfId="131" priority="1" operator="equal">
      <formula>0</formula>
    </cfRule>
  </conditionalFormatting>
  <dataValidations count="1">
    <dataValidation allowBlank="1" showErrorMessage="1" sqref="E8:E9 K13:K14 C8 C11 C13:C14 E11 K8 K11 I14 M11:M13 M8:M9" xr:uid="{00000000-0002-0000-00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ListValues!$E$1:$E$2</xm:f>
          </x14:formula1>
          <xm:sqref>D3</xm:sqref>
        </x14:dataValidation>
        <x14:dataValidation type="list" allowBlank="1" showInputMessage="1" showErrorMessage="1" xr:uid="{FDDB31F1-B0C1-4628-A5AD-CA537F8AB9DF}">
          <x14:formula1>
            <xm:f>RR!$K$8:$M$8</xm:f>
          </x14:formula1>
          <xm:sqref>P15 H15</xm:sqref>
        </x14:dataValidation>
        <x14:dataValidation type="list" allowBlank="1" showInputMessage="1" showErrorMessage="1" xr:uid="{00000000-0002-0000-0000-000003000000}">
          <x14:formula1>
            <xm:f>ListValues!$B$1:$B$10</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2D050"/>
  </sheetPr>
  <dimension ref="B1:AS93"/>
  <sheetViews>
    <sheetView zoomScale="80" zoomScaleNormal="80" workbookViewId="0">
      <selection activeCell="C1" sqref="C1"/>
    </sheetView>
  </sheetViews>
  <sheetFormatPr defaultColWidth="8.85546875" defaultRowHeight="12.75" x14ac:dyDescent="0.25"/>
  <cols>
    <col min="1" max="1" width="2.7109375" style="100" customWidth="1"/>
    <col min="2" max="2" width="17" style="100" hidden="1" customWidth="1"/>
    <col min="3" max="3" width="39.7109375" style="100" customWidth="1"/>
    <col min="4" max="4" width="14.140625" style="56" customWidth="1"/>
    <col min="5" max="7" width="13.7109375" style="100" customWidth="1"/>
    <col min="8" max="8" width="13.7109375" style="101" customWidth="1"/>
    <col min="9" max="10" width="13.85546875" style="101" customWidth="1"/>
    <col min="11" max="11" width="11.7109375" style="100" customWidth="1"/>
    <col min="12" max="12" width="7.28515625" style="100" customWidth="1"/>
    <col min="13" max="13" width="30.7109375" style="100" customWidth="1"/>
    <col min="14" max="14" width="14.7109375" style="100" customWidth="1"/>
    <col min="15" max="15" width="17.85546875" style="100" customWidth="1"/>
    <col min="16" max="20" width="13.85546875" style="100" customWidth="1"/>
    <col min="21" max="21" width="12.42578125" style="100" customWidth="1"/>
    <col min="22" max="16384" width="8.85546875" style="100"/>
  </cols>
  <sheetData>
    <row r="1" spans="3:19" ht="13.5" thickBot="1" x14ac:dyDescent="0.3"/>
    <row r="2" spans="3:19" x14ac:dyDescent="0.25">
      <c r="C2" s="144" t="s">
        <v>19</v>
      </c>
      <c r="D2" s="122" t="s">
        <v>20</v>
      </c>
      <c r="E2" s="138"/>
    </row>
    <row r="3" spans="3:19" ht="13.5" thickBot="1" x14ac:dyDescent="0.3">
      <c r="C3" s="103" t="s">
        <v>79</v>
      </c>
      <c r="D3" s="104" t="s">
        <v>80</v>
      </c>
    </row>
    <row r="4" spans="3:19" s="105" customFormat="1" ht="13.5" x14ac:dyDescent="0.25">
      <c r="C4" s="106"/>
      <c r="D4" s="107"/>
      <c r="H4" s="108"/>
      <c r="I4" s="108"/>
      <c r="J4" s="108"/>
      <c r="M4" s="106"/>
    </row>
    <row r="5" spans="3:19" s="72" customFormat="1" ht="13.5" x14ac:dyDescent="0.25">
      <c r="C5" s="523" t="s">
        <v>23</v>
      </c>
      <c r="D5" s="523"/>
      <c r="E5" s="523"/>
      <c r="F5" s="523"/>
      <c r="G5" s="523"/>
      <c r="H5" s="109"/>
      <c r="I5" s="109"/>
      <c r="J5" s="109"/>
      <c r="K5" s="473"/>
      <c r="L5" s="110"/>
      <c r="M5" s="523" t="s">
        <v>81</v>
      </c>
      <c r="N5" s="523"/>
      <c r="O5" s="523"/>
      <c r="P5" s="523"/>
      <c r="Q5" s="523"/>
    </row>
    <row r="7" spans="3:19" ht="13.5" thickBot="1" x14ac:dyDescent="0.3">
      <c r="C7" s="105" t="s">
        <v>25</v>
      </c>
      <c r="M7" s="105" t="s">
        <v>25</v>
      </c>
    </row>
    <row r="8" spans="3:19" ht="38.25" x14ac:dyDescent="0.25">
      <c r="C8" s="524" t="s">
        <v>26</v>
      </c>
      <c r="D8" s="530" t="s">
        <v>27</v>
      </c>
      <c r="E8" s="476" t="s">
        <v>28</v>
      </c>
      <c r="F8" s="476" t="s">
        <v>29</v>
      </c>
      <c r="G8" s="476" t="s">
        <v>30</v>
      </c>
      <c r="H8" s="83" t="s">
        <v>31</v>
      </c>
      <c r="I8" s="476" t="s">
        <v>30</v>
      </c>
      <c r="J8" s="113"/>
      <c r="K8" s="113"/>
      <c r="M8" s="524" t="s">
        <v>26</v>
      </c>
      <c r="N8" s="530" t="s">
        <v>27</v>
      </c>
      <c r="O8" s="476" t="s">
        <v>28</v>
      </c>
      <c r="P8" s="476" t="s">
        <v>29</v>
      </c>
      <c r="Q8" s="476" t="s">
        <v>30</v>
      </c>
      <c r="R8" s="83" t="s">
        <v>31</v>
      </c>
      <c r="S8" s="476" t="s">
        <v>30</v>
      </c>
    </row>
    <row r="9" spans="3:19" ht="28.5" x14ac:dyDescent="0.25">
      <c r="C9" s="525"/>
      <c r="D9" s="531"/>
      <c r="E9" s="477" t="s">
        <v>32</v>
      </c>
      <c r="F9" s="477" t="s">
        <v>33</v>
      </c>
      <c r="G9" s="477" t="s">
        <v>34</v>
      </c>
      <c r="H9" s="84" t="s">
        <v>35</v>
      </c>
      <c r="I9" s="477" t="s">
        <v>36</v>
      </c>
      <c r="J9" s="113"/>
      <c r="K9" s="113"/>
      <c r="M9" s="525"/>
      <c r="N9" s="531"/>
      <c r="O9" s="477" t="s">
        <v>32</v>
      </c>
      <c r="P9" s="477" t="s">
        <v>33</v>
      </c>
      <c r="Q9" s="477" t="s">
        <v>34</v>
      </c>
      <c r="R9" s="84" t="s">
        <v>35</v>
      </c>
      <c r="S9" s="477" t="s">
        <v>36</v>
      </c>
    </row>
    <row r="10" spans="3:19" x14ac:dyDescent="0.25">
      <c r="C10" s="85" t="s">
        <v>82</v>
      </c>
      <c r="D10" s="555" t="s">
        <v>83</v>
      </c>
      <c r="E10" s="89">
        <f>SUMIFS('Exposure Results'!E:E, 'Exposure Results'!D:D, C10, 'Exposure Results'!B:B, $C$3, 'Exposure Results'!C:C, "&lt;&gt;Post-EC", 'Exposure Results'!Q:Q, "Monitoring Data (Pre-EC)")</f>
        <v>253.57999999999998</v>
      </c>
      <c r="F10" s="58">
        <f>SUMIFS('Exposure Results'!G:G, 'Exposure Results'!D:D, C10, 'Exposure Results'!B:B, $C$3, 'Exposure Results'!C:C, "&lt;&gt;Post-EC", 'Exposure Results'!Q:Q, "Monitoring Data (Pre-EC)")</f>
        <v>253.57999999999998</v>
      </c>
      <c r="G10" s="58">
        <f>SUMIFS('Exposure Results'!I:I, 'Exposure Results'!D:D, C10, 'Exposure Results'!B:B, $C$3, 'Exposure Results'!C:C, "&lt;&gt;Post-EC", 'Exposure Results'!Q:Q, "Monitoring Data (Pre-EC)")</f>
        <v>253.58</v>
      </c>
      <c r="H10" s="59">
        <f>SUMIFS('Exposure Results'!K:K, 'Exposure Results'!D:D, C10, 'Exposure Results'!B:B, $C$3, 'Exposure Results'!C:C, "&lt;&gt;Post-EC", 'Exposure Results'!Q:Q, "Monitoring Data (Pre-EC)")</f>
        <v>130.04102564102564</v>
      </c>
      <c r="I10" s="58">
        <f>SUMIFS('Exposure Results'!M:M, 'Exposure Results'!D:D, C10, 'Exposure Results'!B:B, $C$3, 'Exposure Results'!C:C, "&lt;&gt;Post-EC", 'Exposure Results'!Q:Q, "Monitoring Data (Pre-EC)")</f>
        <v>180.63232876712328</v>
      </c>
      <c r="J10" s="137"/>
      <c r="K10" s="137"/>
      <c r="M10" s="85" t="s">
        <v>82</v>
      </c>
      <c r="N10" s="555" t="s">
        <v>83</v>
      </c>
      <c r="O10" s="60">
        <f>SUMIFS('Exposure Results'!E:E, 'Exposure Results'!D:D, M10, 'Exposure Results'!B:B, $C$3, 'Exposure Results'!C:C, "Post-EC", 'Exposure Results'!Q:Q, "Monitoring Data (Post-EC)")</f>
        <v>41.899999999999949</v>
      </c>
      <c r="P10" s="58">
        <f>SUMIFS('Exposure Results'!G:G, 'Exposure Results'!D:D, M10, 'Exposure Results'!B:B, $C$3, 'Exposure Results'!C:C, "Post-EC", 'Exposure Results'!Q:Q, "Monitoring Data (Post-EC)")</f>
        <v>41.899999999999949</v>
      </c>
      <c r="Q10" s="58">
        <f>SUMIFS('Exposure Results'!I:I, 'Exposure Results'!D:D, M10, 'Exposure Results'!B:B, $C$3, 'Exposure Results'!C:C, "Post-EC", 'Exposure Results'!Q:Q, "Monitoring Data (Post-EC)")</f>
        <v>41.899999999999949</v>
      </c>
      <c r="R10" s="59">
        <f>SUMIFS('Exposure Results'!K:K, 'Exposure Results'!D:D, M10, 'Exposure Results'!B:B, $C$3, 'Exposure Results'!C:C, "Post-EC", 'Exposure Results'!Q:Q, "Monitoring Data (Post-EC)")</f>
        <v>21.487179487179461</v>
      </c>
      <c r="S10" s="58">
        <f>SUMIFS('Exposure Results'!M:M, 'Exposure Results'!D:D, M10, 'Exposure Results'!B:B, $C$3, 'Exposure Results'!C:C, "Post-EC", 'Exposure Results'!Q:Q, "Monitoring Data (Post-EC)")</f>
        <v>29.846575342465719</v>
      </c>
    </row>
    <row r="11" spans="3:19" x14ac:dyDescent="0.25">
      <c r="C11" s="96" t="s">
        <v>84</v>
      </c>
      <c r="D11" s="556"/>
      <c r="E11" s="91">
        <f>SUMIFS('Exposure Results'!E:E, 'Exposure Results'!D:D, C11, 'Exposure Results'!B:B, $C$3, 'Exposure Results'!C:C, "&lt;&gt;Post-EC", 'Exposure Results'!Q:Q, "Monitoring Data (Pre-EC)")</f>
        <v>210.85000000000002</v>
      </c>
      <c r="F11" s="58">
        <f>SUMIFS('Exposure Results'!G:G, 'Exposure Results'!D:D, C11, 'Exposure Results'!B:B, $C$3, 'Exposure Results'!C:C, "&lt;&gt;Post-EC", 'Exposure Results'!Q:Q, "Monitoring Data (Pre-EC)")</f>
        <v>210.85000000000002</v>
      </c>
      <c r="G11" s="58">
        <f>SUMIFS('Exposure Results'!I:I, 'Exposure Results'!D:D, C11, 'Exposure Results'!B:B, $C$3, 'Exposure Results'!C:C, "&lt;&gt;Post-EC", 'Exposure Results'!Q:Q, "Monitoring Data (Pre-EC)")</f>
        <v>210.85000000000005</v>
      </c>
      <c r="H11" s="59">
        <f>SUMIFS('Exposure Results'!K:K, 'Exposure Results'!D:D, C11, 'Exposure Results'!B:B, $C$3, 'Exposure Results'!C:C, "&lt;&gt;Post-EC", 'Exposure Results'!Q:Q, "Monitoring Data (Pre-EC)")</f>
        <v>108.12820512820515</v>
      </c>
      <c r="I11" s="58">
        <f>SUMIFS('Exposure Results'!M:M, 'Exposure Results'!D:D, C11, 'Exposure Results'!B:B, $C$3, 'Exposure Results'!C:C, "&lt;&gt;Post-EC", 'Exposure Results'!Q:Q, "Monitoring Data (Pre-EC)")</f>
        <v>150.19452054794525</v>
      </c>
      <c r="J11" s="137"/>
      <c r="K11" s="137"/>
      <c r="M11" s="96" t="s">
        <v>84</v>
      </c>
      <c r="N11" s="556"/>
      <c r="O11" s="60">
        <f>SUMIFS('Exposure Results'!E:E, 'Exposure Results'!D:D, M11, 'Exposure Results'!B:B, $C$3, 'Exposure Results'!C:C, "Post-EC", 'Exposure Results'!Q:Q, "Monitoring Data (Post-EC)")</f>
        <v>28.839999999999996</v>
      </c>
      <c r="P11" s="58">
        <f>SUMIFS('Exposure Results'!G:G, 'Exposure Results'!D:D, M11, 'Exposure Results'!B:B, $C$3, 'Exposure Results'!C:C, "Post-EC", 'Exposure Results'!Q:Q, "Monitoring Data (Post-EC)")</f>
        <v>28.839999999999996</v>
      </c>
      <c r="Q11" s="58">
        <f>SUMIFS('Exposure Results'!I:I, 'Exposure Results'!D:D, M11, 'Exposure Results'!B:B, $C$3, 'Exposure Results'!C:C, "Post-EC", 'Exposure Results'!Q:Q, "Monitoring Data (Post-EC)")</f>
        <v>28.839999999999993</v>
      </c>
      <c r="R11" s="59">
        <f>SUMIFS('Exposure Results'!K:K, 'Exposure Results'!D:D, M11, 'Exposure Results'!B:B, $C$3, 'Exposure Results'!C:C, "Post-EC", 'Exposure Results'!Q:Q, "Monitoring Data (Post-EC)")</f>
        <v>14.789743589743587</v>
      </c>
      <c r="S11" s="58">
        <f>SUMIFS('Exposure Results'!M:M, 'Exposure Results'!D:D, M11, 'Exposure Results'!B:B, $C$3, 'Exposure Results'!C:C, "Post-EC", 'Exposure Results'!Q:Q, "Monitoring Data (Post-EC)")</f>
        <v>20.543561643835609</v>
      </c>
    </row>
    <row r="12" spans="3:19" ht="13.5" thickBot="1" x14ac:dyDescent="0.3">
      <c r="C12" s="86" t="s">
        <v>39</v>
      </c>
      <c r="D12" s="557"/>
      <c r="E12" s="135">
        <f>SUMIFS('Exposure Results'!E:E, 'Exposure Results'!D:D, C12, 'Exposure Results'!B:B, $C$3, 'Exposure Results'!C:C, "&lt;&gt;Post-EC", 'Exposure Results'!Q:Q, "Monitoring Data (Pre-EC)")</f>
        <v>128.66000000000003</v>
      </c>
      <c r="F12" s="61">
        <f>SUMIFS('Exposure Results'!G:G, 'Exposure Results'!D:D, C12, 'Exposure Results'!B:B, $C$3, 'Exposure Results'!C:C, "&lt;&gt;Post-EC", 'Exposure Results'!Q:Q, "Monitoring Data (Pre-EC)")</f>
        <v>128.66000000000003</v>
      </c>
      <c r="G12" s="61">
        <f>SUMIFS('Exposure Results'!I:I, 'Exposure Results'!D:D, C12, 'Exposure Results'!B:B, $C$3, 'Exposure Results'!C:C, "&lt;&gt;Post-EC", 'Exposure Results'!Q:Q, "Monitoring Data (Pre-EC)")</f>
        <v>128.66000000000003</v>
      </c>
      <c r="H12" s="62">
        <f>SUMIFS('Exposure Results'!K:K, 'Exposure Results'!D:D, C12, 'Exposure Results'!B:B, $C$3, 'Exposure Results'!C:C, "&lt;&gt;Post-EC", 'Exposure Results'!Q:Q, "Monitoring Data (Pre-EC)")</f>
        <v>65.979487179487194</v>
      </c>
      <c r="I12" s="61">
        <f>SUMIFS('Exposure Results'!M:M, 'Exposure Results'!D:D, C12, 'Exposure Results'!B:B, $C$3, 'Exposure Results'!C:C, "&lt;&gt;Post-EC", 'Exposure Results'!Q:Q, "Monitoring Data (Pre-EC)")</f>
        <v>91.648219178082201</v>
      </c>
      <c r="J12" s="64"/>
      <c r="K12" s="64"/>
      <c r="M12" s="86" t="s">
        <v>39</v>
      </c>
      <c r="N12" s="557"/>
      <c r="O12" s="61">
        <f>SUMIFS('Exposure Results'!E:E, 'Exposure Results'!D:D, M12, 'Exposure Results'!B:B, $C$3, 'Exposure Results'!C:C, "Post-EC", 'Exposure Results'!Q:Q, "Monitoring Data (Post-EC)")</f>
        <v>5.4799999999999995</v>
      </c>
      <c r="P12" s="61">
        <f>SUMIFS('Exposure Results'!G:G, 'Exposure Results'!D:D, M12, 'Exposure Results'!B:B, $C$3, 'Exposure Results'!C:C, "Post-EC", 'Exposure Results'!Q:Q, "Monitoring Data (Post-EC)")</f>
        <v>5.4799999999999995</v>
      </c>
      <c r="Q12" s="61">
        <f>SUMIFS('Exposure Results'!I:I, 'Exposure Results'!D:D, M12, 'Exposure Results'!B:B, $C$3, 'Exposure Results'!C:C, "Post-EC", 'Exposure Results'!Q:Q, "Monitoring Data (Post-EC)")</f>
        <v>5.48</v>
      </c>
      <c r="R12" s="62">
        <f>SUMIFS('Exposure Results'!K:K, 'Exposure Results'!D:D, M12, 'Exposure Results'!B:B, $C$3, 'Exposure Results'!C:C, "Post-EC", 'Exposure Results'!Q:Q, "Monitoring Data (Post-EC)")</f>
        <v>2.81025641025641</v>
      </c>
      <c r="S12" s="61">
        <f>SUMIFS('Exposure Results'!M:M, 'Exposure Results'!D:D, M12, 'Exposure Results'!B:B, $C$3, 'Exposure Results'!C:C, "Post-EC", 'Exposure Results'!Q:Q, "Monitoring Data (Post-EC)")</f>
        <v>3.9035616438356171</v>
      </c>
    </row>
    <row r="13" spans="3:19" x14ac:dyDescent="0.25">
      <c r="C13" s="87" t="s">
        <v>82</v>
      </c>
      <c r="D13" s="534" t="s">
        <v>85</v>
      </c>
      <c r="E13" s="136">
        <f>SUMIFS('Exposure Results'!F:F, 'Exposure Results'!D:D, C13, 'Exposure Results'!B:B, $C$3, 'Exposure Results'!C:C, "&lt;&gt;Post-EC", 'Exposure Results'!Q:Q, "Monitoring Data (Pre-EC)")</f>
        <v>132.80000000000001</v>
      </c>
      <c r="F13" s="136">
        <f>SUMIFS('Exposure Results'!H:H, 'Exposure Results'!D:D, C13, 'Exposure Results'!B:B, $C$3, 'Exposure Results'!C:C, "&lt;&gt;Post-EC", 'Exposure Results'!Q:Q, "Monitoring Data (Pre-EC)")</f>
        <v>132.80000000000001</v>
      </c>
      <c r="G13" s="136">
        <f>SUMIFS('Exposure Results'!J:J, 'Exposure Results'!D:D, C13, 'Exposure Results'!B:B, $C$3, 'Exposure Results'!C:C, "&lt;&gt;Post-EC", 'Exposure Results'!Q:Q, "Monitoring Data (Pre-EC)")</f>
        <v>132.80000000000001</v>
      </c>
      <c r="H13" s="145">
        <f>SUMIFS('Exposure Results'!L:L, 'Exposure Results'!D:D, C13, 'Exposure Results'!B:B, $C$3, 'Exposure Results'!C:C, "&lt;&gt;Post-EC", 'Exposure Results'!Q:Q, "Monitoring Data (Pre-EC)")</f>
        <v>52.779487179487177</v>
      </c>
      <c r="I13" s="471">
        <f>SUMIFS('Exposure Results'!N:N, 'Exposure Results'!D:D, C13, 'Exposure Results'!B:B, $C$3, 'Exposure Results'!C:C, "&lt;&gt;Post-EC", 'Exposure Results'!Q:Q, "Monitoring Data (Pre-EC)")</f>
        <v>94.597260273972609</v>
      </c>
      <c r="J13" s="248"/>
      <c r="K13" s="137"/>
      <c r="M13" s="87" t="s">
        <v>82</v>
      </c>
      <c r="N13" s="534" t="s">
        <v>85</v>
      </c>
      <c r="O13" s="136">
        <f>SUMIFS('Exposure Results'!F:F, 'Exposure Results'!D:D, M13, 'Exposure Results'!B:B, $C$3, 'Exposure Results'!C:C, "Post-EC", 'Exposure Results'!Q:Q, "Monitoring Data (Post-EC)")</f>
        <v>17.809999999999999</v>
      </c>
      <c r="P13" s="136">
        <f>SUMIFS('Exposure Results'!H:H, 'Exposure Results'!D:D, M13, 'Exposure Results'!B:B, $C$3, 'Exposure Results'!C:C, "Post-EC", 'Exposure Results'!Q:Q, "Monitoring Data (Post-EC)")</f>
        <v>17.809999999999999</v>
      </c>
      <c r="Q13" s="136">
        <f>SUMIFS('Exposure Results'!J:J, 'Exposure Results'!D:D, M13, 'Exposure Results'!B:B, $C$3, 'Exposure Results'!C:C, "Post-EC", 'Exposure Results'!Q:Q, "Monitoring Data (Post-EC)")</f>
        <v>17.809999999999999</v>
      </c>
      <c r="R13" s="78">
        <f>SUMIFS('Exposure Results'!L:L, 'Exposure Results'!D:D, M13, 'Exposure Results'!B:B, $C$3, 'Exposure Results'!C:C, "Post-EC", 'Exposure Results'!Q:Q, "Monitoring Data (Post-EC)")</f>
        <v>7.0783333333333323</v>
      </c>
      <c r="S13" s="520">
        <f>SUMIFS('Exposure Results'!N:N, 'Exposure Results'!D:D, M13, 'Exposure Results'!B:B, $C$3, 'Exposure Results'!C:C, "Post-EC", 'Exposure Results'!Q:Q, "Monitoring Data (Post-EC)")</f>
        <v>12.686575342465751</v>
      </c>
    </row>
    <row r="14" spans="3:19" x14ac:dyDescent="0.25">
      <c r="C14" s="96" t="s">
        <v>84</v>
      </c>
      <c r="D14" s="558"/>
      <c r="E14" s="480">
        <f>SUMIFS('Exposure Results'!F:F, 'Exposure Results'!D:D, C14, 'Exposure Results'!B:B, $C$3, 'Exposure Results'!C:C, "&lt;&gt;Post-EC", 'Exposure Results'!Q:Q, "Monitoring Data (Pre-EC)")</f>
        <v>127.2</v>
      </c>
      <c r="F14" s="480">
        <f>SUMIFS('Exposure Results'!H:H, 'Exposure Results'!D:D, C14, 'Exposure Results'!B:B, $C$3, 'Exposure Results'!C:C, "&lt;&gt;Post-EC", 'Exposure Results'!Q:Q, "Monitoring Data (Pre-EC)")</f>
        <v>127.2</v>
      </c>
      <c r="G14" s="480">
        <f>SUMIFS('Exposure Results'!J:J, 'Exposure Results'!D:D, C14, 'Exposure Results'!B:B, $C$3, 'Exposure Results'!C:C, "&lt;&gt;Post-EC", 'Exposure Results'!Q:Q, "Monitoring Data (Pre-EC)")</f>
        <v>127.2</v>
      </c>
      <c r="H14" s="139">
        <f>SUMIFS('Exposure Results'!L:L, 'Exposure Results'!D:D, C14, 'Exposure Results'!B:B, $C$3, 'Exposure Results'!C:C, "&lt;&gt;Post-EC", 'Exposure Results'!Q:Q, "Monitoring Data (Pre-EC)")</f>
        <v>50.553846153846152</v>
      </c>
      <c r="I14" s="134">
        <f>SUMIFS('Exposure Results'!N:N, 'Exposure Results'!D:D, C14, 'Exposure Results'!B:B, $C$3, 'Exposure Results'!C:C, "&lt;&gt;Post-EC", 'Exposure Results'!Q:Q, "Monitoring Data (Pre-EC)")</f>
        <v>90.608219178082194</v>
      </c>
      <c r="J14" s="248"/>
      <c r="K14" s="137"/>
      <c r="M14" s="96" t="s">
        <v>84</v>
      </c>
      <c r="N14" s="558"/>
      <c r="O14" s="134">
        <f>SUMIFS('Exposure Results'!F:F, 'Exposure Results'!D:D, M14, 'Exposure Results'!B:B, $C$3, 'Exposure Results'!C:C, "Post-EC", 'Exposure Results'!Q:Q, "Monitoring Data (Post-EC)")</f>
        <v>18</v>
      </c>
      <c r="P14" s="134">
        <f>SUMIFS('Exposure Results'!H:H, 'Exposure Results'!D:D, M14, 'Exposure Results'!B:B, $C$3, 'Exposure Results'!C:C, "Post-EC", 'Exposure Results'!Q:Q, "Monitoring Data (Post-EC)")</f>
        <v>18</v>
      </c>
      <c r="Q14" s="134">
        <f>SUMIFS('Exposure Results'!J:J, 'Exposure Results'!D:D, M14, 'Exposure Results'!B:B, $C$3, 'Exposure Results'!C:C, "Post-EC", 'Exposure Results'!Q:Q, "Monitoring Data (Post-EC)")</f>
        <v>18</v>
      </c>
      <c r="R14" s="88">
        <f>SUMIFS('Exposure Results'!L:L, 'Exposure Results'!D:D, M14, 'Exposure Results'!B:B, $C$3, 'Exposure Results'!C:C, "Post-EC", 'Exposure Results'!Q:Q, "Monitoring Data (Post-EC)")</f>
        <v>7.1538461538461542</v>
      </c>
      <c r="S14" s="521">
        <f>SUMIFS('Exposure Results'!N:N, 'Exposure Results'!D:D, M14, 'Exposure Results'!B:B, $C$3, 'Exposure Results'!C:C, "Post-EC", 'Exposure Results'!Q:Q, "Monitoring Data (Post-EC)")</f>
        <v>12.821917808219178</v>
      </c>
    </row>
    <row r="15" spans="3:19" ht="13.5" thickBot="1" x14ac:dyDescent="0.3">
      <c r="C15" s="86" t="s">
        <v>39</v>
      </c>
      <c r="D15" s="535"/>
      <c r="E15" s="135">
        <f>SUMIFS('Exposure Results'!F:F, 'Exposure Results'!D:D, C15, 'Exposure Results'!B:B, $C$3, 'Exposure Results'!C:C, "&lt;&gt;Post-EC", 'Exposure Results'!Q:Q, "Monitoring Data (Pre-EC)")</f>
        <v>3</v>
      </c>
      <c r="F15" s="135">
        <f>SUMIFS('Exposure Results'!H:H, 'Exposure Results'!D:D, C15, 'Exposure Results'!B:B, $C$3, 'Exposure Results'!C:C, "&lt;&gt;Post-EC", 'Exposure Results'!Q:Q, "Monitoring Data (Pre-EC)")</f>
        <v>3</v>
      </c>
      <c r="G15" s="61">
        <f>SUMIFS('Exposure Results'!J:J, 'Exposure Results'!D:D, C15, 'Exposure Results'!B:B, $C$3, 'Exposure Results'!C:C, "&lt;&gt;Post-EC", 'Exposure Results'!Q:Q, "Monitoring Data (Pre-EC)")</f>
        <v>3</v>
      </c>
      <c r="H15" s="140">
        <f>SUMIFS('Exposure Results'!L:L, 'Exposure Results'!D:D, C15, 'Exposure Results'!B:B, $C$3, 'Exposure Results'!C:C, "&lt;&gt;Post-EC", 'Exposure Results'!Q:Q, "Monitoring Data (Pre-EC)")</f>
        <v>1.1923076923076923</v>
      </c>
      <c r="I15" s="61">
        <f>SUMIFS('Exposure Results'!N:N, 'Exposure Results'!D:D, C15, 'Exposure Results'!B:B, $C$3, 'Exposure Results'!C:C, "&lt;&gt;Post-EC", 'Exposure Results'!Q:Q, "Monitoring Data (Pre-EC)")</f>
        <v>2.1369863013698631</v>
      </c>
      <c r="J15" s="249"/>
      <c r="K15" s="64"/>
      <c r="M15" s="86" t="s">
        <v>39</v>
      </c>
      <c r="N15" s="535"/>
      <c r="O15" s="135">
        <f>SUMIFS('Exposure Results'!F:F, 'Exposure Results'!D:D, M15, 'Exposure Results'!B:B, $C$3, 'Exposure Results'!C:C, "Post-EC", 'Exposure Results'!Q:Q, "Monitoring Data (Post-EC)")</f>
        <v>2</v>
      </c>
      <c r="P15" s="135">
        <f>SUMIFS('Exposure Results'!H:H, 'Exposure Results'!D:D, M15, 'Exposure Results'!B:B, $C$3, 'Exposure Results'!C:C, "Post-EC", 'Exposure Results'!Q:Q, "Monitoring Data (Post-EC)")</f>
        <v>2</v>
      </c>
      <c r="Q15" s="135">
        <f>SUMIFS('Exposure Results'!J:J, 'Exposure Results'!D:D, M15, 'Exposure Results'!B:B, $C$3, 'Exposure Results'!C:C, "Post-EC", 'Exposure Results'!Q:Q, "Monitoring Data (Post-EC)")</f>
        <v>2</v>
      </c>
      <c r="R15" s="62">
        <f>SUMIFS('Exposure Results'!L:L, 'Exposure Results'!D:D, M15, 'Exposure Results'!B:B, $C$3, 'Exposure Results'!C:C, "Post-EC", 'Exposure Results'!Q:Q, "Monitoring Data (Post-EC)")</f>
        <v>0.79487179487179482</v>
      </c>
      <c r="S15" s="61">
        <f>SUMIFS('Exposure Results'!N:N, 'Exposure Results'!D:D, M15, 'Exposure Results'!B:B, $C$3, 'Exposure Results'!C:C, "Post-EC", 'Exposure Results'!Q:Q, "Monitoring Data (Post-EC)")</f>
        <v>1.4246575342465753</v>
      </c>
    </row>
    <row r="16" spans="3:19" x14ac:dyDescent="0.25">
      <c r="D16" s="95"/>
    </row>
    <row r="17" spans="2:45" ht="13.5" thickBot="1" x14ac:dyDescent="0.3">
      <c r="C17" s="111" t="s">
        <v>42</v>
      </c>
      <c r="I17" s="247" t="s">
        <v>41</v>
      </c>
      <c r="J17" s="447">
        <v>50</v>
      </c>
      <c r="M17" s="111" t="s">
        <v>42</v>
      </c>
      <c r="R17" s="247" t="s">
        <v>41</v>
      </c>
      <c r="S17" s="448">
        <v>50</v>
      </c>
    </row>
    <row r="18" spans="2:45" s="112" customFormat="1" ht="21" customHeight="1" x14ac:dyDescent="0.25">
      <c r="B18" s="95"/>
      <c r="C18" s="528" t="s">
        <v>43</v>
      </c>
      <c r="D18" s="526" t="s">
        <v>44</v>
      </c>
      <c r="E18" s="526" t="s">
        <v>27</v>
      </c>
      <c r="F18" s="526" t="s">
        <v>45</v>
      </c>
      <c r="G18" s="526"/>
      <c r="H18" s="526"/>
      <c r="I18" s="559" t="str">
        <f>"APF="&amp;J17</f>
        <v>APF=50</v>
      </c>
      <c r="J18" s="560"/>
      <c r="K18" s="538" t="s">
        <v>46</v>
      </c>
      <c r="L18" s="100"/>
      <c r="M18" s="528" t="s">
        <v>43</v>
      </c>
      <c r="N18" s="526" t="s">
        <v>44</v>
      </c>
      <c r="O18" s="526" t="s">
        <v>27</v>
      </c>
      <c r="P18" s="526" t="s">
        <v>45</v>
      </c>
      <c r="Q18" s="526"/>
      <c r="R18" s="526"/>
      <c r="S18" s="559" t="str">
        <f>"APF="&amp;S17</f>
        <v>APF=50</v>
      </c>
      <c r="T18" s="560"/>
      <c r="U18" s="538" t="s">
        <v>46</v>
      </c>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row>
    <row r="19" spans="2:45" ht="20.25" customHeight="1" x14ac:dyDescent="0.25">
      <c r="B19" s="56" t="s">
        <v>48</v>
      </c>
      <c r="C19" s="529"/>
      <c r="D19" s="527"/>
      <c r="E19" s="527"/>
      <c r="F19" s="475" t="s">
        <v>82</v>
      </c>
      <c r="G19" s="238" t="s">
        <v>84</v>
      </c>
      <c r="H19" s="475" t="s">
        <v>39</v>
      </c>
      <c r="I19" s="475" t="s">
        <v>82</v>
      </c>
      <c r="J19" s="238" t="s">
        <v>84</v>
      </c>
      <c r="K19" s="539"/>
      <c r="L19" s="66"/>
      <c r="M19" s="529"/>
      <c r="N19" s="527"/>
      <c r="O19" s="527"/>
      <c r="P19" s="475" t="s">
        <v>82</v>
      </c>
      <c r="Q19" s="238" t="s">
        <v>84</v>
      </c>
      <c r="R19" s="475" t="s">
        <v>39</v>
      </c>
      <c r="S19" s="475" t="s">
        <v>82</v>
      </c>
      <c r="T19" s="238" t="s">
        <v>84</v>
      </c>
      <c r="U19" s="539"/>
    </row>
    <row r="20" spans="2:45" s="66" customFormat="1" ht="25.5" customHeight="1" x14ac:dyDescent="0.25">
      <c r="B20" s="70" t="s">
        <v>49</v>
      </c>
      <c r="C20" s="529" t="s">
        <v>50</v>
      </c>
      <c r="D20" s="537">
        <f>VLOOKUP($B20,'Look-up Values'!$F$6:$K$12,2)</f>
        <v>31</v>
      </c>
      <c r="E20" s="481" t="s">
        <v>40</v>
      </c>
      <c r="F20" s="57">
        <f>IFERROR(D20/F13, "")</f>
        <v>0.23343373493975902</v>
      </c>
      <c r="G20" s="418">
        <f>IFERROR(D20/F14, "")</f>
        <v>0.24371069182389937</v>
      </c>
      <c r="H20" s="239">
        <f>IFERROR(D20/F15, "")</f>
        <v>10.333333333333334</v>
      </c>
      <c r="I20" s="251">
        <f>F20*$J$17</f>
        <v>11.671686746987952</v>
      </c>
      <c r="J20" s="251">
        <f t="shared" ref="J20:J22" si="0">G20*$J$17</f>
        <v>12.185534591194969</v>
      </c>
      <c r="K20" s="540">
        <f>VLOOKUP($B20,'Look-up Values'!$F$6:$K$12,5)</f>
        <v>100</v>
      </c>
      <c r="M20" s="529" t="s">
        <v>50</v>
      </c>
      <c r="N20" s="537">
        <f>VLOOKUP(B20,'Look-up Values'!$F$6:$K$12,2)</f>
        <v>31</v>
      </c>
      <c r="O20" s="481" t="s">
        <v>40</v>
      </c>
      <c r="P20" s="239">
        <f>IFERROR(N20/P13, "")</f>
        <v>1.7405951712521057</v>
      </c>
      <c r="Q20" s="239">
        <f>IFERROR(N20/P14, "")</f>
        <v>1.7222222222222223</v>
      </c>
      <c r="R20" s="91">
        <f>IFERROR(N20/P15, "")</f>
        <v>15.5</v>
      </c>
      <c r="S20" s="60">
        <f>P20*$S$17</f>
        <v>87.029758562605281</v>
      </c>
      <c r="T20" s="60">
        <f t="shared" ref="T20:T23" si="1">Q20*$S$17</f>
        <v>86.111111111111114</v>
      </c>
      <c r="U20" s="540">
        <f>VLOOKUP(B20,'Look-up Values'!$F$6:$K$12,5)</f>
        <v>100</v>
      </c>
    </row>
    <row r="21" spans="2:45" s="66" customFormat="1" ht="25.5" customHeight="1" x14ac:dyDescent="0.25">
      <c r="B21" s="70" t="s">
        <v>49</v>
      </c>
      <c r="C21" s="529"/>
      <c r="D21" s="537"/>
      <c r="E21" s="481" t="s">
        <v>38</v>
      </c>
      <c r="F21" s="261">
        <f>IFERROR(D20/F10, "")</f>
        <v>0.12224938875305624</v>
      </c>
      <c r="G21" s="57">
        <f>IFERROR(D20/F11, "")</f>
        <v>0.14702395067583587</v>
      </c>
      <c r="H21" s="57">
        <f>IFERROR(D20/F12, "")</f>
        <v>0.24094512669050205</v>
      </c>
      <c r="I21" s="251">
        <f t="shared" ref="I21:I23" si="2">F21*$J$17</f>
        <v>6.1124694376528126</v>
      </c>
      <c r="J21" s="251">
        <f t="shared" si="0"/>
        <v>7.3511975337917939</v>
      </c>
      <c r="K21" s="540"/>
      <c r="M21" s="529"/>
      <c r="N21" s="537"/>
      <c r="O21" s="481" t="s">
        <v>38</v>
      </c>
      <c r="P21" s="90">
        <f>IFERROR(N20/P10, "")</f>
        <v>0.7398568019093088</v>
      </c>
      <c r="Q21" s="90">
        <f>IFERROR(N20/P11, "")</f>
        <v>1.0748959778085994</v>
      </c>
      <c r="R21" s="91">
        <f>IFERROR(N20/P12, "")</f>
        <v>5.6569343065693438</v>
      </c>
      <c r="S21" s="60">
        <f t="shared" ref="S21:S23" si="3">P21*$S$17</f>
        <v>36.992840095465439</v>
      </c>
      <c r="T21" s="60">
        <f t="shared" si="1"/>
        <v>53.744798890429969</v>
      </c>
      <c r="U21" s="540"/>
    </row>
    <row r="22" spans="2:45" s="66" customFormat="1" ht="25.5" customHeight="1" x14ac:dyDescent="0.25">
      <c r="B22" s="70" t="s">
        <v>51</v>
      </c>
      <c r="C22" s="529" t="s">
        <v>52</v>
      </c>
      <c r="D22" s="537">
        <v>17</v>
      </c>
      <c r="E22" s="481" t="s">
        <v>40</v>
      </c>
      <c r="F22" s="57">
        <f>IFERROR(D22/F13, "")</f>
        <v>0.12801204819277107</v>
      </c>
      <c r="G22" s="418">
        <f>IFERROR(D22/F14, "")</f>
        <v>0.13364779874213836</v>
      </c>
      <c r="H22" s="239">
        <f>IFERROR(D22/F15, "")</f>
        <v>5.666666666666667</v>
      </c>
      <c r="I22" s="251">
        <f t="shared" si="2"/>
        <v>6.4006024096385534</v>
      </c>
      <c r="J22" s="251">
        <f t="shared" si="0"/>
        <v>6.682389937106918</v>
      </c>
      <c r="K22" s="540">
        <v>100</v>
      </c>
      <c r="L22" s="95"/>
      <c r="M22" s="529" t="s">
        <v>52</v>
      </c>
      <c r="N22" s="537">
        <v>17</v>
      </c>
      <c r="O22" s="481" t="s">
        <v>40</v>
      </c>
      <c r="P22" s="239">
        <f>IFERROR(N22/P13, "")</f>
        <v>0.95451993262212242</v>
      </c>
      <c r="Q22" s="239">
        <f>IFERROR(N22/P14, "")</f>
        <v>0.94444444444444442</v>
      </c>
      <c r="R22" s="91">
        <f>IFERROR(N22/P15, "")</f>
        <v>8.5</v>
      </c>
      <c r="S22" s="60">
        <f t="shared" si="3"/>
        <v>47.725996631106121</v>
      </c>
      <c r="T22" s="60">
        <f t="shared" si="1"/>
        <v>47.222222222222221</v>
      </c>
      <c r="U22" s="540">
        <v>100</v>
      </c>
    </row>
    <row r="23" spans="2:45" s="66" customFormat="1" ht="25.5" customHeight="1" thickBot="1" x14ac:dyDescent="0.3">
      <c r="B23" s="70" t="s">
        <v>51</v>
      </c>
      <c r="C23" s="541"/>
      <c r="D23" s="542"/>
      <c r="E23" s="479" t="s">
        <v>38</v>
      </c>
      <c r="F23" s="419">
        <f>IFERROR(D22/F10, "")</f>
        <v>6.7039987380708266E-2</v>
      </c>
      <c r="G23" s="420">
        <f>IFERROR(D22/F11, "")</f>
        <v>8.0626037467393871E-2</v>
      </c>
      <c r="H23" s="420">
        <f>IFERROR(D22/F12, "")</f>
        <v>0.13213119850769467</v>
      </c>
      <c r="I23" s="252">
        <f t="shared" si="2"/>
        <v>3.3519993690354131</v>
      </c>
      <c r="J23" s="252">
        <f>G23*$J$17</f>
        <v>4.0313018733696939</v>
      </c>
      <c r="K23" s="543"/>
      <c r="L23" s="95"/>
      <c r="M23" s="541"/>
      <c r="N23" s="542"/>
      <c r="O23" s="479" t="s">
        <v>38</v>
      </c>
      <c r="P23" s="420">
        <f>IFERROR(N22/P10, "")</f>
        <v>0.40572792362768545</v>
      </c>
      <c r="Q23" s="293">
        <f>IFERROR(N22/P11, "")</f>
        <v>0.58945908460471574</v>
      </c>
      <c r="R23" s="294">
        <f>IFERROR(N22/P12, "")</f>
        <v>3.1021897810218979</v>
      </c>
      <c r="S23" s="198">
        <f t="shared" si="3"/>
        <v>20.286396181384273</v>
      </c>
      <c r="T23" s="198">
        <f t="shared" si="1"/>
        <v>29.472954230235786</v>
      </c>
      <c r="U23" s="543"/>
    </row>
    <row r="24" spans="2:45" s="66" customFormat="1" x14ac:dyDescent="0.25">
      <c r="B24" s="70"/>
      <c r="C24" s="113"/>
      <c r="D24" s="70"/>
      <c r="E24" s="67"/>
      <c r="F24" s="95"/>
      <c r="G24" s="70"/>
      <c r="H24" s="70"/>
      <c r="I24" s="70"/>
      <c r="J24" s="70"/>
      <c r="K24" s="70"/>
      <c r="L24" s="95"/>
      <c r="M24" s="113"/>
      <c r="N24" s="70"/>
      <c r="P24" s="70"/>
      <c r="Q24" s="70"/>
      <c r="R24" s="67"/>
      <c r="U24" s="70"/>
    </row>
    <row r="25" spans="2:45" s="66" customFormat="1" ht="30" customHeight="1" thickBot="1" x14ac:dyDescent="0.3">
      <c r="C25" s="111" t="s">
        <v>53</v>
      </c>
      <c r="D25" s="70"/>
      <c r="E25" s="115"/>
      <c r="F25" s="115"/>
      <c r="G25" s="70"/>
      <c r="H25" s="116"/>
      <c r="I25" s="116"/>
      <c r="J25" s="116"/>
      <c r="K25" s="70"/>
      <c r="M25" s="111" t="s">
        <v>53</v>
      </c>
      <c r="P25" s="63"/>
      <c r="Q25" s="63"/>
      <c r="R25" s="63"/>
    </row>
    <row r="26" spans="2:45" s="66" customFormat="1" ht="18" customHeight="1" x14ac:dyDescent="0.25">
      <c r="C26" s="528" t="s">
        <v>43</v>
      </c>
      <c r="D26" s="526" t="s">
        <v>54</v>
      </c>
      <c r="E26" s="526" t="s">
        <v>27</v>
      </c>
      <c r="F26" s="526" t="s">
        <v>55</v>
      </c>
      <c r="G26" s="526"/>
      <c r="H26" s="526"/>
      <c r="I26" s="559" t="str">
        <f>"APF="&amp;J17</f>
        <v>APF=50</v>
      </c>
      <c r="J26" s="560"/>
      <c r="K26" s="538" t="s">
        <v>46</v>
      </c>
      <c r="M26" s="528" t="s">
        <v>43</v>
      </c>
      <c r="N26" s="526" t="s">
        <v>54</v>
      </c>
      <c r="O26" s="526" t="s">
        <v>27</v>
      </c>
      <c r="P26" s="526" t="s">
        <v>55</v>
      </c>
      <c r="Q26" s="526"/>
      <c r="R26" s="526"/>
      <c r="S26" s="561" t="str">
        <f>"APF="&amp;S17</f>
        <v>APF=50</v>
      </c>
      <c r="T26" s="562"/>
      <c r="U26" s="538" t="s">
        <v>46</v>
      </c>
    </row>
    <row r="27" spans="2:45" s="66" customFormat="1" x14ac:dyDescent="0.25">
      <c r="C27" s="529"/>
      <c r="D27" s="527"/>
      <c r="E27" s="527"/>
      <c r="F27" s="475" t="s">
        <v>82</v>
      </c>
      <c r="G27" s="238" t="s">
        <v>84</v>
      </c>
      <c r="H27" s="475" t="s">
        <v>39</v>
      </c>
      <c r="I27" s="475" t="s">
        <v>82</v>
      </c>
      <c r="J27" s="238" t="s">
        <v>84</v>
      </c>
      <c r="K27" s="539"/>
      <c r="M27" s="529"/>
      <c r="N27" s="527"/>
      <c r="O27" s="527"/>
      <c r="P27" s="475" t="s">
        <v>82</v>
      </c>
      <c r="Q27" s="238" t="s">
        <v>84</v>
      </c>
      <c r="R27" s="475" t="s">
        <v>39</v>
      </c>
      <c r="S27" s="475" t="s">
        <v>82</v>
      </c>
      <c r="T27" s="238" t="s">
        <v>84</v>
      </c>
      <c r="U27" s="539"/>
    </row>
    <row r="28" spans="2:45" s="66" customFormat="1" ht="25.5" x14ac:dyDescent="0.25">
      <c r="B28" s="70" t="s">
        <v>59</v>
      </c>
      <c r="C28" s="536" t="s">
        <v>60</v>
      </c>
      <c r="D28" s="537">
        <f>VLOOKUP($B28,'Look-up Values'!$F$6:$K$12,2)</f>
        <v>150</v>
      </c>
      <c r="E28" s="481" t="s">
        <v>40</v>
      </c>
      <c r="F28" s="94">
        <f>IFERROR(D28/$G$13, "")</f>
        <v>1.1295180722891565</v>
      </c>
      <c r="G28" s="200">
        <f>IFERROR(D28/$G$14, "")</f>
        <v>1.179245283018868</v>
      </c>
      <c r="H28" s="94">
        <f>IFERROR(D28/$G$15, "")</f>
        <v>50</v>
      </c>
      <c r="I28" s="92">
        <f t="shared" ref="I28:I39" si="4">F28*$J$17</f>
        <v>56.47590361445782</v>
      </c>
      <c r="J28" s="92">
        <f t="shared" ref="J28:J39" si="5">G28*$J$17</f>
        <v>58.962264150943398</v>
      </c>
      <c r="K28" s="540">
        <f>VLOOKUP($B28,'Look-up Values'!$F$6:$K$12,5)</f>
        <v>100</v>
      </c>
      <c r="M28" s="536" t="s">
        <v>60</v>
      </c>
      <c r="N28" s="537">
        <f>VLOOKUP($B28,'Look-up Values'!$F$6:$K$12,2)</f>
        <v>150</v>
      </c>
      <c r="O28" s="481" t="s">
        <v>40</v>
      </c>
      <c r="P28" s="92">
        <f>IFERROR(N28/$Q$13, "")</f>
        <v>8.4222346996069621</v>
      </c>
      <c r="Q28" s="92">
        <f>IFERROR(N28/$Q$14, "")</f>
        <v>8.3333333333333339</v>
      </c>
      <c r="R28" s="92">
        <f>IFERROR(N28/$Q$15, "")</f>
        <v>75</v>
      </c>
      <c r="S28" s="60">
        <f t="shared" ref="S28:S39" si="6">P28*$S$17</f>
        <v>421.1117349803481</v>
      </c>
      <c r="T28" s="60">
        <f t="shared" ref="T28:T39" si="7">Q28*$S$17</f>
        <v>416.66666666666669</v>
      </c>
      <c r="U28" s="540">
        <f>VLOOKUP($B28,'Look-up Values'!$F$6:$K$12,5)</f>
        <v>100</v>
      </c>
    </row>
    <row r="29" spans="2:45" s="66" customFormat="1" ht="20.25" customHeight="1" x14ac:dyDescent="0.25">
      <c r="B29" s="70" t="s">
        <v>59</v>
      </c>
      <c r="C29" s="536"/>
      <c r="D29" s="537"/>
      <c r="E29" s="481" t="s">
        <v>38</v>
      </c>
      <c r="F29" s="94">
        <f>IFERROR(D28/$G$10, "")</f>
        <v>0.59152930041801399</v>
      </c>
      <c r="G29" s="421">
        <f>IFERROR(D28/$G$11, "")</f>
        <v>0.71140621294759288</v>
      </c>
      <c r="H29" s="94">
        <f>IFERROR(D28/$G$12, "")</f>
        <v>1.1658635162443647</v>
      </c>
      <c r="I29" s="92">
        <f t="shared" si="4"/>
        <v>29.576465020900699</v>
      </c>
      <c r="J29" s="92">
        <f t="shared" si="5"/>
        <v>35.570310647379642</v>
      </c>
      <c r="K29" s="540"/>
      <c r="M29" s="536"/>
      <c r="N29" s="537"/>
      <c r="O29" s="481" t="s">
        <v>38</v>
      </c>
      <c r="P29" s="92">
        <f>IFERROR(N28/$Q$10, "")</f>
        <v>3.5799522673031068</v>
      </c>
      <c r="Q29" s="92">
        <f>IFERROR(N28/$Q$11, "")</f>
        <v>5.2011095700416101</v>
      </c>
      <c r="R29" s="92">
        <f>IFERROR(N28/$Q$12, "")</f>
        <v>27.372262773722625</v>
      </c>
      <c r="S29" s="60">
        <f t="shared" si="6"/>
        <v>178.99761336515533</v>
      </c>
      <c r="T29" s="60">
        <f t="shared" si="7"/>
        <v>260.05547850208052</v>
      </c>
      <c r="U29" s="540"/>
    </row>
    <row r="30" spans="2:45" s="66" customFormat="1" ht="25.5" x14ac:dyDescent="0.25">
      <c r="B30" s="70" t="s">
        <v>61</v>
      </c>
      <c r="C30" s="536" t="s">
        <v>62</v>
      </c>
      <c r="D30" s="537">
        <f>VLOOKUP($B30,'Look-up Values'!$F$6:$K$12,2)</f>
        <v>180</v>
      </c>
      <c r="E30" s="481" t="s">
        <v>40</v>
      </c>
      <c r="F30" s="94">
        <f>IFERROR(D30/$G$13, "")</f>
        <v>1.3554216867469879</v>
      </c>
      <c r="G30" s="200">
        <f>IFERROR(D30/$G$14, "")</f>
        <v>1.4150943396226414</v>
      </c>
      <c r="H30" s="94">
        <f>IFERROR(D30/$G$15, "")</f>
        <v>60</v>
      </c>
      <c r="I30" s="92">
        <f t="shared" si="4"/>
        <v>67.771084337349393</v>
      </c>
      <c r="J30" s="92">
        <f t="shared" si="5"/>
        <v>70.754716981132077</v>
      </c>
      <c r="K30" s="540">
        <f>VLOOKUP($B30,'Look-up Values'!$F$6:$K$12,5)</f>
        <v>100</v>
      </c>
      <c r="L30" s="63"/>
      <c r="M30" s="536" t="s">
        <v>62</v>
      </c>
      <c r="N30" s="537">
        <f>VLOOKUP($B30,'Look-up Values'!$F$6:$K$12,2)</f>
        <v>180</v>
      </c>
      <c r="O30" s="481" t="s">
        <v>40</v>
      </c>
      <c r="P30" s="92">
        <f>IFERROR(N30/$Q$13, "")</f>
        <v>10.106681639528356</v>
      </c>
      <c r="Q30" s="92">
        <f>IFERROR(N30/$Q$14, "")</f>
        <v>10</v>
      </c>
      <c r="R30" s="92">
        <f>IFERROR(N30/$Q$15, "")</f>
        <v>90</v>
      </c>
      <c r="S30" s="60">
        <f t="shared" si="6"/>
        <v>505.33408197641779</v>
      </c>
      <c r="T30" s="60">
        <f t="shared" si="7"/>
        <v>500</v>
      </c>
      <c r="U30" s="540">
        <f>VLOOKUP($B30,'Look-up Values'!$F$6:$K$12,5)</f>
        <v>100</v>
      </c>
    </row>
    <row r="31" spans="2:45" s="66" customFormat="1" ht="20.25" customHeight="1" x14ac:dyDescent="0.25">
      <c r="B31" s="70" t="s">
        <v>61</v>
      </c>
      <c r="C31" s="536"/>
      <c r="D31" s="537"/>
      <c r="E31" s="481" t="s">
        <v>38</v>
      </c>
      <c r="F31" s="94">
        <f>IFERROR(D30/$G$10, "")</f>
        <v>0.70983516050161677</v>
      </c>
      <c r="G31" s="421">
        <f>IFERROR(D30/$G$11, "")</f>
        <v>0.85368745553711145</v>
      </c>
      <c r="H31" s="94">
        <f>IFERROR(D30/$G$12, "")</f>
        <v>1.3990362194932378</v>
      </c>
      <c r="I31" s="92">
        <f t="shared" si="4"/>
        <v>35.491758025080841</v>
      </c>
      <c r="J31" s="92">
        <f t="shared" si="5"/>
        <v>42.684372776855575</v>
      </c>
      <c r="K31" s="540"/>
      <c r="L31" s="63"/>
      <c r="M31" s="536"/>
      <c r="N31" s="537"/>
      <c r="O31" s="481" t="s">
        <v>38</v>
      </c>
      <c r="P31" s="92">
        <f>IFERROR(N30/$Q$10, "")</f>
        <v>4.295942720763728</v>
      </c>
      <c r="Q31" s="92">
        <f>IFERROR(N30/$Q$11, "")</f>
        <v>6.2413314840499323</v>
      </c>
      <c r="R31" s="92">
        <f>IFERROR(N30/$Q$12, "")</f>
        <v>32.846715328467148</v>
      </c>
      <c r="S31" s="60">
        <f t="shared" si="6"/>
        <v>214.79713603818641</v>
      </c>
      <c r="T31" s="60">
        <f t="shared" si="7"/>
        <v>312.06657420249661</v>
      </c>
      <c r="U31" s="540"/>
    </row>
    <row r="32" spans="2:45" s="63" customFormat="1" ht="20.25" customHeight="1" x14ac:dyDescent="0.25">
      <c r="B32" s="70" t="s">
        <v>63</v>
      </c>
      <c r="C32" s="536" t="s">
        <v>64</v>
      </c>
      <c r="D32" s="537">
        <f>VLOOKUP($B32,'Look-up Values'!$F$6:$K$12,2)</f>
        <v>53</v>
      </c>
      <c r="E32" s="481" t="s">
        <v>40</v>
      </c>
      <c r="F32" s="94">
        <f>IFERROR(D32/$G$13, "")</f>
        <v>0.39909638554216864</v>
      </c>
      <c r="G32" s="421">
        <f>IFERROR(D32/$G$14, "")</f>
        <v>0.41666666666666663</v>
      </c>
      <c r="H32" s="94">
        <f>IFERROR(D32/$G$15, "")</f>
        <v>17.666666666666668</v>
      </c>
      <c r="I32" s="92">
        <f t="shared" si="4"/>
        <v>19.954819277108431</v>
      </c>
      <c r="J32" s="92">
        <f t="shared" si="5"/>
        <v>20.833333333333332</v>
      </c>
      <c r="K32" s="540">
        <f>VLOOKUP($B32,'Look-up Values'!$F$6:$K$12,5)</f>
        <v>100</v>
      </c>
      <c r="L32" s="66"/>
      <c r="M32" s="536" t="s">
        <v>64</v>
      </c>
      <c r="N32" s="537">
        <f>VLOOKUP($B32,'Look-up Values'!$F$6:$K$12,2)</f>
        <v>53</v>
      </c>
      <c r="O32" s="481" t="s">
        <v>40</v>
      </c>
      <c r="P32" s="92">
        <f>IFERROR(N32/$Q$13, "")</f>
        <v>2.9758562605277934</v>
      </c>
      <c r="Q32" s="92">
        <f>IFERROR(N32/$Q$14, "")</f>
        <v>2.9444444444444446</v>
      </c>
      <c r="R32" s="92">
        <f>IFERROR(N32/$Q$15, "")</f>
        <v>26.5</v>
      </c>
      <c r="S32" s="60">
        <f t="shared" si="6"/>
        <v>148.79281302638967</v>
      </c>
      <c r="T32" s="60">
        <f t="shared" si="7"/>
        <v>147.22222222222223</v>
      </c>
      <c r="U32" s="540">
        <f>VLOOKUP($B32,'Look-up Values'!$F$6:$K$12,5)</f>
        <v>100</v>
      </c>
    </row>
    <row r="33" spans="2:21" s="63" customFormat="1" ht="20.25" customHeight="1" x14ac:dyDescent="0.25">
      <c r="B33" s="70" t="s">
        <v>63</v>
      </c>
      <c r="C33" s="536"/>
      <c r="D33" s="537"/>
      <c r="E33" s="481" t="s">
        <v>38</v>
      </c>
      <c r="F33" s="94">
        <f>IFERROR(D32/$G$10, "")</f>
        <v>0.20900701948103162</v>
      </c>
      <c r="G33" s="421">
        <f>IFERROR(D32/$G$11, "")</f>
        <v>0.25136352857481614</v>
      </c>
      <c r="H33" s="265">
        <f>IFERROR(D32/$G$12, "")</f>
        <v>0.4119384424063422</v>
      </c>
      <c r="I33" s="92">
        <f t="shared" si="4"/>
        <v>10.450350974051581</v>
      </c>
      <c r="J33" s="92">
        <f t="shared" si="5"/>
        <v>12.568176428740808</v>
      </c>
      <c r="K33" s="540"/>
      <c r="L33" s="66"/>
      <c r="M33" s="536"/>
      <c r="N33" s="537"/>
      <c r="O33" s="481" t="s">
        <v>38</v>
      </c>
      <c r="P33" s="92">
        <f>IFERROR(N32/$Q$10, "")</f>
        <v>1.2649164677804312</v>
      </c>
      <c r="Q33" s="92">
        <f>IFERROR(N32/$Q$11, "")</f>
        <v>1.8377253814147023</v>
      </c>
      <c r="R33" s="92">
        <f>IFERROR(N32/$Q$12, "")</f>
        <v>9.6715328467153281</v>
      </c>
      <c r="S33" s="60">
        <f t="shared" si="6"/>
        <v>63.24582338902156</v>
      </c>
      <c r="T33" s="60">
        <f t="shared" si="7"/>
        <v>91.886269070735111</v>
      </c>
      <c r="U33" s="540"/>
    </row>
    <row r="34" spans="2:21" s="66" customFormat="1" ht="20.25" customHeight="1" x14ac:dyDescent="0.25">
      <c r="B34" s="70" t="s">
        <v>65</v>
      </c>
      <c r="C34" s="529" t="s">
        <v>50</v>
      </c>
      <c r="D34" s="537">
        <f>VLOOKUP($B34,'Look-up Values'!$F$6:$K$12,2)</f>
        <v>31</v>
      </c>
      <c r="E34" s="481" t="s">
        <v>40</v>
      </c>
      <c r="F34" s="94">
        <f>IFERROR(D34/$I$13, "")</f>
        <v>0.32770505097312325</v>
      </c>
      <c r="G34" s="421">
        <f>IFERROR(D34/$I$14, "")</f>
        <v>0.34213231736816641</v>
      </c>
      <c r="H34" s="94">
        <f>IFERROR(D34/$I$15, "")</f>
        <v>14.506410256410255</v>
      </c>
      <c r="I34" s="92">
        <f t="shared" si="4"/>
        <v>16.385252548656162</v>
      </c>
      <c r="J34" s="92">
        <f t="shared" si="5"/>
        <v>17.106615868408319</v>
      </c>
      <c r="K34" s="540">
        <f>VLOOKUP($B34,'Look-up Values'!$F$6:$K$12,5)</f>
        <v>100</v>
      </c>
      <c r="M34" s="529" t="s">
        <v>50</v>
      </c>
      <c r="N34" s="537">
        <f>VLOOKUP($B34,'Look-up Values'!$F$6:$K$12,2)</f>
        <v>31</v>
      </c>
      <c r="O34" s="481" t="s">
        <v>40</v>
      </c>
      <c r="P34" s="92">
        <f>IFERROR(N34/$S$13, "")</f>
        <v>2.4435278365654565</v>
      </c>
      <c r="Q34" s="92">
        <f>IFERROR(N34/$S$14, "")</f>
        <v>2.4177350427350426</v>
      </c>
      <c r="R34" s="92">
        <f>IFERROR(N34/$S$15, "")</f>
        <v>21.759615384615387</v>
      </c>
      <c r="S34" s="60">
        <f>P34*$S$17</f>
        <v>122.17639182827283</v>
      </c>
      <c r="T34" s="60">
        <f t="shared" si="7"/>
        <v>120.88675213675214</v>
      </c>
      <c r="U34" s="540">
        <f>VLOOKUP($B34,'Look-up Values'!$F$6:$K$12,5)</f>
        <v>100</v>
      </c>
    </row>
    <row r="35" spans="2:21" s="66" customFormat="1" ht="20.25" customHeight="1" x14ac:dyDescent="0.25">
      <c r="B35" s="70" t="s">
        <v>65</v>
      </c>
      <c r="C35" s="529"/>
      <c r="D35" s="537"/>
      <c r="E35" s="481" t="s">
        <v>38</v>
      </c>
      <c r="F35" s="94">
        <f>IFERROR(D34/$I$10, "")</f>
        <v>0.17161933421102127</v>
      </c>
      <c r="G35" s="421">
        <f>IFERROR(D34/$I$11, "")</f>
        <v>0.20639900767953881</v>
      </c>
      <c r="H35" s="265">
        <f>IFERROR(D34/$I$12, "")</f>
        <v>0.33824988939243561</v>
      </c>
      <c r="I35" s="92">
        <f t="shared" si="4"/>
        <v>8.5809667105510634</v>
      </c>
      <c r="J35" s="92">
        <f t="shared" si="5"/>
        <v>10.319950383976941</v>
      </c>
      <c r="K35" s="540"/>
      <c r="M35" s="529"/>
      <c r="N35" s="537"/>
      <c r="O35" s="481" t="s">
        <v>38</v>
      </c>
      <c r="P35" s="92">
        <f>IFERROR(N34/$S$10, "")</f>
        <v>1.0386451257572988</v>
      </c>
      <c r="Q35" s="92">
        <f>IFERROR(N34/$S$11, "")</f>
        <v>1.5089885842313031</v>
      </c>
      <c r="R35" s="92">
        <f>IFERROR(N34/$S$12, "")</f>
        <v>7.9414654688377304</v>
      </c>
      <c r="S35" s="60">
        <f t="shared" si="6"/>
        <v>51.932256287864945</v>
      </c>
      <c r="T35" s="60">
        <f t="shared" si="7"/>
        <v>75.44942921156516</v>
      </c>
      <c r="U35" s="540"/>
    </row>
    <row r="36" spans="2:21" s="66" customFormat="1" ht="20.25" customHeight="1" x14ac:dyDescent="0.25">
      <c r="B36" s="70" t="s">
        <v>66</v>
      </c>
      <c r="C36" s="529" t="s">
        <v>52</v>
      </c>
      <c r="D36" s="537">
        <f>D22</f>
        <v>17</v>
      </c>
      <c r="E36" s="481" t="s">
        <v>40</v>
      </c>
      <c r="F36" s="94">
        <f>IFERROR(D36/$I$13, "")</f>
        <v>0.17970922150139015</v>
      </c>
      <c r="G36" s="421">
        <f>IFERROR(D36/$I$14, "")</f>
        <v>0.18762094823415579</v>
      </c>
      <c r="H36" s="94">
        <f>IFERROR(D36/$I$15, "")</f>
        <v>7.9551282051282044</v>
      </c>
      <c r="I36" s="92">
        <f t="shared" si="4"/>
        <v>8.985461075069507</v>
      </c>
      <c r="J36" s="92">
        <f>G36*$J$17</f>
        <v>9.3810474117077902</v>
      </c>
      <c r="K36" s="540">
        <v>100</v>
      </c>
      <c r="M36" s="529" t="s">
        <v>52</v>
      </c>
      <c r="N36" s="537">
        <f>N22</f>
        <v>17</v>
      </c>
      <c r="O36" s="481" t="s">
        <v>40</v>
      </c>
      <c r="P36" s="92">
        <f>IFERROR(N36/$S$13, "")</f>
        <v>1.3399991361810566</v>
      </c>
      <c r="Q36" s="92">
        <f>IFERROR(N36/$S$14, "")</f>
        <v>1.3258547008547008</v>
      </c>
      <c r="R36" s="92">
        <f>IFERROR(N36/$S$15, "")</f>
        <v>11.932692307692308</v>
      </c>
      <c r="S36" s="60">
        <f t="shared" si="6"/>
        <v>66.999956809052833</v>
      </c>
      <c r="T36" s="60">
        <f t="shared" si="7"/>
        <v>66.292735042735046</v>
      </c>
      <c r="U36" s="540">
        <v>100</v>
      </c>
    </row>
    <row r="37" spans="2:21" s="66" customFormat="1" ht="20.25" customHeight="1" x14ac:dyDescent="0.25">
      <c r="B37" s="70" t="s">
        <v>66</v>
      </c>
      <c r="C37" s="529"/>
      <c r="D37" s="537"/>
      <c r="E37" s="481" t="s">
        <v>38</v>
      </c>
      <c r="F37" s="265">
        <f>IFERROR(D36/$I$10, "")</f>
        <v>9.4113828438301975E-2</v>
      </c>
      <c r="G37" s="421">
        <f>IFERROR(D36/$I$11, "")</f>
        <v>0.11318655259845677</v>
      </c>
      <c r="H37" s="265">
        <f>IFERROR(D36/$I$12, "")</f>
        <v>0.18549187482810986</v>
      </c>
      <c r="I37" s="92">
        <f t="shared" si="4"/>
        <v>4.7056914219150991</v>
      </c>
      <c r="J37" s="92">
        <f t="shared" si="5"/>
        <v>5.6593276299228386</v>
      </c>
      <c r="K37" s="540"/>
      <c r="M37" s="529"/>
      <c r="N37" s="537"/>
      <c r="O37" s="481" t="s">
        <v>38</v>
      </c>
      <c r="P37" s="92">
        <f>IFERROR(N36/$S$10, "")</f>
        <v>0.56957958509271223</v>
      </c>
      <c r="Q37" s="92">
        <f>IFERROR(N36/$S$11, "")</f>
        <v>0.82750986877200494</v>
      </c>
      <c r="R37" s="92">
        <f>IFERROR(N36/$S$12, "")</f>
        <v>4.3549971925884323</v>
      </c>
      <c r="S37" s="60">
        <f t="shared" si="6"/>
        <v>28.478979254635611</v>
      </c>
      <c r="T37" s="60">
        <f t="shared" si="7"/>
        <v>41.375493438600245</v>
      </c>
      <c r="U37" s="540"/>
    </row>
    <row r="38" spans="2:21" s="66" customFormat="1" ht="20.25" customHeight="1" x14ac:dyDescent="0.25">
      <c r="B38" s="70" t="s">
        <v>67</v>
      </c>
      <c r="C38" s="536" t="s">
        <v>68</v>
      </c>
      <c r="D38" s="537">
        <f>VLOOKUP($B38,'Look-up Values'!$F$6:$K$12,2)</f>
        <v>25</v>
      </c>
      <c r="E38" s="481" t="s">
        <v>40</v>
      </c>
      <c r="F38" s="94">
        <f>IFERROR(D38/$G$13, "")</f>
        <v>0.18825301204819275</v>
      </c>
      <c r="G38" s="421">
        <f>IFERROR(D38/$G$14, "")</f>
        <v>0.19654088050314464</v>
      </c>
      <c r="H38" s="94">
        <f>IFERROR(D38/$G$15, "")</f>
        <v>8.3333333333333339</v>
      </c>
      <c r="I38" s="92">
        <f t="shared" si="4"/>
        <v>9.4126506024096379</v>
      </c>
      <c r="J38" s="92">
        <f t="shared" si="5"/>
        <v>9.8270440251572317</v>
      </c>
      <c r="K38" s="540">
        <f>VLOOKUP($B38,'Look-up Values'!$F$6:$K$12,5)</f>
        <v>100</v>
      </c>
      <c r="M38" s="536" t="s">
        <v>68</v>
      </c>
      <c r="N38" s="537">
        <f>VLOOKUP($B38,'Look-up Values'!$F$6:$K$12,2)</f>
        <v>25</v>
      </c>
      <c r="O38" s="481" t="s">
        <v>40</v>
      </c>
      <c r="P38" s="92">
        <f>IFERROR(N38/$Q$13, "")</f>
        <v>1.4037057832678272</v>
      </c>
      <c r="Q38" s="92">
        <f>IFERROR(N38/$Q$14, "")</f>
        <v>1.3888888888888888</v>
      </c>
      <c r="R38" s="92">
        <f>IFERROR(N38/$Q$15, "")</f>
        <v>12.5</v>
      </c>
      <c r="S38" s="60">
        <f t="shared" si="6"/>
        <v>70.18528916339136</v>
      </c>
      <c r="T38" s="60">
        <f t="shared" si="7"/>
        <v>69.444444444444443</v>
      </c>
      <c r="U38" s="540">
        <f>VLOOKUP($B38,'Look-up Values'!$F$6:$K$12,5)</f>
        <v>100</v>
      </c>
    </row>
    <row r="39" spans="2:21" s="66" customFormat="1" ht="20.25" customHeight="1" thickBot="1" x14ac:dyDescent="0.3">
      <c r="B39" s="70" t="s">
        <v>67</v>
      </c>
      <c r="C39" s="550"/>
      <c r="D39" s="542"/>
      <c r="E39" s="479" t="s">
        <v>38</v>
      </c>
      <c r="F39" s="292">
        <f>IFERROR(D38/$G$10, "")</f>
        <v>9.8588216736335665E-2</v>
      </c>
      <c r="G39" s="415">
        <f>IFERROR(D38/$G$11, "")</f>
        <v>0.11856770215793215</v>
      </c>
      <c r="H39" s="422">
        <f>IFERROR(D38/$G$12, "")</f>
        <v>0.19431058604072746</v>
      </c>
      <c r="I39" s="93">
        <f t="shared" si="4"/>
        <v>4.9294108368167837</v>
      </c>
      <c r="J39" s="93">
        <f t="shared" si="5"/>
        <v>5.9283851078966077</v>
      </c>
      <c r="K39" s="543"/>
      <c r="M39" s="550"/>
      <c r="N39" s="542"/>
      <c r="O39" s="479" t="s">
        <v>38</v>
      </c>
      <c r="P39" s="93">
        <f>IFERROR(N38/$Q$10, "")</f>
        <v>0.5966587112171845</v>
      </c>
      <c r="Q39" s="93">
        <f>IFERROR(N38/$Q$11, "")</f>
        <v>0.86685159500693498</v>
      </c>
      <c r="R39" s="93">
        <f>IFERROR(N38/$Q$12, "")</f>
        <v>4.5620437956204372</v>
      </c>
      <c r="S39" s="198">
        <f t="shared" si="6"/>
        <v>29.832935560859227</v>
      </c>
      <c r="T39" s="198">
        <f t="shared" si="7"/>
        <v>43.342579750346751</v>
      </c>
      <c r="U39" s="543"/>
    </row>
    <row r="40" spans="2:21" s="66" customFormat="1" x14ac:dyDescent="0.25">
      <c r="B40" s="72"/>
      <c r="C40" s="115"/>
      <c r="D40" s="113"/>
      <c r="E40" s="115"/>
      <c r="F40" s="115"/>
      <c r="G40" s="115"/>
      <c r="H40" s="117"/>
      <c r="I40" s="117"/>
      <c r="J40" s="117"/>
      <c r="K40" s="115"/>
      <c r="R40" s="118"/>
    </row>
    <row r="41" spans="2:21" s="66" customFormat="1" ht="13.5" hidden="1" thickBot="1" x14ac:dyDescent="0.3">
      <c r="B41" s="72"/>
      <c r="C41" s="111" t="s">
        <v>69</v>
      </c>
      <c r="D41" s="113"/>
      <c r="E41" s="115"/>
      <c r="F41" s="115"/>
      <c r="G41" s="115"/>
      <c r="H41" s="117"/>
      <c r="I41" s="117"/>
      <c r="J41" s="117"/>
      <c r="K41" s="115"/>
      <c r="M41" s="111" t="s">
        <v>69</v>
      </c>
      <c r="R41" s="118"/>
    </row>
    <row r="42" spans="2:21" s="66" customFormat="1" ht="15.75" hidden="1" x14ac:dyDescent="0.2">
      <c r="B42" s="72"/>
      <c r="C42" s="159" t="s">
        <v>71</v>
      </c>
      <c r="D42" s="73" t="s">
        <v>72</v>
      </c>
      <c r="E42" s="242" t="s">
        <v>27</v>
      </c>
      <c r="F42" s="242" t="s">
        <v>82</v>
      </c>
      <c r="G42" s="97" t="s">
        <v>84</v>
      </c>
      <c r="H42" s="242" t="s">
        <v>74</v>
      </c>
      <c r="I42" s="243"/>
      <c r="J42" s="243"/>
      <c r="K42" s="74" t="s">
        <v>75</v>
      </c>
      <c r="M42" s="159" t="s">
        <v>71</v>
      </c>
      <c r="N42" s="73" t="s">
        <v>72</v>
      </c>
      <c r="O42" s="242" t="s">
        <v>27</v>
      </c>
      <c r="P42" s="242" t="s">
        <v>82</v>
      </c>
      <c r="Q42" s="97" t="s">
        <v>84</v>
      </c>
      <c r="R42" s="242" t="s">
        <v>74</v>
      </c>
      <c r="U42" s="74" t="s">
        <v>75</v>
      </c>
    </row>
    <row r="43" spans="2:21" s="66" customFormat="1" ht="15.75" hidden="1" customHeight="1" thickBot="1" x14ac:dyDescent="0.3">
      <c r="B43" s="76" t="s">
        <v>76</v>
      </c>
      <c r="C43" s="563" t="s">
        <v>77</v>
      </c>
      <c r="D43" s="551">
        <f>VLOOKUP($B43,'Look-up Values'!$F$6:$K$12,6)</f>
        <v>4.0000000000000001E-3</v>
      </c>
      <c r="E43" s="479" t="s">
        <v>38</v>
      </c>
      <c r="F43" s="79">
        <f>IFERROR(H10*D43, "")</f>
        <v>0.52016410256410262</v>
      </c>
      <c r="G43" s="79">
        <f>IFERROR(H11*D43, "")</f>
        <v>0.43251282051282064</v>
      </c>
      <c r="H43" s="80">
        <f>IFERROR(H12*D43, "")</f>
        <v>0.26391794871794877</v>
      </c>
      <c r="I43" s="244"/>
      <c r="J43" s="244"/>
      <c r="K43" s="565" t="s">
        <v>86</v>
      </c>
      <c r="M43" s="544" t="s">
        <v>77</v>
      </c>
      <c r="N43" s="548">
        <f>VLOOKUP($B43,'Look-up Values'!$F$6:$K$12,6)</f>
        <v>4.0000000000000001E-3</v>
      </c>
      <c r="O43" s="289" t="s">
        <v>83</v>
      </c>
      <c r="P43" s="79">
        <f>IFERROR(R10*N43, "")</f>
        <v>8.5948717948717848E-2</v>
      </c>
      <c r="Q43" s="79">
        <f>IFERROR(R11*N43, "")</f>
        <v>5.9158974358974346E-2</v>
      </c>
      <c r="R43" s="80">
        <f>IFERROR(R12*N43, "")</f>
        <v>1.1241025641025641E-2</v>
      </c>
      <c r="U43" s="565" t="s">
        <v>86</v>
      </c>
    </row>
    <row r="44" spans="2:21" s="66" customFormat="1" ht="26.25" hidden="1" thickBot="1" x14ac:dyDescent="0.3">
      <c r="B44" s="76" t="s">
        <v>76</v>
      </c>
      <c r="C44" s="564"/>
      <c r="D44" s="552"/>
      <c r="E44" s="481" t="s">
        <v>40</v>
      </c>
      <c r="F44" s="98">
        <f>IFERROR(H13*D43, "")</f>
        <v>0.2111179487179487</v>
      </c>
      <c r="G44" s="99">
        <f>IFERROR(H14*D43, "")</f>
        <v>0.2022153846153846</v>
      </c>
      <c r="H44" s="141">
        <f>IFERROR(H15*D43, "")</f>
        <v>4.7692307692307695E-3</v>
      </c>
      <c r="I44" s="250"/>
      <c r="J44" s="250"/>
      <c r="K44" s="547"/>
      <c r="M44" s="545"/>
      <c r="N44" s="549"/>
      <c r="O44" s="482" t="s">
        <v>85</v>
      </c>
      <c r="P44" s="98">
        <f>IFERROR(R13*N43, "")</f>
        <v>2.8313333333333329E-2</v>
      </c>
      <c r="Q44" s="99">
        <f>IFERROR(R14*N43, "")</f>
        <v>2.8615384615384619E-2</v>
      </c>
      <c r="R44" s="141">
        <f>IFERROR(R15*N43, "")</f>
        <v>3.1794871794871794E-3</v>
      </c>
      <c r="U44" s="547"/>
    </row>
    <row r="45" spans="2:21" s="66" customFormat="1" hidden="1" x14ac:dyDescent="0.25">
      <c r="C45" s="115"/>
      <c r="D45" s="119"/>
      <c r="E45" s="120"/>
      <c r="F45" s="120"/>
      <c r="G45" s="120"/>
      <c r="H45" s="121"/>
      <c r="I45" s="121"/>
      <c r="J45" s="121"/>
      <c r="K45" s="120"/>
    </row>
    <row r="46" spans="2:21" hidden="1" x14ac:dyDescent="0.25"/>
    <row r="47" spans="2:21" ht="28.9" hidden="1" customHeight="1" x14ac:dyDescent="0.25"/>
    <row r="48" spans="2:21"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3:17" hidden="1" x14ac:dyDescent="0.25"/>
    <row r="66" spans="3:17" hidden="1" x14ac:dyDescent="0.25"/>
    <row r="67" spans="3:17" hidden="1" x14ac:dyDescent="0.25"/>
    <row r="68" spans="3:17" hidden="1" x14ac:dyDescent="0.25"/>
    <row r="69" spans="3:17" hidden="1" x14ac:dyDescent="0.25"/>
    <row r="70" spans="3:17" hidden="1" x14ac:dyDescent="0.25"/>
    <row r="71" spans="3:17" s="66" customFormat="1" hidden="1" x14ac:dyDescent="0.25">
      <c r="D71" s="128"/>
      <c r="E71" s="114"/>
      <c r="G71" s="114"/>
      <c r="H71" s="142"/>
      <c r="I71" s="142"/>
      <c r="J71" s="142"/>
      <c r="K71" s="114"/>
      <c r="N71" s="128"/>
      <c r="O71" s="114"/>
      <c r="Q71" s="114"/>
    </row>
    <row r="72" spans="3:17" s="66" customFormat="1" hidden="1" x14ac:dyDescent="0.25">
      <c r="D72" s="128"/>
      <c r="E72" s="114"/>
      <c r="G72" s="114"/>
      <c r="H72" s="142"/>
      <c r="I72" s="142"/>
      <c r="J72" s="142"/>
      <c r="K72" s="114"/>
      <c r="N72" s="128"/>
      <c r="O72" s="114"/>
      <c r="Q72" s="114"/>
    </row>
    <row r="73" spans="3:17" s="66" customFormat="1" hidden="1" x14ac:dyDescent="0.25">
      <c r="C73" s="114"/>
      <c r="D73" s="129"/>
      <c r="E73" s="114"/>
      <c r="F73" s="114"/>
      <c r="G73" s="114"/>
      <c r="H73" s="142"/>
      <c r="I73" s="142"/>
      <c r="J73" s="142"/>
      <c r="K73" s="114"/>
      <c r="M73" s="114"/>
      <c r="N73" s="129"/>
      <c r="O73" s="114"/>
      <c r="P73" s="114"/>
      <c r="Q73" s="114"/>
    </row>
    <row r="74" spans="3:17" s="66" customFormat="1" hidden="1" x14ac:dyDescent="0.25">
      <c r="C74" s="126"/>
      <c r="H74" s="143"/>
      <c r="I74" s="143"/>
      <c r="J74" s="143"/>
    </row>
    <row r="75" spans="3:17" s="66" customFormat="1" hidden="1" x14ac:dyDescent="0.25">
      <c r="D75" s="63"/>
      <c r="H75" s="143"/>
      <c r="I75" s="143"/>
      <c r="J75" s="143"/>
    </row>
    <row r="76" spans="3:17" s="148" customFormat="1" hidden="1" x14ac:dyDescent="0.25">
      <c r="C76" s="146" t="s">
        <v>87</v>
      </c>
      <c r="D76" s="147"/>
      <c r="H76" s="149"/>
      <c r="I76" s="149"/>
      <c r="J76" s="149"/>
    </row>
    <row r="77" spans="3:17" s="148" customFormat="1" hidden="1" x14ac:dyDescent="0.25">
      <c r="C77" s="150" t="s">
        <v>88</v>
      </c>
      <c r="D77" s="151">
        <f>R43</f>
        <v>1.1241025641025641E-2</v>
      </c>
      <c r="H77" s="149"/>
      <c r="I77" s="149"/>
      <c r="J77" s="149"/>
    </row>
    <row r="78" spans="3:17" s="148" customFormat="1" hidden="1" x14ac:dyDescent="0.25">
      <c r="C78" s="150" t="s">
        <v>89</v>
      </c>
      <c r="D78" s="151">
        <f>Q43</f>
        <v>5.9158974358974346E-2</v>
      </c>
      <c r="H78" s="149"/>
      <c r="I78" s="149"/>
      <c r="J78" s="149"/>
    </row>
    <row r="79" spans="3:17" s="148" customFormat="1" hidden="1" x14ac:dyDescent="0.25">
      <c r="C79" s="148" t="s">
        <v>90</v>
      </c>
      <c r="D79" s="151">
        <f>P43</f>
        <v>8.5948717948717848E-2</v>
      </c>
      <c r="H79" s="149"/>
      <c r="I79" s="149"/>
      <c r="J79" s="149"/>
    </row>
    <row r="80" spans="3:17" s="148" customFormat="1" hidden="1" x14ac:dyDescent="0.25">
      <c r="C80" s="148" t="s">
        <v>91</v>
      </c>
      <c r="D80" s="151">
        <f>H43</f>
        <v>0.26391794871794877</v>
      </c>
      <c r="H80" s="149"/>
      <c r="I80" s="149"/>
      <c r="J80" s="149"/>
    </row>
    <row r="81" spans="3:10" s="148" customFormat="1" hidden="1" x14ac:dyDescent="0.25">
      <c r="C81" s="148" t="s">
        <v>92</v>
      </c>
      <c r="D81" s="151">
        <f>G43</f>
        <v>0.43251282051282064</v>
      </c>
      <c r="H81" s="149"/>
      <c r="I81" s="149"/>
      <c r="J81" s="149"/>
    </row>
    <row r="82" spans="3:10" s="148" customFormat="1" hidden="1" x14ac:dyDescent="0.25">
      <c r="C82" s="152" t="s">
        <v>93</v>
      </c>
      <c r="D82" s="151">
        <f>F43</f>
        <v>0.52016410256410262</v>
      </c>
      <c r="H82" s="149"/>
      <c r="I82" s="149"/>
      <c r="J82" s="149"/>
    </row>
    <row r="83" spans="3:10" s="148" customFormat="1" hidden="1" x14ac:dyDescent="0.25">
      <c r="D83" s="147"/>
      <c r="H83" s="149"/>
      <c r="I83" s="149"/>
      <c r="J83" s="149"/>
    </row>
    <row r="84" spans="3:10" s="148" customFormat="1" hidden="1" x14ac:dyDescent="0.25">
      <c r="D84" s="147"/>
      <c r="H84" s="149"/>
      <c r="I84" s="149"/>
      <c r="J84" s="149"/>
    </row>
    <row r="85" spans="3:10" s="148" customFormat="1" hidden="1" x14ac:dyDescent="0.25">
      <c r="C85" s="146" t="s">
        <v>94</v>
      </c>
      <c r="D85" s="147"/>
      <c r="H85" s="149"/>
      <c r="I85" s="149"/>
      <c r="J85" s="149"/>
    </row>
    <row r="86" spans="3:10" s="148" customFormat="1" hidden="1" x14ac:dyDescent="0.25">
      <c r="C86" s="150" t="s">
        <v>88</v>
      </c>
      <c r="D86" s="151">
        <f>R44</f>
        <v>3.1794871794871794E-3</v>
      </c>
      <c r="H86" s="149"/>
      <c r="I86" s="149"/>
      <c r="J86" s="149"/>
    </row>
    <row r="87" spans="3:10" s="148" customFormat="1" hidden="1" x14ac:dyDescent="0.25">
      <c r="C87" s="150" t="s">
        <v>89</v>
      </c>
      <c r="D87" s="151">
        <f>Q44</f>
        <v>2.8615384615384619E-2</v>
      </c>
      <c r="H87" s="149"/>
      <c r="I87" s="149"/>
      <c r="J87" s="149"/>
    </row>
    <row r="88" spans="3:10" s="148" customFormat="1" hidden="1" x14ac:dyDescent="0.25">
      <c r="C88" s="148" t="s">
        <v>90</v>
      </c>
      <c r="D88" s="151">
        <f>P44</f>
        <v>2.8313333333333329E-2</v>
      </c>
      <c r="H88" s="149"/>
      <c r="I88" s="149"/>
      <c r="J88" s="149"/>
    </row>
    <row r="89" spans="3:10" s="148" customFormat="1" hidden="1" x14ac:dyDescent="0.25">
      <c r="C89" s="148" t="s">
        <v>91</v>
      </c>
      <c r="D89" s="151">
        <f>H44</f>
        <v>4.7692307692307695E-3</v>
      </c>
      <c r="H89" s="149"/>
      <c r="I89" s="149"/>
      <c r="J89" s="149"/>
    </row>
    <row r="90" spans="3:10" s="148" customFormat="1" hidden="1" x14ac:dyDescent="0.25">
      <c r="C90" s="148" t="s">
        <v>92</v>
      </c>
      <c r="D90" s="151">
        <f>G44</f>
        <v>0.2022153846153846</v>
      </c>
      <c r="H90" s="149"/>
      <c r="I90" s="149"/>
      <c r="J90" s="149"/>
    </row>
    <row r="91" spans="3:10" s="148" customFormat="1" hidden="1" x14ac:dyDescent="0.25">
      <c r="C91" s="152" t="s">
        <v>93</v>
      </c>
      <c r="D91" s="151">
        <f>F44</f>
        <v>0.2111179487179487</v>
      </c>
      <c r="H91" s="149"/>
      <c r="I91" s="149"/>
      <c r="J91" s="149"/>
    </row>
    <row r="92" spans="3:10" hidden="1" x14ac:dyDescent="0.25"/>
    <row r="93" spans="3:10" hidden="1" x14ac:dyDescent="0.25"/>
  </sheetData>
  <sheetProtection algorithmName="SHA-512" hashValue="DkR1MKGoAdDqIAi/7kg6T+wUsGQtSJ1pmOEqSOvURx3eI6JTADknF9W7xV/fCbJ/SXV+NoQb9IXdtGJ/J8UL6w==" saltValue="l41nV2VEDzuU3sBwFob2NQ==" spinCount="100000" sheet="1" autoFilter="0"/>
  <mergeCells count="88">
    <mergeCell ref="I26:J26"/>
    <mergeCell ref="I18:J18"/>
    <mergeCell ref="C22:C23"/>
    <mergeCell ref="D22:D23"/>
    <mergeCell ref="K22:K23"/>
    <mergeCell ref="E26:E27"/>
    <mergeCell ref="F26:H26"/>
    <mergeCell ref="K26:K27"/>
    <mergeCell ref="E18:E19"/>
    <mergeCell ref="F18:H18"/>
    <mergeCell ref="C36:C37"/>
    <mergeCell ref="D36:D37"/>
    <mergeCell ref="K28:K29"/>
    <mergeCell ref="K30:K31"/>
    <mergeCell ref="K32:K33"/>
    <mergeCell ref="K34:K35"/>
    <mergeCell ref="C28:C29"/>
    <mergeCell ref="C30:C31"/>
    <mergeCell ref="C32:C33"/>
    <mergeCell ref="C34:C35"/>
    <mergeCell ref="U43:U44"/>
    <mergeCell ref="U28:U29"/>
    <mergeCell ref="U30:U31"/>
    <mergeCell ref="U32:U33"/>
    <mergeCell ref="U34:U35"/>
    <mergeCell ref="U38:U39"/>
    <mergeCell ref="U36:U37"/>
    <mergeCell ref="N43:N44"/>
    <mergeCell ref="K43:K44"/>
    <mergeCell ref="N28:N29"/>
    <mergeCell ref="N30:N31"/>
    <mergeCell ref="N32:N33"/>
    <mergeCell ref="N34:N35"/>
    <mergeCell ref="N38:N39"/>
    <mergeCell ref="N36:N37"/>
    <mergeCell ref="M34:M35"/>
    <mergeCell ref="M38:M39"/>
    <mergeCell ref="M36:M37"/>
    <mergeCell ref="M28:M29"/>
    <mergeCell ref="M30:M31"/>
    <mergeCell ref="M32:M33"/>
    <mergeCell ref="K36:K37"/>
    <mergeCell ref="D43:D44"/>
    <mergeCell ref="C43:C44"/>
    <mergeCell ref="M43:M44"/>
    <mergeCell ref="C38:C39"/>
    <mergeCell ref="C20:C21"/>
    <mergeCell ref="M20:M21"/>
    <mergeCell ref="D20:D21"/>
    <mergeCell ref="K20:K21"/>
    <mergeCell ref="C26:C27"/>
    <mergeCell ref="D26:D27"/>
    <mergeCell ref="K38:K39"/>
    <mergeCell ref="D28:D29"/>
    <mergeCell ref="D30:D31"/>
    <mergeCell ref="D32:D33"/>
    <mergeCell ref="D34:D35"/>
    <mergeCell ref="D38:D39"/>
    <mergeCell ref="U26:U27"/>
    <mergeCell ref="P18:R18"/>
    <mergeCell ref="P26:R26"/>
    <mergeCell ref="O18:O19"/>
    <mergeCell ref="O26:O27"/>
    <mergeCell ref="U20:U21"/>
    <mergeCell ref="S18:T18"/>
    <mergeCell ref="S26:T26"/>
    <mergeCell ref="U22:U23"/>
    <mergeCell ref="U18:U19"/>
    <mergeCell ref="M26:M27"/>
    <mergeCell ref="N26:N27"/>
    <mergeCell ref="N10:N12"/>
    <mergeCell ref="N13:N15"/>
    <mergeCell ref="K18:K19"/>
    <mergeCell ref="N22:N23"/>
    <mergeCell ref="M22:M23"/>
    <mergeCell ref="N20:N21"/>
    <mergeCell ref="C5:G5"/>
    <mergeCell ref="M5:Q5"/>
    <mergeCell ref="C8:C9"/>
    <mergeCell ref="M8:M9"/>
    <mergeCell ref="C18:C19"/>
    <mergeCell ref="D18:D19"/>
    <mergeCell ref="M18:M19"/>
    <mergeCell ref="D8:D9"/>
    <mergeCell ref="D10:D12"/>
    <mergeCell ref="N18:N19"/>
    <mergeCell ref="D13:D15"/>
    <mergeCell ref="N8:N9"/>
  </mergeCells>
  <conditionalFormatting sqref="E10:E11 F43 P44 P43:Q43 F28:F29 F39 P28:Q29 P39:Q39 F31:F37 P31:Q37">
    <cfRule type="cellIs" dxfId="130" priority="83" operator="greaterThanOrEqual">
      <formula>0.1</formula>
    </cfRule>
    <cfRule type="cellIs" dxfId="129" priority="84" operator="lessThan">
      <formula>0.1</formula>
    </cfRule>
  </conditionalFormatting>
  <conditionalFormatting sqref="F43 P44 P43:Q43">
    <cfRule type="cellIs" dxfId="128" priority="85" operator="lessThanOrEqual">
      <formula>#REF!</formula>
    </cfRule>
    <cfRule type="cellIs" dxfId="127" priority="86" operator="greaterThan">
      <formula>#REF!</formula>
    </cfRule>
  </conditionalFormatting>
  <conditionalFormatting sqref="O10:O11">
    <cfRule type="cellIs" dxfId="126" priority="81" operator="greaterThanOrEqual">
      <formula>0.1</formula>
    </cfRule>
    <cfRule type="cellIs" dxfId="125" priority="82" operator="lessThan">
      <formula>0.1</formula>
    </cfRule>
  </conditionalFormatting>
  <conditionalFormatting sqref="P28:P29 P31 P33 P35 P39">
    <cfRule type="expression" dxfId="124" priority="79">
      <formula>P28&lt;#REF!</formula>
    </cfRule>
    <cfRule type="expression" dxfId="123" priority="80">
      <formula>P28&gt;=#REF!</formula>
    </cfRule>
  </conditionalFormatting>
  <conditionalFormatting sqref="F20:J23">
    <cfRule type="cellIs" dxfId="122" priority="69" operator="greaterThan">
      <formula>$K$20</formula>
    </cfRule>
    <cfRule type="cellIs" dxfId="121" priority="70" operator="lessThan">
      <formula>$K$20</formula>
    </cfRule>
  </conditionalFormatting>
  <conditionalFormatting sqref="F30">
    <cfRule type="cellIs" dxfId="120" priority="65" operator="greaterThanOrEqual">
      <formula>0.1</formula>
    </cfRule>
    <cfRule type="cellIs" dxfId="119" priority="66" operator="lessThan">
      <formula>0.1</formula>
    </cfRule>
  </conditionalFormatting>
  <conditionalFormatting sqref="F30 F32 F36:F37 P32:Q32 P36:Q37 F34 P34:Q34">
    <cfRule type="expression" dxfId="118" priority="67">
      <formula>F30&lt;#REF!</formula>
    </cfRule>
    <cfRule type="expression" dxfId="117" priority="68">
      <formula>F30&gt;=#REF!</formula>
    </cfRule>
  </conditionalFormatting>
  <conditionalFormatting sqref="F38">
    <cfRule type="cellIs" dxfId="116" priority="53" operator="greaterThanOrEqual">
      <formula>0.1</formula>
    </cfRule>
    <cfRule type="cellIs" dxfId="115" priority="54" operator="lessThan">
      <formula>0.1</formula>
    </cfRule>
  </conditionalFormatting>
  <conditionalFormatting sqref="F38">
    <cfRule type="expression" dxfId="114" priority="55">
      <formula>F38&lt;#REF!</formula>
    </cfRule>
    <cfRule type="expression" dxfId="113" priority="56">
      <formula>F38&gt;=#REF!</formula>
    </cfRule>
  </conditionalFormatting>
  <conditionalFormatting sqref="Q30">
    <cfRule type="cellIs" dxfId="112" priority="45" operator="greaterThanOrEqual">
      <formula>0.1</formula>
    </cfRule>
    <cfRule type="cellIs" dxfId="111" priority="46" operator="lessThan">
      <formula>0.1</formula>
    </cfRule>
  </conditionalFormatting>
  <conditionalFormatting sqref="Q30">
    <cfRule type="expression" dxfId="110" priority="47">
      <formula>Q30&lt;#REF!</formula>
    </cfRule>
    <cfRule type="expression" dxfId="109" priority="48">
      <formula>Q30&gt;=#REF!</formula>
    </cfRule>
  </conditionalFormatting>
  <conditionalFormatting sqref="P30">
    <cfRule type="cellIs" dxfId="108" priority="41" operator="greaterThanOrEqual">
      <formula>0.1</formula>
    </cfRule>
    <cfRule type="cellIs" dxfId="107" priority="42" operator="lessThan">
      <formula>0.1</formula>
    </cfRule>
  </conditionalFormatting>
  <conditionalFormatting sqref="P30">
    <cfRule type="expression" dxfId="106" priority="43">
      <formula>P30&lt;#REF!</formula>
    </cfRule>
    <cfRule type="expression" dxfId="105" priority="44">
      <formula>P30&gt;=#REF!</formula>
    </cfRule>
  </conditionalFormatting>
  <conditionalFormatting sqref="Q38">
    <cfRule type="cellIs" dxfId="104" priority="21" operator="greaterThanOrEqual">
      <formula>0.1</formula>
    </cfRule>
    <cfRule type="cellIs" dxfId="103" priority="22" operator="lessThan">
      <formula>0.1</formula>
    </cfRule>
  </conditionalFormatting>
  <conditionalFormatting sqref="Q38">
    <cfRule type="expression" dxfId="102" priority="23">
      <formula>Q38&lt;#REF!</formula>
    </cfRule>
    <cfRule type="expression" dxfId="101" priority="24">
      <formula>Q38&gt;=#REF!</formula>
    </cfRule>
  </conditionalFormatting>
  <conditionalFormatting sqref="P38">
    <cfRule type="cellIs" dxfId="100" priority="17" operator="greaterThanOrEqual">
      <formula>0.1</formula>
    </cfRule>
    <cfRule type="cellIs" dxfId="99" priority="18" operator="lessThan">
      <formula>0.1</formula>
    </cfRule>
  </conditionalFormatting>
  <conditionalFormatting sqref="P38">
    <cfRule type="expression" dxfId="98" priority="19">
      <formula>P38&lt;#REF!</formula>
    </cfRule>
    <cfRule type="expression" dxfId="97" priority="20">
      <formula>P38&gt;=#REF!</formula>
    </cfRule>
  </conditionalFormatting>
  <conditionalFormatting sqref="P28:R37">
    <cfRule type="cellIs" dxfId="96" priority="139" operator="greaterThan">
      <formula>$U$28</formula>
    </cfRule>
    <cfRule type="cellIs" dxfId="95" priority="140" operator="lessThan">
      <formula>$U$28</formula>
    </cfRule>
  </conditionalFormatting>
  <conditionalFormatting sqref="P38:R39">
    <cfRule type="cellIs" dxfId="94" priority="141" operator="greaterThan">
      <formula>$U$38</formula>
    </cfRule>
    <cfRule type="cellIs" dxfId="93" priority="142" operator="lessThan">
      <formula>$U$38</formula>
    </cfRule>
  </conditionalFormatting>
  <conditionalFormatting sqref="P20:T23">
    <cfRule type="cellIs" dxfId="92" priority="137" operator="greaterThan">
      <formula>$U$20</formula>
    </cfRule>
    <cfRule type="cellIs" dxfId="91" priority="138" operator="lessThan">
      <formula>$U$20</formula>
    </cfRule>
  </conditionalFormatting>
  <conditionalFormatting sqref="F28:J37 P28:T37">
    <cfRule type="cellIs" dxfId="90" priority="51" operator="greaterThan">
      <formula>$K$28</formula>
    </cfRule>
    <cfRule type="cellIs" dxfId="89" priority="52" operator="lessThan">
      <formula>$K$28</formula>
    </cfRule>
  </conditionalFormatting>
  <conditionalFormatting sqref="F38:J39 P38:T39">
    <cfRule type="cellIs" dxfId="88" priority="49" operator="greaterThan">
      <formula>$K$38</formula>
    </cfRule>
    <cfRule type="cellIs" dxfId="87" priority="50" operator="lessThan">
      <formula>$K$38</formula>
    </cfRule>
  </conditionalFormatting>
  <dataValidations count="1">
    <dataValidation allowBlank="1" showErrorMessage="1" sqref="E8:E9 M15 C8 C12 C15 O12 M8 M12 O8:O9" xr:uid="{00000000-0002-0000-01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FB7C379-FA2C-4D5E-A4B1-5D4DA54AF3A4}">
          <x14:formula1>
            <xm:f>RR!$K$8:$M$8</xm:f>
          </x14:formula1>
          <xm:sqref>S17 J17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44F6-2024-4735-AA54-1FA8BFAD6ECC}">
  <sheetPr codeName="Sheet5">
    <tabColor rgb="FF92D050"/>
  </sheetPr>
  <dimension ref="B1:AT109"/>
  <sheetViews>
    <sheetView zoomScale="80" zoomScaleNormal="80" workbookViewId="0">
      <selection activeCell="C1" sqref="C1"/>
    </sheetView>
  </sheetViews>
  <sheetFormatPr defaultColWidth="8.85546875" defaultRowHeight="12.75" x14ac:dyDescent="0.25"/>
  <cols>
    <col min="1" max="1" width="2.7109375" style="100" customWidth="1"/>
    <col min="2" max="2" width="6.7109375" style="100" hidden="1" customWidth="1"/>
    <col min="3" max="3" width="30.7109375" style="100" customWidth="1"/>
    <col min="4" max="4" width="15.7109375" style="56" customWidth="1"/>
    <col min="5" max="5" width="16.7109375" style="100" customWidth="1"/>
    <col min="6" max="8" width="13.7109375" style="100" customWidth="1"/>
    <col min="9" max="9" width="14.140625" style="100" customWidth="1"/>
    <col min="10" max="10" width="18.7109375" style="100" customWidth="1"/>
    <col min="11" max="11" width="27.140625" style="100" customWidth="1"/>
    <col min="12" max="13" width="16.7109375" style="100" customWidth="1"/>
    <col min="14" max="16" width="13.7109375" style="100" customWidth="1"/>
    <col min="17" max="17" width="14" style="100" customWidth="1"/>
    <col min="18" max="16384" width="8.85546875" style="100"/>
  </cols>
  <sheetData>
    <row r="1" spans="3:16" ht="13.5" thickBot="1" x14ac:dyDescent="0.3"/>
    <row r="2" spans="3:16" ht="15" customHeight="1" x14ac:dyDescent="0.25">
      <c r="C2" s="102" t="s">
        <v>19</v>
      </c>
      <c r="D2" s="122" t="s">
        <v>20</v>
      </c>
    </row>
    <row r="3" spans="3:16" ht="13.5" thickBot="1" x14ac:dyDescent="0.3">
      <c r="C3" s="123" t="s">
        <v>95</v>
      </c>
      <c r="D3" s="124" t="s">
        <v>22</v>
      </c>
    </row>
    <row r="4" spans="3:16" s="105" customFormat="1" ht="13.5" x14ac:dyDescent="0.25">
      <c r="C4" s="106"/>
      <c r="D4" s="107"/>
      <c r="J4" s="106"/>
    </row>
    <row r="5" spans="3:16" s="72" customFormat="1" ht="13.5" x14ac:dyDescent="0.25">
      <c r="C5" s="523" t="s">
        <v>96</v>
      </c>
      <c r="D5" s="523"/>
      <c r="E5" s="523"/>
      <c r="F5" s="523"/>
      <c r="G5" s="523"/>
      <c r="H5" s="473"/>
      <c r="I5" s="473"/>
      <c r="J5" s="110"/>
      <c r="K5" s="523" t="s">
        <v>97</v>
      </c>
      <c r="L5" s="523"/>
      <c r="M5" s="523"/>
      <c r="N5" s="523"/>
      <c r="O5" s="523"/>
    </row>
    <row r="7" spans="3:16" ht="13.5" thickBot="1" x14ac:dyDescent="0.3">
      <c r="C7" s="105" t="s">
        <v>25</v>
      </c>
      <c r="K7" s="105" t="s">
        <v>25</v>
      </c>
    </row>
    <row r="8" spans="3:16" ht="38.25" x14ac:dyDescent="0.25">
      <c r="C8" s="524" t="s">
        <v>26</v>
      </c>
      <c r="D8" s="530" t="s">
        <v>27</v>
      </c>
      <c r="E8" s="476" t="s">
        <v>28</v>
      </c>
      <c r="F8" s="476" t="s">
        <v>29</v>
      </c>
      <c r="G8" s="476" t="s">
        <v>30</v>
      </c>
      <c r="H8" s="83" t="s">
        <v>31</v>
      </c>
      <c r="I8" s="473"/>
      <c r="K8" s="524" t="s">
        <v>26</v>
      </c>
      <c r="L8" s="530" t="s">
        <v>27</v>
      </c>
      <c r="M8" s="476" t="s">
        <v>28</v>
      </c>
      <c r="N8" s="476" t="s">
        <v>29</v>
      </c>
      <c r="O8" s="476" t="s">
        <v>30</v>
      </c>
      <c r="P8" s="83" t="s">
        <v>31</v>
      </c>
    </row>
    <row r="9" spans="3:16" ht="28.5" x14ac:dyDescent="0.25">
      <c r="C9" s="525"/>
      <c r="D9" s="531"/>
      <c r="E9" s="477" t="s">
        <v>98</v>
      </c>
      <c r="F9" s="477" t="s">
        <v>99</v>
      </c>
      <c r="G9" s="477" t="s">
        <v>100</v>
      </c>
      <c r="H9" s="84" t="s">
        <v>101</v>
      </c>
      <c r="I9" s="162"/>
      <c r="K9" s="525"/>
      <c r="L9" s="531"/>
      <c r="M9" s="477" t="s">
        <v>98</v>
      </c>
      <c r="N9" s="477" t="s">
        <v>99</v>
      </c>
      <c r="O9" s="477" t="s">
        <v>100</v>
      </c>
      <c r="P9" s="84" t="s">
        <v>101</v>
      </c>
    </row>
    <row r="10" spans="3:16" ht="20.25" customHeight="1" x14ac:dyDescent="0.25">
      <c r="C10" s="161" t="s">
        <v>102</v>
      </c>
      <c r="D10" s="548" t="s">
        <v>83</v>
      </c>
      <c r="E10" s="57">
        <f>SUMIFS('Exposure Results'!E:E, 'Exposure Results'!D:D, C10, 'Exposure Results'!B:B, $C$3, 'Exposure Results'!C:C, "&lt;&gt;4th Gen", 'Exposure Results'!Q:Q, $D$3)</f>
        <v>7.9330711125810982</v>
      </c>
      <c r="F10" s="58">
        <f>SUMIFS('Exposure Results'!G:G, 'Exposure Results'!D:D, C10, 'Exposure Results'!B:B, $C$3, 'Exposure Results'!C:C, "&lt;&gt;4th Gen", 'Exposure Results'!Q:Q, $D$3)</f>
        <v>3.9665355562905491</v>
      </c>
      <c r="G10" s="58">
        <f>SUMIFS('Exposure Results'!I:I, 'Exposure Results'!D:D, C10, 'Exposure Results'!B:B, $C$3, 'Exposure Results'!C:C, "&lt;&gt;4th Gen", 'Exposure Results'!Q:Q, $D$3)</f>
        <v>2.8343764407041832</v>
      </c>
      <c r="H10" s="59">
        <f>SUMIFS('Exposure Results'!K:K, 'Exposure Results'!D:D, C10, 'Exposure Results'!B:B, $C$3, 'Exposure Results'!C:C, "&lt;&gt;4th Gen", 'Exposure Results'!Q:Q, $D$3)</f>
        <v>1.1449651643577905</v>
      </c>
      <c r="I10" s="137"/>
      <c r="K10" s="161" t="s">
        <v>102</v>
      </c>
      <c r="L10" s="548" t="s">
        <v>83</v>
      </c>
      <c r="M10" s="60">
        <f>SUMIFS('Exposure Results'!E:E, 'Exposure Results'!D:D, K10, 'Exposure Results'!B:B, $C$3, 'Exposure Results'!C:C, "4th Gen", 'Exposure Results'!Q:Q, $D$3)</f>
        <v>5.6542367545737449</v>
      </c>
      <c r="N10" s="58">
        <f>SUMIFS('Exposure Results'!G:G, 'Exposure Results'!D:D, K10, 'Exposure Results'!B:B, $C$3, 'Exposure Results'!C:C, "4th Gen", 'Exposure Results'!Q:Q, $D$3)</f>
        <v>2.8271183772868724</v>
      </c>
      <c r="O10" s="58">
        <f>SUMIFS('Exposure Results'!I:I, 'Exposure Results'!D:D, K10, 'Exposure Results'!B:B, $C$3, 'Exposure Results'!C:C, "4th Gen", 'Exposure Results'!Q:Q, $D$3)</f>
        <v>2.0245377095111157</v>
      </c>
      <c r="P10" s="59">
        <f>SUMIFS('Exposure Results'!K:K, 'Exposure Results'!D:D, K10, 'Exposure Results'!B:B, $C$3, 'Exposure Results'!C:C, "4th Gen", 'Exposure Results'!Q:Q, $D$3)</f>
        <v>0.82236580377795332</v>
      </c>
    </row>
    <row r="11" spans="3:16" ht="20.25" customHeight="1" x14ac:dyDescent="0.25">
      <c r="C11" s="161" t="s">
        <v>103</v>
      </c>
      <c r="D11" s="551"/>
      <c r="E11" s="57">
        <f>SUMIFS('Exposure Results'!E:E, 'Exposure Results'!D:D, C11, 'Exposure Results'!B:B, $C$3, 'Exposure Results'!C:C, "&lt;&gt;4th Gen", 'Exposure Results'!Q:Q, $D$3)</f>
        <v>60.531350655556174</v>
      </c>
      <c r="F11" s="58">
        <f>SUMIFS('Exposure Results'!G:G, 'Exposure Results'!D:D, C11, 'Exposure Results'!B:B, $C$3, 'Exposure Results'!C:C, "&lt;&gt;4th Gen", 'Exposure Results'!Q:Q, $D$3)</f>
        <v>30.265675327778087</v>
      </c>
      <c r="G11" s="58">
        <f>SUMIFS('Exposure Results'!I:I, 'Exposure Results'!D:D, C11, 'Exposure Results'!B:B, $C$3, 'Exposure Results'!C:C, "&lt;&gt;4th Gen", 'Exposure Results'!Q:Q, $D$3)</f>
        <v>21.697068846428085</v>
      </c>
      <c r="H11" s="59">
        <f>SUMIFS('Exposure Results'!K:K, 'Exposure Results'!D:D, C11, 'Exposure Results'!B:B, $C$3, 'Exposure Results'!C:C, "&lt;&gt;4th Gen", 'Exposure Results'!Q:Q, $D$3)</f>
        <v>8.5727851755768363</v>
      </c>
      <c r="I11" s="137"/>
      <c r="K11" s="161" t="s">
        <v>103</v>
      </c>
      <c r="L11" s="551"/>
      <c r="M11" s="60">
        <f>SUMIFS('Exposure Results'!E:E, 'Exposure Results'!D:D, K11, 'Exposure Results'!B:B, $C$3, 'Exposure Results'!C:C, "4th Gen", 'Exposure Results'!Q:Q, $D$3)</f>
        <v>6.3630842256894358</v>
      </c>
      <c r="N11" s="58">
        <f>SUMIFS('Exposure Results'!G:G, 'Exposure Results'!D:D, K11, 'Exposure Results'!B:B, $C$3, 'Exposure Results'!C:C, "4th Gen", 'Exposure Results'!Q:Q, $D$3)</f>
        <v>3.1815421128447179</v>
      </c>
      <c r="O11" s="58">
        <f>SUMIFS('Exposure Results'!I:I, 'Exposure Results'!D:D, K11, 'Exposure Results'!B:B, $C$3, 'Exposure Results'!C:C, "4th Gen", 'Exposure Results'!Q:Q, $D$3)</f>
        <v>2.2970814269753639</v>
      </c>
      <c r="P11" s="59">
        <f>SUMIFS('Exposure Results'!K:K, 'Exposure Results'!D:D, K11, 'Exposure Results'!B:B, $C$3, 'Exposure Results'!C:C, "4th Gen", 'Exposure Results'!Q:Q, $D$3)</f>
        <v>0.93512844812261053</v>
      </c>
    </row>
    <row r="12" spans="3:16" ht="20.25" customHeight="1" thickBot="1" x14ac:dyDescent="0.3">
      <c r="C12" s="86" t="s">
        <v>39</v>
      </c>
      <c r="D12" s="549"/>
      <c r="E12" s="61">
        <f>SUMIFS('Exposure Results'!E:E, 'Exposure Results'!D:D, C12, 'Exposure Results'!B:B, $C$3, 'Exposure Results'!C:C, "&lt;&gt;4th Gen", 'Exposure Results'!Q:Q, $D$3)</f>
        <v>6.6536528276042342</v>
      </c>
      <c r="F12" s="61">
        <f>SUMIFS('Exposure Results'!G:G, 'Exposure Results'!D:D, C12, 'Exposure Results'!B:B, $C$3, 'Exposure Results'!C:C, "&lt;&gt;4th Gen", 'Exposure Results'!Q:Q, $D$3)</f>
        <v>3.3268264138021171</v>
      </c>
      <c r="G12" s="61">
        <f>SUMIFS('Exposure Results'!I:I, 'Exposure Results'!D:D, C12, 'Exposure Results'!B:B, $C$3, 'Exposure Results'!C:C, "&lt;&gt;4th Gen", 'Exposure Results'!Q:Q, $D$3)</f>
        <v>2.3713608171096299</v>
      </c>
      <c r="H12" s="62">
        <f>SUMIFS('Exposure Results'!K:K, 'Exposure Results'!D:D, C12, 'Exposure Results'!B:B, $C$3, 'Exposure Results'!C:C, "&lt;&gt;4th Gen", 'Exposure Results'!Q:Q, $D$3)</f>
        <v>0.94893197804230112</v>
      </c>
      <c r="I12" s="64"/>
      <c r="K12" s="86" t="s">
        <v>39</v>
      </c>
      <c r="L12" s="549"/>
      <c r="M12" s="61">
        <f>SUMIFS('Exposure Results'!E:E, 'Exposure Results'!D:D, K12, 'Exposure Results'!B:B, $C$3, 'Exposure Results'!C:C, "4th Gen", 'Exposure Results'!Q:Q, $D$3)</f>
        <v>4.2117864423449403</v>
      </c>
      <c r="N12" s="61">
        <f>SUMIFS('Exposure Results'!G:G, 'Exposure Results'!D:D, K12, 'Exposure Results'!B:B, $C$3, 'Exposure Results'!C:C, "4th Gen", 'Exposure Results'!Q:Q, $D$3)</f>
        <v>2.1058932211724701</v>
      </c>
      <c r="O12" s="61">
        <f>SUMIFS('Exposure Results'!I:I, 'Exposure Results'!D:D, K12, 'Exposure Results'!B:B, $C$3, 'Exposure Results'!C:C, "4th Gen", 'Exposure Results'!Q:Q, $D$3)</f>
        <v>1.4897256183950531</v>
      </c>
      <c r="P12" s="62">
        <f>SUMIFS('Exposure Results'!K:K, 'Exposure Results'!D:D, K12, 'Exposure Results'!B:B, $C$3, 'Exposure Results'!C:C, "4th Gen", 'Exposure Results'!Q:Q, $D$3)</f>
        <v>0.59645569287130706</v>
      </c>
    </row>
    <row r="13" spans="3:16" ht="20.25" customHeight="1" x14ac:dyDescent="0.25">
      <c r="C13" s="161" t="s">
        <v>102</v>
      </c>
      <c r="D13" s="567" t="s">
        <v>85</v>
      </c>
      <c r="E13" s="77">
        <f>SUMIFS('Exposure Results'!F:F, 'Exposure Results'!D:D, C13, 'Exposure Results'!B:B, $C$3, 'Exposure Results'!C:C, "&lt;&gt;4th Gen", 'Exposure Results'!Q:Q, $D$3)</f>
        <v>2.934052504733085</v>
      </c>
      <c r="F13" s="77">
        <f>SUMIFS('Exposure Results'!H:H, 'Exposure Results'!D:D, C13, 'Exposure Results'!B:B, $C$3, 'Exposure Results'!C:C, "&lt;&gt;4th Gen", 'Exposure Results'!Q:Q, $D$3)</f>
        <v>1.4670262523665425</v>
      </c>
      <c r="G13" s="77">
        <f>SUMIFS('Exposure Results'!J:J, 'Exposure Results'!D:D, C13, 'Exposure Results'!B:B, $C$3, 'Exposure Results'!C:C, "&lt;&gt;4th Gen", 'Exposure Results'!Q:Q, $D$3)</f>
        <v>1.0326165807882532</v>
      </c>
      <c r="H13" s="78">
        <f>SUMIFS('Exposure Results'!L:L, 'Exposure Results'!D:D, C13, 'Exposure Results'!B:B, $C$3, 'Exposure Results'!C:C, "&lt;&gt;4th Gen", 'Exposure Results'!Q:Q, $D$3)</f>
        <v>0.39363769623968931</v>
      </c>
      <c r="I13" s="64"/>
      <c r="K13" s="161" t="s">
        <v>102</v>
      </c>
      <c r="L13" s="567" t="s">
        <v>85</v>
      </c>
      <c r="M13" s="77">
        <f>SUMIFS('Exposure Results'!F:F, 'Exposure Results'!D:D, K13, 'Exposure Results'!B:B, $C$3, 'Exposure Results'!C:C, "4th Gen", 'Exposure Results'!Q:Q, $D$3)</f>
        <v>2.3960280949600623</v>
      </c>
      <c r="N13" s="77">
        <f>SUMIFS('Exposure Results'!H:H, 'Exposure Results'!D:D, K13, 'Exposure Results'!B:B, $C$3, 'Exposure Results'!C:C, "4th Gen", 'Exposure Results'!Q:Q, $D$3)</f>
        <v>1.1980140474800312</v>
      </c>
      <c r="O13" s="77">
        <f>SUMIFS('Exposure Results'!J:J, 'Exposure Results'!D:D, K13, 'Exposure Results'!B:B, $C$3, 'Exposure Results'!C:C, "4th Gen", 'Exposure Results'!Q:Q, $D$3)</f>
        <v>0.84772566608168964</v>
      </c>
      <c r="P13" s="78">
        <f>SUMIFS('Exposure Results'!L:L, 'Exposure Results'!D:D, K13, 'Exposure Results'!B:B, $C$3, 'Exposure Results'!C:C, "4th Gen", 'Exposure Results'!Q:Q, $D$3)</f>
        <v>0.32046421510481315</v>
      </c>
    </row>
    <row r="14" spans="3:16" ht="20.25" customHeight="1" x14ac:dyDescent="0.25">
      <c r="C14" s="161" t="s">
        <v>103</v>
      </c>
      <c r="D14" s="568"/>
      <c r="E14" s="77">
        <f>SUMIFS('Exposure Results'!F:F, 'Exposure Results'!D:D, C14, 'Exposure Results'!B:B, $C$3, 'Exposure Results'!C:C, "&lt;&gt;4th Gen", 'Exposure Results'!Q:Q, $D$3)</f>
        <v>14.126509552273406</v>
      </c>
      <c r="F14" s="77">
        <f>SUMIFS('Exposure Results'!H:H, 'Exposure Results'!D:D, C14, 'Exposure Results'!B:B, $C$3, 'Exposure Results'!C:C, "&lt;&gt;4th Gen", 'Exposure Results'!Q:Q, $D$3)</f>
        <v>7.0632547761367031</v>
      </c>
      <c r="G14" s="77">
        <f>SUMIFS('Exposure Results'!J:J, 'Exposure Results'!D:D, C14, 'Exposure Results'!B:B, $C$3, 'Exposure Results'!C:C, "&lt;&gt;4th Gen", 'Exposure Results'!Q:Q, $D$3)</f>
        <v>4.9823414741695053</v>
      </c>
      <c r="H14" s="78">
        <f>SUMIFS('Exposure Results'!L:L, 'Exposure Results'!D:D, C14, 'Exposure Results'!B:B, $C$3, 'Exposure Results'!C:C, "&lt;&gt;4th Gen", 'Exposure Results'!Q:Q, $D$3)</f>
        <v>1.8861002186482227</v>
      </c>
      <c r="I14" s="64"/>
      <c r="K14" s="161" t="s">
        <v>103</v>
      </c>
      <c r="L14" s="568"/>
      <c r="M14" s="77">
        <f>SUMIFS('Exposure Results'!F:F, 'Exposure Results'!D:D, K14, 'Exposure Results'!B:B, $C$3, 'Exposure Results'!C:C, "4th Gen", 'Exposure Results'!Q:Q, $D$3)</f>
        <v>2.3820795175943266</v>
      </c>
      <c r="N14" s="77">
        <f>SUMIFS('Exposure Results'!H:H, 'Exposure Results'!D:D, K14, 'Exposure Results'!B:B, $C$3, 'Exposure Results'!C:C, "4th Gen", 'Exposure Results'!Q:Q, $D$3)</f>
        <v>1.1910397587971633</v>
      </c>
      <c r="O14" s="77">
        <f>SUMIFS('Exposure Results'!J:J, 'Exposure Results'!D:D, K14, 'Exposure Results'!B:B, $C$3, 'Exposure Results'!C:C, "4th Gen", 'Exposure Results'!Q:Q, $D$3)</f>
        <v>0.83638073617638897</v>
      </c>
      <c r="P14" s="78">
        <f>SUMIFS('Exposure Results'!L:L, 'Exposure Results'!D:D, K14, 'Exposure Results'!B:B, $C$3, 'Exposure Results'!C:C, "4th Gen", 'Exposure Results'!Q:Q, $D$3)</f>
        <v>0.31493428831385711</v>
      </c>
    </row>
    <row r="15" spans="3:16" ht="20.25" customHeight="1" thickBot="1" x14ac:dyDescent="0.3">
      <c r="C15" s="86" t="s">
        <v>39</v>
      </c>
      <c r="D15" s="569"/>
      <c r="E15" s="61">
        <f>SUMIFS('Exposure Results'!F:F, 'Exposure Results'!D:D, C15, 'Exposure Results'!B:B, $C$3, 'Exposure Results'!C:C, "&lt;&gt;4th Gen", 'Exposure Results'!Q:Q, $D$3)</f>
        <v>1.8184584228223633</v>
      </c>
      <c r="F15" s="61">
        <f>SUMIFS('Exposure Results'!H:H, 'Exposure Results'!D:D, C15, 'Exposure Results'!B:B, $C$3, 'Exposure Results'!C:C, "&lt;&gt;4th Gen", 'Exposure Results'!Q:Q, $D$3)</f>
        <v>0.90922921141118163</v>
      </c>
      <c r="G15" s="61">
        <f>SUMIFS('Exposure Results'!J:J, 'Exposure Results'!D:D, C15, 'Exposure Results'!B:B, $C$3, 'Exposure Results'!C:C, "&lt;&gt;4th Gen", 'Exposure Results'!Q:Q, $D$3)</f>
        <v>0.64049582774382019</v>
      </c>
      <c r="H15" s="62">
        <f>SUMIFS('Exposure Results'!L:L, 'Exposure Results'!D:D, C12, 'Exposure Results'!B:B, $C$3, 'Exposure Results'!C:C, "&lt;&gt;4th Gen", 'Exposure Results'!Q:Q, $D$3)</f>
        <v>0.24269643990989387</v>
      </c>
      <c r="I15" s="64"/>
      <c r="K15" s="86" t="s">
        <v>39</v>
      </c>
      <c r="L15" s="569"/>
      <c r="M15" s="61">
        <f>SUMIFS('Exposure Results'!F:F, 'Exposure Results'!D:D, K15, 'Exposure Results'!B:B, $C$3, 'Exposure Results'!C:C, "4th Gen", 'Exposure Results'!Q:Q, $D$3)</f>
        <v>1.3060306366189174</v>
      </c>
      <c r="N15" s="61">
        <f>SUMIFS('Exposure Results'!H:H, 'Exposure Results'!D:D, K15, 'Exposure Results'!B:B, $C$3, 'Exposure Results'!C:C, "4th Gen", 'Exposure Results'!Q:Q, $D$3)</f>
        <v>0.6530153183094588</v>
      </c>
      <c r="O15" s="61">
        <f>SUMIFS('Exposure Results'!J:J, 'Exposure Results'!D:D, K15, 'Exposure Results'!B:B, $C$3, 'Exposure Results'!C:C, "4th Gen", 'Exposure Results'!Q:Q, $D$3)</f>
        <v>0.46023719168535282</v>
      </c>
      <c r="P15" s="62">
        <f>SUMIFS('Exposure Results'!L:L, 'Exposure Results'!D:D, K15, 'Exposure Results'!B:B, $C$3, 'Exposure Results'!C:C, "4th Gen", 'Exposure Results'!Q:Q, $D$3)</f>
        <v>0.17344507225747641</v>
      </c>
    </row>
    <row r="17" spans="2:46" ht="13.5" thickBot="1" x14ac:dyDescent="0.3">
      <c r="C17" s="111" t="s">
        <v>42</v>
      </c>
      <c r="H17" s="247"/>
      <c r="K17" s="111" t="s">
        <v>42</v>
      </c>
      <c r="L17" s="111"/>
      <c r="P17" s="247"/>
    </row>
    <row r="18" spans="2:46" s="112" customFormat="1" ht="15" customHeight="1" x14ac:dyDescent="0.25">
      <c r="B18" s="95"/>
      <c r="C18" s="528" t="s">
        <v>43</v>
      </c>
      <c r="D18" s="526" t="s">
        <v>44</v>
      </c>
      <c r="E18" s="526" t="s">
        <v>27</v>
      </c>
      <c r="F18" s="526" t="s">
        <v>45</v>
      </c>
      <c r="G18" s="526"/>
      <c r="H18" s="526"/>
      <c r="I18" s="538" t="s">
        <v>46</v>
      </c>
      <c r="J18" s="100"/>
      <c r="K18" s="528" t="s">
        <v>43</v>
      </c>
      <c r="L18" s="526" t="s">
        <v>44</v>
      </c>
      <c r="M18" s="526" t="s">
        <v>27</v>
      </c>
      <c r="N18" s="526" t="s">
        <v>47</v>
      </c>
      <c r="O18" s="526"/>
      <c r="P18" s="526"/>
      <c r="Q18" s="538" t="s">
        <v>46</v>
      </c>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row>
    <row r="19" spans="2:46" ht="25.5" x14ac:dyDescent="0.25">
      <c r="B19" s="56" t="s">
        <v>48</v>
      </c>
      <c r="C19" s="529"/>
      <c r="D19" s="527"/>
      <c r="E19" s="527"/>
      <c r="F19" s="475" t="s">
        <v>102</v>
      </c>
      <c r="G19" s="484" t="s">
        <v>103</v>
      </c>
      <c r="H19" s="475" t="s">
        <v>39</v>
      </c>
      <c r="I19" s="539"/>
      <c r="J19" s="66"/>
      <c r="K19" s="529"/>
      <c r="L19" s="527"/>
      <c r="M19" s="527"/>
      <c r="N19" s="475" t="s">
        <v>102</v>
      </c>
      <c r="O19" s="484" t="s">
        <v>103</v>
      </c>
      <c r="P19" s="475" t="s">
        <v>39</v>
      </c>
      <c r="Q19" s="539"/>
    </row>
    <row r="20" spans="2:46" s="66" customFormat="1" ht="22.5" customHeight="1" x14ac:dyDescent="0.25">
      <c r="B20" s="70" t="s">
        <v>49</v>
      </c>
      <c r="C20" s="529" t="s">
        <v>50</v>
      </c>
      <c r="D20" s="537">
        <v>10</v>
      </c>
      <c r="E20" s="481" t="s">
        <v>40</v>
      </c>
      <c r="F20" s="196">
        <f>IFERROR(D20/F13, "")</f>
        <v>6.8165106001807656</v>
      </c>
      <c r="G20" s="199">
        <f>IFERROR(D20/F14, "")</f>
        <v>1.4157778980003848</v>
      </c>
      <c r="H20" s="60">
        <f>IFERROR(D20/F15, "")</f>
        <v>10.998326796473425</v>
      </c>
      <c r="I20" s="540">
        <f>VLOOKUP($B20,'Look-up Values'!$F$6:$K$12,5)</f>
        <v>100</v>
      </c>
      <c r="K20" s="529" t="s">
        <v>50</v>
      </c>
      <c r="L20" s="537">
        <f>D20</f>
        <v>10</v>
      </c>
      <c r="M20" s="481" t="s">
        <v>40</v>
      </c>
      <c r="N20" s="196">
        <f>IFERROR(L20/N13, "")</f>
        <v>8.3471475322301529</v>
      </c>
      <c r="O20" s="199">
        <f>IFERROR(L20/N14, "")</f>
        <v>8.3960253435192183</v>
      </c>
      <c r="P20" s="60">
        <f>IFERROR(L20/N15, "")</f>
        <v>15.313576450072</v>
      </c>
      <c r="Q20" s="540">
        <f>VLOOKUP(B20,'Look-up Values'!$F$6:$K$12,5)</f>
        <v>100</v>
      </c>
    </row>
    <row r="21" spans="2:46" s="66" customFormat="1" ht="22.5" customHeight="1" x14ac:dyDescent="0.25">
      <c r="B21" s="70" t="s">
        <v>49</v>
      </c>
      <c r="C21" s="529"/>
      <c r="D21" s="537"/>
      <c r="E21" s="481" t="s">
        <v>38</v>
      </c>
      <c r="F21" s="196">
        <f>IFERROR(D20/F10, "")</f>
        <v>2.5210917330971481</v>
      </c>
      <c r="G21" s="416">
        <f>IFERROR(D20/F11, "")</f>
        <v>0.33040729776222494</v>
      </c>
      <c r="H21" s="60">
        <f>IFERROR(D20/F12, "")</f>
        <v>3.0058676817379659</v>
      </c>
      <c r="I21" s="540"/>
      <c r="K21" s="529"/>
      <c r="L21" s="537"/>
      <c r="M21" s="481" t="s">
        <v>38</v>
      </c>
      <c r="N21" s="196">
        <f>IFERROR(L20/N10, "")</f>
        <v>3.5371705975739136</v>
      </c>
      <c r="O21" s="199">
        <f>IFERROR(L20/N11, "")</f>
        <v>3.1431298550559439</v>
      </c>
      <c r="P21" s="60">
        <f>IFERROR(L20/N12, "")</f>
        <v>4.7485788450529478</v>
      </c>
      <c r="Q21" s="540"/>
    </row>
    <row r="22" spans="2:46" s="66" customFormat="1" ht="22.5" customHeight="1" x14ac:dyDescent="0.25">
      <c r="B22" s="70" t="s">
        <v>51</v>
      </c>
      <c r="C22" s="529" t="s">
        <v>52</v>
      </c>
      <c r="D22" s="570">
        <v>5.6749999999999998</v>
      </c>
      <c r="E22" s="481" t="s">
        <v>40</v>
      </c>
      <c r="F22" s="196">
        <f>IFERROR(D22/F13, "")</f>
        <v>3.8683697656025844</v>
      </c>
      <c r="G22" s="199">
        <f>IFERROR(D22/F14, "")</f>
        <v>0.80345395711521839</v>
      </c>
      <c r="H22" s="60">
        <f>IFERROR(D22/F15, "")</f>
        <v>6.2415504569986684</v>
      </c>
      <c r="I22" s="540">
        <v>100</v>
      </c>
      <c r="K22" s="529" t="s">
        <v>52</v>
      </c>
      <c r="L22" s="570">
        <v>5.6749999999999998</v>
      </c>
      <c r="M22" s="481" t="s">
        <v>40</v>
      </c>
      <c r="N22" s="196">
        <f>IFERROR(L22/N13, "")</f>
        <v>4.7370062245406119</v>
      </c>
      <c r="O22" s="199">
        <f>IFERROR(L22/N14, "")</f>
        <v>4.764744382447156</v>
      </c>
      <c r="P22" s="60">
        <f>IFERROR(L22/N15, "")</f>
        <v>8.6904546354158612</v>
      </c>
      <c r="Q22" s="540">
        <v>100</v>
      </c>
    </row>
    <row r="23" spans="2:46" s="66" customFormat="1" ht="22.5" customHeight="1" thickBot="1" x14ac:dyDescent="0.3">
      <c r="B23" s="70" t="s">
        <v>51</v>
      </c>
      <c r="C23" s="541"/>
      <c r="D23" s="571"/>
      <c r="E23" s="479" t="s">
        <v>38</v>
      </c>
      <c r="F23" s="197">
        <f>IFERROR(D22/F10, "")</f>
        <v>1.4307195585326313</v>
      </c>
      <c r="G23" s="417">
        <f>IFERROR(D22/F11, "")</f>
        <v>0.18750614148006267</v>
      </c>
      <c r="H23" s="198">
        <f>IFERROR(D22/F12, "")</f>
        <v>1.7058299093862954</v>
      </c>
      <c r="I23" s="543"/>
      <c r="K23" s="541"/>
      <c r="L23" s="571"/>
      <c r="M23" s="479" t="s">
        <v>38</v>
      </c>
      <c r="N23" s="197">
        <f>IFERROR(L22/N10, "")</f>
        <v>2.0073443141231961</v>
      </c>
      <c r="O23" s="296">
        <f>IFERROR(L22/N11, "")</f>
        <v>1.7837261927442483</v>
      </c>
      <c r="P23" s="198">
        <f>IFERROR(L22/N12, "")</f>
        <v>2.694818494567548</v>
      </c>
      <c r="Q23" s="543"/>
    </row>
    <row r="24" spans="2:46" s="66" customFormat="1" x14ac:dyDescent="0.25">
      <c r="B24" s="70"/>
      <c r="C24" s="113"/>
      <c r="D24" s="70"/>
      <c r="E24" s="114"/>
      <c r="G24" s="70"/>
      <c r="H24" s="70"/>
      <c r="J24" s="113"/>
      <c r="K24" s="113"/>
      <c r="L24" s="70"/>
      <c r="M24" s="70"/>
      <c r="N24" s="63"/>
      <c r="O24" s="70"/>
      <c r="P24" s="70"/>
    </row>
    <row r="25" spans="2:46" s="66" customFormat="1" ht="30" customHeight="1" thickBot="1" x14ac:dyDescent="0.3">
      <c r="C25" s="111" t="s">
        <v>53</v>
      </c>
      <c r="D25" s="70"/>
      <c r="E25" s="115"/>
      <c r="F25" s="115"/>
      <c r="G25" s="70"/>
      <c r="H25" s="70"/>
      <c r="K25" s="111" t="s">
        <v>53</v>
      </c>
      <c r="M25" s="63"/>
      <c r="N25" s="63"/>
    </row>
    <row r="26" spans="2:46" s="66" customFormat="1" ht="12.75" customHeight="1" x14ac:dyDescent="0.25">
      <c r="C26" s="528" t="s">
        <v>43</v>
      </c>
      <c r="D26" s="526" t="s">
        <v>54</v>
      </c>
      <c r="E26" s="526" t="s">
        <v>27</v>
      </c>
      <c r="F26" s="526" t="s">
        <v>55</v>
      </c>
      <c r="G26" s="526"/>
      <c r="H26" s="526"/>
      <c r="I26" s="538" t="s">
        <v>46</v>
      </c>
      <c r="K26" s="528" t="s">
        <v>43</v>
      </c>
      <c r="L26" s="526" t="s">
        <v>54</v>
      </c>
      <c r="M26" s="526" t="s">
        <v>27</v>
      </c>
      <c r="N26" s="526" t="s">
        <v>55</v>
      </c>
      <c r="O26" s="526"/>
      <c r="P26" s="526"/>
      <c r="Q26" s="538" t="s">
        <v>46</v>
      </c>
    </row>
    <row r="27" spans="2:46" s="66" customFormat="1" ht="29.25" customHeight="1" x14ac:dyDescent="0.25">
      <c r="C27" s="529"/>
      <c r="D27" s="527"/>
      <c r="E27" s="527"/>
      <c r="F27" s="475" t="s">
        <v>102</v>
      </c>
      <c r="G27" s="484" t="s">
        <v>103</v>
      </c>
      <c r="H27" s="475" t="s">
        <v>39</v>
      </c>
      <c r="I27" s="539"/>
      <c r="K27" s="529"/>
      <c r="L27" s="527"/>
      <c r="M27" s="527"/>
      <c r="N27" s="475" t="s">
        <v>102</v>
      </c>
      <c r="O27" s="484" t="s">
        <v>103</v>
      </c>
      <c r="P27" s="475" t="s">
        <v>39</v>
      </c>
      <c r="Q27" s="539"/>
    </row>
    <row r="28" spans="2:46" s="66" customFormat="1" ht="27" customHeight="1" x14ac:dyDescent="0.25">
      <c r="B28" s="70" t="s">
        <v>59</v>
      </c>
      <c r="C28" s="536" t="s">
        <v>60</v>
      </c>
      <c r="D28" s="537">
        <v>36</v>
      </c>
      <c r="E28" s="481" t="s">
        <v>40</v>
      </c>
      <c r="F28" s="92">
        <f>IFERROR(D28/$G$13, "")</f>
        <v>34.862891677101693</v>
      </c>
      <c r="G28" s="199">
        <f>IFERROR(D28/$G$14, "")</f>
        <v>7.2255184006633657</v>
      </c>
      <c r="H28" s="92">
        <f>IFERROR(D28/$G$15, "")</f>
        <v>56.206455125261108</v>
      </c>
      <c r="I28" s="540">
        <f>VLOOKUP($B28,'Look-up Values'!$F$6:$K$12,5)</f>
        <v>100</v>
      </c>
      <c r="K28" s="536" t="s">
        <v>60</v>
      </c>
      <c r="L28" s="537">
        <f>D28</f>
        <v>36</v>
      </c>
      <c r="M28" s="481" t="s">
        <v>40</v>
      </c>
      <c r="N28" s="92">
        <f>IFERROR(L28/$O$13, "")</f>
        <v>42.466568419943208</v>
      </c>
      <c r="O28" s="164">
        <f>IFERROR(L28/$O$14, "")</f>
        <v>43.042598236513854</v>
      </c>
      <c r="P28" s="92">
        <f>IFERROR(L28/$O$15, "")</f>
        <v>78.220536389444746</v>
      </c>
      <c r="Q28" s="540">
        <f>VLOOKUP($B28,'Look-up Values'!$F$6:$K$12,5)</f>
        <v>100</v>
      </c>
    </row>
    <row r="29" spans="2:46" s="66" customFormat="1" ht="27" customHeight="1" x14ac:dyDescent="0.25">
      <c r="B29" s="70" t="s">
        <v>59</v>
      </c>
      <c r="C29" s="536"/>
      <c r="D29" s="537"/>
      <c r="E29" s="481" t="s">
        <v>38</v>
      </c>
      <c r="F29" s="92">
        <f>IFERROR(D28/$G$10, "")</f>
        <v>12.701206333431147</v>
      </c>
      <c r="G29" s="199">
        <f>IFERROR(D28/$G$11, "")</f>
        <v>1.6592102949392888</v>
      </c>
      <c r="H29" s="92">
        <f>IFERROR(D28/$G$12, "")</f>
        <v>15.181156633885502</v>
      </c>
      <c r="I29" s="540"/>
      <c r="K29" s="536"/>
      <c r="L29" s="537"/>
      <c r="M29" s="481" t="s">
        <v>38</v>
      </c>
      <c r="N29" s="92">
        <f>IFERROR(L28/$O$10, "")</f>
        <v>17.781837221838295</v>
      </c>
      <c r="O29" s="164">
        <f>IFERROR(L28/$O$11, "")</f>
        <v>15.672060893114391</v>
      </c>
      <c r="P29" s="92">
        <f>IFERROR(L28/$O$12, "")</f>
        <v>24.165523875990253</v>
      </c>
      <c r="Q29" s="540"/>
    </row>
    <row r="30" spans="2:46" s="66" customFormat="1" ht="27" customHeight="1" x14ac:dyDescent="0.25">
      <c r="B30" s="70" t="s">
        <v>61</v>
      </c>
      <c r="C30" s="536" t="s">
        <v>62</v>
      </c>
      <c r="D30" s="537">
        <v>44</v>
      </c>
      <c r="E30" s="481" t="s">
        <v>40</v>
      </c>
      <c r="F30" s="92">
        <f>IFERROR(D30/$G$13, "")</f>
        <v>42.610200938679846</v>
      </c>
      <c r="G30" s="199">
        <f>IFERROR(D30/$G$14, "")</f>
        <v>8.8311891563663352</v>
      </c>
      <c r="H30" s="92">
        <f>IFERROR(D30/$G$15, "")</f>
        <v>68.696778486430247</v>
      </c>
      <c r="I30" s="540">
        <f>VLOOKUP($B30,'Look-up Values'!$F$6:$K$12,5)</f>
        <v>100</v>
      </c>
      <c r="J30" s="63"/>
      <c r="K30" s="536" t="s">
        <v>62</v>
      </c>
      <c r="L30" s="537">
        <f t="shared" ref="L30" si="0">D30</f>
        <v>44</v>
      </c>
      <c r="M30" s="481" t="s">
        <v>40</v>
      </c>
      <c r="N30" s="92">
        <f>IFERROR(L30/$O$13, "")</f>
        <v>51.903583624375031</v>
      </c>
      <c r="O30" s="164">
        <f>IFERROR(L30/$O$14, "")</f>
        <v>52.607620066850266</v>
      </c>
      <c r="P30" s="92">
        <f>IFERROR(L30/$O$15, "")</f>
        <v>95.60287780932137</v>
      </c>
      <c r="Q30" s="540">
        <f>VLOOKUP($B30,'Look-up Values'!$F$6:$K$12,5)</f>
        <v>100</v>
      </c>
    </row>
    <row r="31" spans="2:46" s="66" customFormat="1" ht="27" customHeight="1" x14ac:dyDescent="0.25">
      <c r="B31" s="70" t="s">
        <v>61</v>
      </c>
      <c r="C31" s="536"/>
      <c r="D31" s="537"/>
      <c r="E31" s="481" t="s">
        <v>38</v>
      </c>
      <c r="F31" s="92">
        <f>IFERROR(D30/$G$10, "")</f>
        <v>15.523696629749178</v>
      </c>
      <c r="G31" s="199">
        <f>IFERROR(D30/$G$11, "")</f>
        <v>2.0279236938146865</v>
      </c>
      <c r="H31" s="92">
        <f>IFERROR(D30/$G$12, "")</f>
        <v>18.554746996971168</v>
      </c>
      <c r="I31" s="540"/>
      <c r="J31" s="63"/>
      <c r="K31" s="536"/>
      <c r="L31" s="537"/>
      <c r="M31" s="481" t="s">
        <v>38</v>
      </c>
      <c r="N31" s="92">
        <f>IFERROR(L30/$O$10, "")</f>
        <v>21.733356604469027</v>
      </c>
      <c r="O31" s="164">
        <f>IFERROR(L30/$O$11, "")</f>
        <v>19.154741091584256</v>
      </c>
      <c r="P31" s="92">
        <f>IFERROR(L30/$O$12, "")</f>
        <v>29.535640292876977</v>
      </c>
      <c r="Q31" s="540"/>
    </row>
    <row r="32" spans="2:46" s="63" customFormat="1" ht="27" customHeight="1" x14ac:dyDescent="0.25">
      <c r="B32" s="70" t="s">
        <v>63</v>
      </c>
      <c r="C32" s="536" t="s">
        <v>64</v>
      </c>
      <c r="D32" s="537">
        <v>13</v>
      </c>
      <c r="E32" s="481" t="s">
        <v>40</v>
      </c>
      <c r="F32" s="92">
        <f>IFERROR(D32/$G$13, "")</f>
        <v>12.5893775500645</v>
      </c>
      <c r="G32" s="199">
        <f>IFERROR(D32/$G$14, "")</f>
        <v>2.6092149780173264</v>
      </c>
      <c r="H32" s="92">
        <f>IFERROR(D32/$G$15, "")</f>
        <v>20.296775461899845</v>
      </c>
      <c r="I32" s="540">
        <f>VLOOKUP($B32,'Look-up Values'!$F$6:$K$12,5)</f>
        <v>100</v>
      </c>
      <c r="J32" s="66"/>
      <c r="K32" s="536" t="s">
        <v>64</v>
      </c>
      <c r="L32" s="537">
        <f t="shared" ref="L32" si="1">D32</f>
        <v>13</v>
      </c>
      <c r="M32" s="481" t="s">
        <v>40</v>
      </c>
      <c r="N32" s="92">
        <f>IFERROR(L32/$O$13, "")</f>
        <v>15.335149707201714</v>
      </c>
      <c r="O32" s="164">
        <f>IFERROR(L32/$O$14, "")</f>
        <v>15.54316047429667</v>
      </c>
      <c r="P32" s="92">
        <f>IFERROR(L32/$O$15, "")</f>
        <v>28.246304807299495</v>
      </c>
      <c r="Q32" s="540">
        <f>VLOOKUP($B32,'Look-up Values'!$F$6:$K$12,5)</f>
        <v>100</v>
      </c>
    </row>
    <row r="33" spans="2:17" s="63" customFormat="1" ht="27" customHeight="1" x14ac:dyDescent="0.25">
      <c r="B33" s="70" t="s">
        <v>63</v>
      </c>
      <c r="C33" s="536"/>
      <c r="D33" s="537"/>
      <c r="E33" s="481" t="s">
        <v>38</v>
      </c>
      <c r="F33" s="92">
        <f>IFERROR(D32/$G$10, "")</f>
        <v>4.5865467315168029</v>
      </c>
      <c r="G33" s="199">
        <f>IFERROR(D32/$G$11, "")</f>
        <v>0.59915927317252105</v>
      </c>
      <c r="H33" s="92">
        <f>IFERROR(D32/$G$12, "")</f>
        <v>5.4820843400142083</v>
      </c>
      <c r="I33" s="540"/>
      <c r="J33" s="66"/>
      <c r="K33" s="536"/>
      <c r="L33" s="537"/>
      <c r="M33" s="481" t="s">
        <v>38</v>
      </c>
      <c r="N33" s="92">
        <f>IFERROR(L32/$O$10, "")</f>
        <v>6.4212189967749396</v>
      </c>
      <c r="O33" s="163">
        <f>IFERROR(L32/$O$11, "")</f>
        <v>5.6593553225135302</v>
      </c>
      <c r="P33" s="92">
        <f>IFERROR(L32/$O$12, "")</f>
        <v>8.7264391774409251</v>
      </c>
      <c r="Q33" s="540"/>
    </row>
    <row r="34" spans="2:17" s="66" customFormat="1" ht="27" customHeight="1" x14ac:dyDescent="0.25">
      <c r="B34" s="70" t="s">
        <v>65</v>
      </c>
      <c r="C34" s="529" t="s">
        <v>50</v>
      </c>
      <c r="D34" s="537">
        <v>10</v>
      </c>
      <c r="E34" s="481" t="s">
        <v>40</v>
      </c>
      <c r="F34" s="92">
        <f>IFERROR(D34/$G$13, "")</f>
        <v>9.6841365769726924</v>
      </c>
      <c r="G34" s="199">
        <f>IFERROR(D34/$G$14, "")</f>
        <v>2.0070884446287125</v>
      </c>
      <c r="H34" s="92">
        <f>IFERROR(D34/$G$15, "")</f>
        <v>15.61290420146142</v>
      </c>
      <c r="I34" s="540">
        <f>VLOOKUP($B34,'Look-up Values'!$F$6:$K$12,5)</f>
        <v>100</v>
      </c>
      <c r="K34" s="529" t="s">
        <v>50</v>
      </c>
      <c r="L34" s="537">
        <f t="shared" ref="L34" si="2">D34</f>
        <v>10</v>
      </c>
      <c r="M34" s="481" t="s">
        <v>40</v>
      </c>
      <c r="N34" s="92">
        <f>IFERROR(L34/$O$13, "")</f>
        <v>11.796269005539779</v>
      </c>
      <c r="O34" s="164">
        <f>IFERROR(L34/$O$14, "")</f>
        <v>11.956277287920516</v>
      </c>
      <c r="P34" s="92">
        <f>IFERROR(L34/$O$15, "")</f>
        <v>21.727926774845763</v>
      </c>
      <c r="Q34" s="540">
        <f>VLOOKUP($B34,'Look-up Values'!$F$6:$K$12,5)</f>
        <v>100</v>
      </c>
    </row>
    <row r="35" spans="2:17" s="66" customFormat="1" ht="27" customHeight="1" x14ac:dyDescent="0.25">
      <c r="B35" s="70" t="s">
        <v>65</v>
      </c>
      <c r="C35" s="529"/>
      <c r="D35" s="537"/>
      <c r="E35" s="481" t="s">
        <v>38</v>
      </c>
      <c r="F35" s="92">
        <f>IFERROR(D34/$G$10, "")</f>
        <v>3.5281128703975404</v>
      </c>
      <c r="G35" s="423">
        <f>IFERROR(D34/$G$11, "")</f>
        <v>0.46089174859424692</v>
      </c>
      <c r="H35" s="92">
        <f>IFERROR(D34/$G$12, "")</f>
        <v>4.2169879538570836</v>
      </c>
      <c r="I35" s="540"/>
      <c r="K35" s="529"/>
      <c r="L35" s="537"/>
      <c r="M35" s="481" t="s">
        <v>38</v>
      </c>
      <c r="N35" s="92">
        <f>IFERROR(L34/$O$10, "")</f>
        <v>4.9393992282884147</v>
      </c>
      <c r="O35" s="163">
        <f>IFERROR(L34/$O$11, "")</f>
        <v>4.353350248087331</v>
      </c>
      <c r="P35" s="92">
        <f>IFERROR(L34/$O$12, "")</f>
        <v>6.7126455211084037</v>
      </c>
      <c r="Q35" s="540"/>
    </row>
    <row r="36" spans="2:17" s="66" customFormat="1" ht="27" customHeight="1" x14ac:dyDescent="0.25">
      <c r="B36" s="70" t="s">
        <v>66</v>
      </c>
      <c r="C36" s="529" t="s">
        <v>52</v>
      </c>
      <c r="D36" s="570">
        <v>5.6749999999999998</v>
      </c>
      <c r="E36" s="481" t="s">
        <v>40</v>
      </c>
      <c r="F36" s="92">
        <f>IFERROR(D36/$G$13, "")</f>
        <v>5.4957475074320028</v>
      </c>
      <c r="G36" s="199">
        <f>IFERROR(D36/$G$14, "")</f>
        <v>1.1390226923267943</v>
      </c>
      <c r="H36" s="92">
        <f>IFERROR(D36/$G$15, "")</f>
        <v>8.8603231343293558</v>
      </c>
      <c r="I36" s="540">
        <v>100</v>
      </c>
      <c r="K36" s="529" t="s">
        <v>52</v>
      </c>
      <c r="L36" s="570">
        <v>5.6749999999999998</v>
      </c>
      <c r="M36" s="481" t="s">
        <v>40</v>
      </c>
      <c r="N36" s="92">
        <f>IFERROR(L36/$O$13, "")</f>
        <v>6.6943826606438241</v>
      </c>
      <c r="O36" s="164">
        <f>IFERROR(L36/$O$14, "")</f>
        <v>6.7851873608948923</v>
      </c>
      <c r="P36" s="92">
        <f>IFERROR(L36/$O$15, "")</f>
        <v>12.330598444724972</v>
      </c>
      <c r="Q36" s="540">
        <v>100</v>
      </c>
    </row>
    <row r="37" spans="2:17" s="66" customFormat="1" ht="27" customHeight="1" x14ac:dyDescent="0.25">
      <c r="B37" s="70" t="s">
        <v>66</v>
      </c>
      <c r="C37" s="529"/>
      <c r="D37" s="570"/>
      <c r="E37" s="481" t="s">
        <v>38</v>
      </c>
      <c r="F37" s="92">
        <f>IFERROR(D36/$G$10, "")</f>
        <v>2.0022040539506043</v>
      </c>
      <c r="G37" s="423">
        <f>IFERROR(D36/$G$11, "")</f>
        <v>0.26155606732723513</v>
      </c>
      <c r="H37" s="92">
        <f>IFERROR(D36/$G$12, "")</f>
        <v>2.3931406638138948</v>
      </c>
      <c r="I37" s="540"/>
      <c r="K37" s="529"/>
      <c r="L37" s="570"/>
      <c r="M37" s="481" t="s">
        <v>38</v>
      </c>
      <c r="N37" s="92">
        <f>IFERROR(L36/$O$10, "")</f>
        <v>2.8031090620536756</v>
      </c>
      <c r="O37" s="163">
        <f>IFERROR(L36/$O$11, "")</f>
        <v>2.4705262657895601</v>
      </c>
      <c r="P37" s="92">
        <f>IFERROR(L36/$O$12, "")</f>
        <v>3.8094263332290188</v>
      </c>
      <c r="Q37" s="540"/>
    </row>
    <row r="38" spans="2:17" s="66" customFormat="1" ht="27" customHeight="1" x14ac:dyDescent="0.25">
      <c r="B38" s="70" t="s">
        <v>67</v>
      </c>
      <c r="C38" s="536" t="s">
        <v>68</v>
      </c>
      <c r="D38" s="537">
        <v>6.1</v>
      </c>
      <c r="E38" s="481" t="s">
        <v>40</v>
      </c>
      <c r="F38" s="92">
        <f>IFERROR(D38/$G$13, "")</f>
        <v>5.9073233119533421</v>
      </c>
      <c r="G38" s="199">
        <f>IFERROR(D38/$G$14, "")</f>
        <v>1.2243239512235147</v>
      </c>
      <c r="H38" s="92">
        <f>IFERROR(D38/$G$15, "")</f>
        <v>9.5238715628914647</v>
      </c>
      <c r="I38" s="540">
        <f>VLOOKUP($B38,'Look-up Values'!$F$6:$K$12,5)</f>
        <v>100</v>
      </c>
      <c r="K38" s="536" t="s">
        <v>68</v>
      </c>
      <c r="L38" s="537">
        <f t="shared" ref="L38" si="3">D38</f>
        <v>6.1</v>
      </c>
      <c r="M38" s="481" t="s">
        <v>40</v>
      </c>
      <c r="N38" s="92">
        <f>IFERROR(L38/$O$13, "")</f>
        <v>7.1957240933792646</v>
      </c>
      <c r="O38" s="163">
        <f>IFERROR(L38/$O$14, "")</f>
        <v>7.2933291456315139</v>
      </c>
      <c r="P38" s="92">
        <f>IFERROR(L38/$O$15, "")</f>
        <v>13.254035332655915</v>
      </c>
      <c r="Q38" s="540">
        <f>VLOOKUP($B38,'Look-up Values'!$F$6:$K$12,5)</f>
        <v>100</v>
      </c>
    </row>
    <row r="39" spans="2:17" s="66" customFormat="1" ht="27" customHeight="1" thickBot="1" x14ac:dyDescent="0.3">
      <c r="B39" s="70" t="s">
        <v>67</v>
      </c>
      <c r="C39" s="550"/>
      <c r="D39" s="542"/>
      <c r="E39" s="479" t="s">
        <v>38</v>
      </c>
      <c r="F39" s="93">
        <f>IFERROR(D38/$G$10, "")</f>
        <v>2.1521488509424995</v>
      </c>
      <c r="G39" s="417">
        <f>IFERROR(D38/$G$11, "")</f>
        <v>0.28114396664249058</v>
      </c>
      <c r="H39" s="93">
        <f>IFERROR(D38/$G$12, "")</f>
        <v>2.5723626518528206</v>
      </c>
      <c r="I39" s="543"/>
      <c r="K39" s="550"/>
      <c r="L39" s="542"/>
      <c r="M39" s="479" t="s">
        <v>38</v>
      </c>
      <c r="N39" s="93">
        <f>IFERROR(L38/$O$10, "")</f>
        <v>3.0130335292559329</v>
      </c>
      <c r="O39" s="295">
        <f>IFERROR(L38/$O$11, "")</f>
        <v>2.6555436513332715</v>
      </c>
      <c r="P39" s="93">
        <f>IFERROR(L38/$O$12, "")</f>
        <v>4.0947137678761258</v>
      </c>
      <c r="Q39" s="543"/>
    </row>
    <row r="40" spans="2:17" s="66" customFormat="1" x14ac:dyDescent="0.25">
      <c r="B40" s="100"/>
      <c r="C40" s="115"/>
      <c r="D40" s="113"/>
      <c r="E40" s="67"/>
      <c r="F40" s="115"/>
      <c r="G40" s="115"/>
      <c r="H40" s="115"/>
      <c r="I40" s="115"/>
      <c r="Q40" s="118"/>
    </row>
    <row r="41" spans="2:17" s="66" customFormat="1" ht="13.5" hidden="1" thickBot="1" x14ac:dyDescent="0.3">
      <c r="B41" s="72"/>
      <c r="C41" s="111" t="s">
        <v>69</v>
      </c>
      <c r="D41" s="113"/>
      <c r="E41" s="115"/>
      <c r="F41" s="115"/>
      <c r="G41" s="115"/>
      <c r="H41" s="115"/>
      <c r="I41" s="115"/>
      <c r="K41" s="111" t="s">
        <v>69</v>
      </c>
      <c r="L41" s="111"/>
      <c r="Q41" s="118"/>
    </row>
    <row r="42" spans="2:17" s="66" customFormat="1" ht="32.25" hidden="1" customHeight="1" x14ac:dyDescent="0.2">
      <c r="B42" s="72"/>
      <c r="C42" s="159" t="s">
        <v>71</v>
      </c>
      <c r="D42" s="73" t="s">
        <v>72</v>
      </c>
      <c r="E42" s="242" t="s">
        <v>27</v>
      </c>
      <c r="F42" s="242" t="s">
        <v>102</v>
      </c>
      <c r="G42" s="165" t="s">
        <v>103</v>
      </c>
      <c r="H42" s="242" t="s">
        <v>74</v>
      </c>
      <c r="I42" s="74" t="s">
        <v>75</v>
      </c>
      <c r="K42" s="159" t="s">
        <v>71</v>
      </c>
      <c r="L42" s="75" t="s">
        <v>72</v>
      </c>
      <c r="M42" s="242" t="s">
        <v>27</v>
      </c>
      <c r="N42" s="242" t="s">
        <v>102</v>
      </c>
      <c r="O42" s="165" t="s">
        <v>103</v>
      </c>
      <c r="P42" s="160" t="s">
        <v>74</v>
      </c>
      <c r="Q42" s="74" t="s">
        <v>75</v>
      </c>
    </row>
    <row r="43" spans="2:17" s="66" customFormat="1" ht="16.5" hidden="1" customHeight="1" x14ac:dyDescent="0.25">
      <c r="B43" s="76" t="s">
        <v>76</v>
      </c>
      <c r="C43" s="544" t="s">
        <v>77</v>
      </c>
      <c r="D43" s="548">
        <f>VLOOKUP($B43,'Look-up Values'!$F$6:$K$12,6)</f>
        <v>4.0000000000000001E-3</v>
      </c>
      <c r="E43" s="481" t="s">
        <v>38</v>
      </c>
      <c r="F43" s="79">
        <f>IFERROR(H10*D43, "")</f>
        <v>4.5798606574311623E-3</v>
      </c>
      <c r="G43" s="79">
        <f>IFERROR(H11*D43, "")</f>
        <v>3.4291140702307349E-2</v>
      </c>
      <c r="H43" s="80">
        <f>IFERROR(H12*D43, "")</f>
        <v>3.7957279121692044E-3</v>
      </c>
      <c r="I43" s="565" t="s">
        <v>86</v>
      </c>
      <c r="K43" s="544" t="s">
        <v>77</v>
      </c>
      <c r="L43" s="551">
        <f>VLOOKUP($B43,'Look-up Values'!$F$6:$K$12,6)</f>
        <v>4.0000000000000001E-3</v>
      </c>
      <c r="M43" s="481" t="s">
        <v>38</v>
      </c>
      <c r="N43" s="79">
        <f>IFERROR(P10*L43, "")</f>
        <v>3.2894632151118132E-3</v>
      </c>
      <c r="O43" s="166">
        <f>IFERROR(P11*L43, "")</f>
        <v>3.7405137924904422E-3</v>
      </c>
      <c r="P43" s="80">
        <f>IFERROR(P12*L43, "")</f>
        <v>2.3858227714852282E-3</v>
      </c>
      <c r="Q43" s="566" t="s">
        <v>86</v>
      </c>
    </row>
    <row r="44" spans="2:17" s="66" customFormat="1" ht="13.5" hidden="1" thickBot="1" x14ac:dyDescent="0.3">
      <c r="B44" s="76" t="s">
        <v>76</v>
      </c>
      <c r="C44" s="545"/>
      <c r="D44" s="549"/>
      <c r="E44" s="346" t="s">
        <v>40</v>
      </c>
      <c r="F44" s="99">
        <f>IFERROR(H13*D43, "")</f>
        <v>1.5745507849587571E-3</v>
      </c>
      <c r="G44" s="98">
        <f>IFERROR(H14*D43, "")</f>
        <v>7.5444008745928909E-3</v>
      </c>
      <c r="H44" s="99">
        <f>IFERROR(H15*D43, "")</f>
        <v>9.7078575963957547E-4</v>
      </c>
      <c r="I44" s="547"/>
      <c r="K44" s="545"/>
      <c r="L44" s="552"/>
      <c r="M44" s="346" t="s">
        <v>40</v>
      </c>
      <c r="N44" s="98">
        <f>IFERROR(P13*L43, "")</f>
        <v>1.2818568604192526E-3</v>
      </c>
      <c r="O44" s="167">
        <f>IFERROR(P14*L43, "")</f>
        <v>1.2597371532554285E-3</v>
      </c>
      <c r="P44" s="98">
        <f>IFERROR(P15*L43, "")</f>
        <v>6.9378028902990566E-4</v>
      </c>
      <c r="Q44" s="554"/>
    </row>
    <row r="45" spans="2:17" s="66" customFormat="1" hidden="1" x14ac:dyDescent="0.25">
      <c r="C45" s="115"/>
      <c r="D45" s="119"/>
      <c r="E45" s="114"/>
      <c r="F45" s="120"/>
      <c r="G45" s="120"/>
      <c r="H45" s="120"/>
      <c r="I45" s="100"/>
      <c r="J45" s="115"/>
      <c r="K45" s="119"/>
      <c r="L45" s="114"/>
      <c r="M45" s="120"/>
      <c r="N45" s="120"/>
    </row>
    <row r="46" spans="2:17" hidden="1" x14ac:dyDescent="0.25"/>
    <row r="47" spans="2:17" hidden="1" x14ac:dyDescent="0.25"/>
    <row r="48" spans="2:17" ht="28.9" hidden="1" customHeight="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4:12" hidden="1" x14ac:dyDescent="0.25"/>
    <row r="66" spans="4:12" hidden="1" x14ac:dyDescent="0.25"/>
    <row r="67" spans="4:12" hidden="1" x14ac:dyDescent="0.25">
      <c r="L67" s="126"/>
    </row>
    <row r="68" spans="4:12" hidden="1" x14ac:dyDescent="0.25"/>
    <row r="69" spans="4:12" hidden="1" x14ac:dyDescent="0.25"/>
    <row r="70" spans="4:12" hidden="1" x14ac:dyDescent="0.25"/>
    <row r="71" spans="4:12" hidden="1" x14ac:dyDescent="0.25"/>
    <row r="72" spans="4:12" hidden="1" x14ac:dyDescent="0.25"/>
    <row r="73" spans="4:12" hidden="1" x14ac:dyDescent="0.25"/>
    <row r="74" spans="4:12" hidden="1" x14ac:dyDescent="0.25"/>
    <row r="75" spans="4:12" hidden="1" x14ac:dyDescent="0.25"/>
    <row r="76" spans="4:12" hidden="1" x14ac:dyDescent="0.25"/>
    <row r="77" spans="4:12" hidden="1" x14ac:dyDescent="0.25"/>
    <row r="78" spans="4:12" hidden="1" x14ac:dyDescent="0.25"/>
    <row r="79" spans="4:12" s="66" customFormat="1" hidden="1" x14ac:dyDescent="0.25">
      <c r="D79" s="63"/>
    </row>
    <row r="80" spans="4:12" hidden="1" x14ac:dyDescent="0.25"/>
    <row r="81" spans="3:14" hidden="1" x14ac:dyDescent="0.25"/>
    <row r="82" spans="3:14" hidden="1" x14ac:dyDescent="0.25"/>
    <row r="83" spans="3:14" hidden="1" x14ac:dyDescent="0.25"/>
    <row r="84" spans="3:14" hidden="1" x14ac:dyDescent="0.25"/>
    <row r="85" spans="3:14" hidden="1" x14ac:dyDescent="0.25"/>
    <row r="86" spans="3:14" hidden="1" x14ac:dyDescent="0.25">
      <c r="C86" s="125" t="s">
        <v>87</v>
      </c>
    </row>
    <row r="87" spans="3:14" hidden="1" x14ac:dyDescent="0.25">
      <c r="C87" s="126" t="s">
        <v>104</v>
      </c>
      <c r="D87" s="127">
        <f>P43</f>
        <v>2.3858227714852282E-3</v>
      </c>
      <c r="I87" s="66"/>
      <c r="J87" s="66"/>
      <c r="K87" s="66"/>
      <c r="L87" s="66"/>
    </row>
    <row r="88" spans="3:14" hidden="1" x14ac:dyDescent="0.25">
      <c r="C88" s="126" t="s">
        <v>105</v>
      </c>
      <c r="D88" s="127">
        <f>O43</f>
        <v>3.7405137924904422E-3</v>
      </c>
      <c r="I88" s="66"/>
      <c r="J88" s="66"/>
      <c r="K88" s="66"/>
      <c r="L88" s="66"/>
    </row>
    <row r="89" spans="3:14" hidden="1" x14ac:dyDescent="0.25">
      <c r="C89" s="66" t="s">
        <v>106</v>
      </c>
      <c r="D89" s="127">
        <f>N43</f>
        <v>3.2894632151118132E-3</v>
      </c>
      <c r="E89" s="66"/>
      <c r="F89" s="66"/>
      <c r="G89" s="66"/>
      <c r="H89" s="66"/>
      <c r="I89" s="66"/>
      <c r="J89" s="66"/>
      <c r="K89" s="66"/>
      <c r="L89" s="66"/>
    </row>
    <row r="90" spans="3:14" s="66" customFormat="1" hidden="1" x14ac:dyDescent="0.25">
      <c r="C90" s="66" t="s">
        <v>107</v>
      </c>
      <c r="D90" s="128">
        <f>H43</f>
        <v>3.7957279121692044E-3</v>
      </c>
      <c r="E90" s="114"/>
      <c r="G90" s="114"/>
      <c r="H90" s="114"/>
      <c r="K90" s="128"/>
      <c r="L90" s="114"/>
      <c r="N90" s="114"/>
    </row>
    <row r="91" spans="3:14" s="66" customFormat="1" hidden="1" x14ac:dyDescent="0.25">
      <c r="C91" s="66" t="s">
        <v>108</v>
      </c>
      <c r="D91" s="128">
        <f>G43</f>
        <v>3.4291140702307349E-2</v>
      </c>
      <c r="E91" s="114"/>
      <c r="G91" s="114"/>
      <c r="H91" s="114"/>
      <c r="K91" s="128"/>
      <c r="L91" s="114"/>
      <c r="N91" s="114"/>
    </row>
    <row r="92" spans="3:14" s="66" customFormat="1" hidden="1" x14ac:dyDescent="0.25">
      <c r="C92" s="114" t="s">
        <v>109</v>
      </c>
      <c r="D92" s="129">
        <f>F43</f>
        <v>4.5798606574311623E-3</v>
      </c>
      <c r="E92" s="114"/>
      <c r="F92" s="114"/>
      <c r="G92" s="114"/>
      <c r="H92" s="114"/>
      <c r="J92" s="114"/>
      <c r="K92" s="129"/>
      <c r="L92" s="114"/>
      <c r="M92" s="114"/>
      <c r="N92" s="114"/>
    </row>
    <row r="93" spans="3:14" s="66" customFormat="1" hidden="1" x14ac:dyDescent="0.25"/>
    <row r="94" spans="3:14" hidden="1" x14ac:dyDescent="0.25">
      <c r="C94" s="66"/>
      <c r="D94" s="63"/>
      <c r="E94" s="66"/>
      <c r="F94" s="66"/>
      <c r="G94" s="66"/>
      <c r="H94" s="66"/>
      <c r="I94" s="66"/>
      <c r="J94" s="66"/>
      <c r="K94" s="66"/>
      <c r="L94" s="66"/>
    </row>
    <row r="95" spans="3:14" hidden="1" x14ac:dyDescent="0.25">
      <c r="C95" s="125" t="s">
        <v>94</v>
      </c>
      <c r="F95" s="125"/>
    </row>
    <row r="96" spans="3:14" hidden="1" x14ac:dyDescent="0.25">
      <c r="C96" s="126" t="s">
        <v>104</v>
      </c>
      <c r="D96" s="130">
        <f>P44</f>
        <v>6.9378028902990566E-4</v>
      </c>
      <c r="F96" s="153"/>
      <c r="G96" s="131"/>
    </row>
    <row r="97" spans="3:7" hidden="1" x14ac:dyDescent="0.25">
      <c r="C97" s="126" t="s">
        <v>105</v>
      </c>
      <c r="D97" s="130">
        <f>O44</f>
        <v>1.2597371532554285E-3</v>
      </c>
      <c r="F97" s="153"/>
      <c r="G97" s="131"/>
    </row>
    <row r="98" spans="3:7" hidden="1" x14ac:dyDescent="0.25">
      <c r="C98" s="66" t="s">
        <v>106</v>
      </c>
      <c r="D98" s="130">
        <f>N44</f>
        <v>1.2818568604192526E-3</v>
      </c>
      <c r="F98" s="154"/>
      <c r="G98" s="132"/>
    </row>
    <row r="99" spans="3:7" hidden="1" x14ac:dyDescent="0.25">
      <c r="C99" s="66" t="s">
        <v>107</v>
      </c>
      <c r="D99" s="130">
        <f>H44</f>
        <v>9.7078575963957547E-4</v>
      </c>
      <c r="F99" s="154"/>
      <c r="G99" s="133"/>
    </row>
    <row r="100" spans="3:7" hidden="1" x14ac:dyDescent="0.25">
      <c r="C100" s="66" t="s">
        <v>108</v>
      </c>
      <c r="D100" s="130">
        <f>G44</f>
        <v>7.5444008745928909E-3</v>
      </c>
      <c r="F100" s="154"/>
      <c r="G100" s="133"/>
    </row>
    <row r="101" spans="3:7" hidden="1" x14ac:dyDescent="0.25">
      <c r="C101" s="114" t="s">
        <v>109</v>
      </c>
      <c r="D101" s="130">
        <f>F44</f>
        <v>1.5745507849587571E-3</v>
      </c>
      <c r="F101" s="155"/>
      <c r="G101" s="133"/>
    </row>
    <row r="102" spans="3:7" hidden="1" x14ac:dyDescent="0.25">
      <c r="F102" s="154"/>
    </row>
    <row r="103" spans="3:7" x14ac:dyDescent="0.25">
      <c r="F103" s="157"/>
    </row>
    <row r="104" spans="3:7" x14ac:dyDescent="0.25">
      <c r="C104" s="156"/>
      <c r="F104" s="154"/>
      <c r="G104" s="132"/>
    </row>
    <row r="105" spans="3:7" x14ac:dyDescent="0.25">
      <c r="C105" s="66"/>
      <c r="D105" s="130"/>
      <c r="F105" s="155"/>
      <c r="G105" s="133"/>
    </row>
    <row r="106" spans="3:7" x14ac:dyDescent="0.25">
      <c r="C106" s="114"/>
      <c r="D106" s="158"/>
      <c r="F106" s="156"/>
    </row>
    <row r="107" spans="3:7" x14ac:dyDescent="0.25">
      <c r="D107" s="130"/>
      <c r="F107" s="153"/>
      <c r="G107" s="131"/>
    </row>
    <row r="108" spans="3:7" x14ac:dyDescent="0.25">
      <c r="F108" s="154"/>
      <c r="G108" s="132"/>
    </row>
    <row r="109" spans="3:7" x14ac:dyDescent="0.25">
      <c r="F109" s="155"/>
      <c r="G109" s="133"/>
    </row>
  </sheetData>
  <sheetProtection algorithmName="SHA-512" hashValue="KX1K7F1muylMUmATWrx2SOsUelgP1IUS/Hj/chrYN3co1HgGKzosjxq5qKYfxI1fqCHYYVYqeIWediDWL7ALOg==" saltValue="fHxVYDSiy/AqXle8w+lbYQ==" spinCount="100000" sheet="1" objects="1" scenarios="1"/>
  <mergeCells count="84">
    <mergeCell ref="Q22:Q23"/>
    <mergeCell ref="D36:D37"/>
    <mergeCell ref="C36:C37"/>
    <mergeCell ref="K36:K37"/>
    <mergeCell ref="L36:L37"/>
    <mergeCell ref="I36:I37"/>
    <mergeCell ref="Q36:Q37"/>
    <mergeCell ref="D22:D23"/>
    <mergeCell ref="L22:L23"/>
    <mergeCell ref="C22:C23"/>
    <mergeCell ref="I22:I23"/>
    <mergeCell ref="K22:K23"/>
    <mergeCell ref="C26:C27"/>
    <mergeCell ref="D26:D27"/>
    <mergeCell ref="E26:E27"/>
    <mergeCell ref="I26:I27"/>
    <mergeCell ref="C5:G5"/>
    <mergeCell ref="K5:O5"/>
    <mergeCell ref="C8:C9"/>
    <mergeCell ref="D8:D9"/>
    <mergeCell ref="K8:K9"/>
    <mergeCell ref="L8:L9"/>
    <mergeCell ref="D10:D12"/>
    <mergeCell ref="L10:L12"/>
    <mergeCell ref="D13:D15"/>
    <mergeCell ref="L13:L15"/>
    <mergeCell ref="C18:C19"/>
    <mergeCell ref="D18:D19"/>
    <mergeCell ref="E18:E19"/>
    <mergeCell ref="I18:I19"/>
    <mergeCell ref="K18:K19"/>
    <mergeCell ref="L18:L19"/>
    <mergeCell ref="M18:M19"/>
    <mergeCell ref="Q18:Q19"/>
    <mergeCell ref="C20:C21"/>
    <mergeCell ref="D20:D21"/>
    <mergeCell ref="I20:I21"/>
    <mergeCell ref="K20:K21"/>
    <mergeCell ref="L20:L21"/>
    <mergeCell ref="Q20:Q21"/>
    <mergeCell ref="F18:H18"/>
    <mergeCell ref="N18:P18"/>
    <mergeCell ref="C28:C29"/>
    <mergeCell ref="D28:D29"/>
    <mergeCell ref="I28:I29"/>
    <mergeCell ref="K28:K29"/>
    <mergeCell ref="F26:H26"/>
    <mergeCell ref="L28:L29"/>
    <mergeCell ref="K30:K31"/>
    <mergeCell ref="L30:L31"/>
    <mergeCell ref="Q30:Q31"/>
    <mergeCell ref="L26:L27"/>
    <mergeCell ref="M26:M27"/>
    <mergeCell ref="Q26:Q27"/>
    <mergeCell ref="Q28:Q29"/>
    <mergeCell ref="K26:K27"/>
    <mergeCell ref="N26:P26"/>
    <mergeCell ref="Q32:Q33"/>
    <mergeCell ref="C34:C35"/>
    <mergeCell ref="D34:D35"/>
    <mergeCell ref="I34:I35"/>
    <mergeCell ref="K34:K35"/>
    <mergeCell ref="L34:L35"/>
    <mergeCell ref="C32:C33"/>
    <mergeCell ref="D32:D33"/>
    <mergeCell ref="I32:I33"/>
    <mergeCell ref="K32:K33"/>
    <mergeCell ref="L32:L33"/>
    <mergeCell ref="C30:C31"/>
    <mergeCell ref="D30:D31"/>
    <mergeCell ref="I30:I31"/>
    <mergeCell ref="Q43:Q44"/>
    <mergeCell ref="C38:C39"/>
    <mergeCell ref="D38:D39"/>
    <mergeCell ref="I38:I39"/>
    <mergeCell ref="K38:K39"/>
    <mergeCell ref="L38:L39"/>
    <mergeCell ref="Q38:Q39"/>
    <mergeCell ref="C43:C44"/>
    <mergeCell ref="D43:D44"/>
    <mergeCell ref="I43:I44"/>
    <mergeCell ref="K43:K44"/>
    <mergeCell ref="L43:L44"/>
    <mergeCell ref="Q34:Q35"/>
  </mergeCells>
  <conditionalFormatting sqref="F43 E10:E11 F28:F37 F39 N29 N31 N33 N35 N37 N39">
    <cfRule type="cellIs" dxfId="86" priority="58" operator="greaterThanOrEqual">
      <formula>0.1</formula>
    </cfRule>
    <cfRule type="cellIs" dxfId="85" priority="59" operator="lessThan">
      <formula>0.1</formula>
    </cfRule>
  </conditionalFormatting>
  <conditionalFormatting sqref="F43">
    <cfRule type="cellIs" dxfId="84" priority="60" operator="lessThanOrEqual">
      <formula>#REF!</formula>
    </cfRule>
    <cfRule type="cellIs" dxfId="83" priority="61" operator="greaterThan">
      <formula>#REF!</formula>
    </cfRule>
  </conditionalFormatting>
  <conditionalFormatting sqref="M10:M11">
    <cfRule type="cellIs" dxfId="82" priority="56" operator="greaterThanOrEqual">
      <formula>0.1</formula>
    </cfRule>
    <cfRule type="cellIs" dxfId="81" priority="57" operator="lessThan">
      <formula>0.1</formula>
    </cfRule>
  </conditionalFormatting>
  <conditionalFormatting sqref="N29 N31 N33 N35 N39">
    <cfRule type="expression" dxfId="80" priority="54">
      <formula>N29&lt;#REF!</formula>
    </cfRule>
    <cfRule type="expression" dxfId="79" priority="55">
      <formula>N29&gt;=#REF!</formula>
    </cfRule>
  </conditionalFormatting>
  <conditionalFormatting sqref="N43:N44">
    <cfRule type="cellIs" dxfId="78" priority="48" operator="greaterThanOrEqual">
      <formula>0.1</formula>
    </cfRule>
    <cfRule type="cellIs" dxfId="77" priority="49" operator="lessThan">
      <formula>0.1</formula>
    </cfRule>
  </conditionalFormatting>
  <conditionalFormatting sqref="N43:N44">
    <cfRule type="cellIs" dxfId="76" priority="50" operator="lessThanOrEqual">
      <formula>#REF!</formula>
    </cfRule>
    <cfRule type="cellIs" dxfId="75" priority="51" operator="greaterThan">
      <formula>#REF!</formula>
    </cfRule>
  </conditionalFormatting>
  <conditionalFormatting sqref="M10:P15 E10:I15">
    <cfRule type="cellIs" dxfId="74" priority="47" operator="equal">
      <formula>0</formula>
    </cfRule>
  </conditionalFormatting>
  <conditionalFormatting sqref="F38">
    <cfRule type="cellIs" dxfId="73" priority="45" operator="greaterThanOrEqual">
      <formula>0.1</formula>
    </cfRule>
    <cfRule type="cellIs" dxfId="72" priority="46" operator="lessThan">
      <formula>0.1</formula>
    </cfRule>
  </conditionalFormatting>
  <conditionalFormatting sqref="F38:F39 H38:H39">
    <cfRule type="cellIs" dxfId="71" priority="43" operator="greaterThan">
      <formula>$I$38</formula>
    </cfRule>
  </conditionalFormatting>
  <conditionalFormatting sqref="N28">
    <cfRule type="cellIs" dxfId="70" priority="37" operator="greaterThanOrEqual">
      <formula>0.1</formula>
    </cfRule>
    <cfRule type="cellIs" dxfId="69" priority="38" operator="lessThan">
      <formula>0.1</formula>
    </cfRule>
  </conditionalFormatting>
  <conditionalFormatting sqref="N28 P28">
    <cfRule type="cellIs" dxfId="68" priority="36" operator="greaterThan">
      <formula>$I$28</formula>
    </cfRule>
  </conditionalFormatting>
  <conditionalFormatting sqref="N30">
    <cfRule type="cellIs" dxfId="67" priority="34" operator="greaterThanOrEqual">
      <formula>0.1</formula>
    </cfRule>
    <cfRule type="cellIs" dxfId="66" priority="35" operator="lessThan">
      <formula>0.1</formula>
    </cfRule>
  </conditionalFormatting>
  <conditionalFormatting sqref="N32">
    <cfRule type="cellIs" dxfId="65" priority="30" operator="greaterThanOrEqual">
      <formula>0.1</formula>
    </cfRule>
    <cfRule type="cellIs" dxfId="64" priority="31" operator="lessThan">
      <formula>0.1</formula>
    </cfRule>
  </conditionalFormatting>
  <conditionalFormatting sqref="N34">
    <cfRule type="cellIs" dxfId="63" priority="26" operator="greaterThanOrEqual">
      <formula>0.1</formula>
    </cfRule>
    <cfRule type="cellIs" dxfId="62" priority="27" operator="lessThan">
      <formula>0.1</formula>
    </cfRule>
  </conditionalFormatting>
  <conditionalFormatting sqref="N38">
    <cfRule type="cellIs" dxfId="61" priority="22" operator="greaterThanOrEqual">
      <formula>0.1</formula>
    </cfRule>
    <cfRule type="cellIs" dxfId="60" priority="23" operator="lessThan">
      <formula>0.1</formula>
    </cfRule>
  </conditionalFormatting>
  <conditionalFormatting sqref="F36:F37">
    <cfRule type="cellIs" dxfId="59" priority="11" operator="lessThan">
      <formula>$I$28</formula>
    </cfRule>
    <cfRule type="cellIs" dxfId="58" priority="12" operator="greaterThan">
      <formula>$I$28</formula>
    </cfRule>
  </conditionalFormatting>
  <conditionalFormatting sqref="N37">
    <cfRule type="expression" dxfId="57" priority="9">
      <formula>N37&lt;#REF!</formula>
    </cfRule>
    <cfRule type="expression" dxfId="56" priority="10">
      <formula>N37&gt;=#REF!</formula>
    </cfRule>
  </conditionalFormatting>
  <conditionalFormatting sqref="N36">
    <cfRule type="cellIs" dxfId="55" priority="5" operator="lessThan">
      <formula>$I$28</formula>
    </cfRule>
    <cfRule type="cellIs" dxfId="54" priority="6" operator="greaterThan">
      <formula>$I$28</formula>
    </cfRule>
  </conditionalFormatting>
  <conditionalFormatting sqref="N36">
    <cfRule type="cellIs" dxfId="53" priority="3" operator="greaterThanOrEqual">
      <formula>0.1</formula>
    </cfRule>
    <cfRule type="cellIs" dxfId="52" priority="4" operator="lessThan">
      <formula>0.1</formula>
    </cfRule>
  </conditionalFormatting>
  <conditionalFormatting sqref="P28:P37 N28:N37">
    <cfRule type="cellIs" dxfId="51" priority="147" operator="greaterThan">
      <formula>$Q$28</formula>
    </cfRule>
    <cfRule type="cellIs" dxfId="50" priority="148" operator="lessThan">
      <formula>$Q$28</formula>
    </cfRule>
  </conditionalFormatting>
  <conditionalFormatting sqref="N38:N39 P38:P39">
    <cfRule type="cellIs" dxfId="49" priority="151" operator="greaterThan">
      <formula>$Q$38</formula>
    </cfRule>
    <cfRule type="cellIs" dxfId="48" priority="152" operator="lessThan">
      <formula>$Q$38</formula>
    </cfRule>
  </conditionalFormatting>
  <conditionalFormatting sqref="F20:H23">
    <cfRule type="cellIs" dxfId="47" priority="15" operator="greaterThan">
      <formula>$I$20</formula>
    </cfRule>
    <cfRule type="cellIs" dxfId="46" priority="40" operator="lessThan">
      <formula>$I$20</formula>
    </cfRule>
  </conditionalFormatting>
  <conditionalFormatting sqref="F28:H37 N28:P37">
    <cfRule type="cellIs" dxfId="45" priority="42" operator="lessThan">
      <formula>$I$28</formula>
    </cfRule>
    <cfRule type="cellIs" dxfId="44" priority="44" operator="greaterThan">
      <formula>$I$28</formula>
    </cfRule>
  </conditionalFormatting>
  <conditionalFormatting sqref="F38:H39 N38:P39">
    <cfRule type="cellIs" dxfId="43" priority="41" operator="lessThan">
      <formula>$I$38</formula>
    </cfRule>
  </conditionalFormatting>
  <conditionalFormatting sqref="N20:P23">
    <cfRule type="cellIs" dxfId="42" priority="153" operator="lessThan">
      <formula>$I$20</formula>
    </cfRule>
    <cfRule type="cellIs" dxfId="41" priority="154" operator="greaterThan">
      <formula>$Q$20</formula>
    </cfRule>
  </conditionalFormatting>
  <dataValidations count="1">
    <dataValidation allowBlank="1" showErrorMessage="1" sqref="E8:E9 M8:M9 C8 C12 C15 E12 K15 K8 K12 M12:M15" xr:uid="{CA488819-6397-4D44-BFA1-C7F1D79551E4}"/>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196CB-08C4-41F0-B798-D8FC49A28511}">
  <sheetPr codeName="Sheet6">
    <tabColor rgb="FF92D050"/>
  </sheetPr>
  <dimension ref="B1:Q71"/>
  <sheetViews>
    <sheetView zoomScale="80" zoomScaleNormal="80" zoomScaleSheetLayoutView="80" workbookViewId="0">
      <selection activeCell="E1" sqref="E1"/>
    </sheetView>
  </sheetViews>
  <sheetFormatPr defaultColWidth="8.85546875" defaultRowHeight="12.75" x14ac:dyDescent="0.25"/>
  <cols>
    <col min="1" max="1" width="2.7109375" style="100" customWidth="1"/>
    <col min="2" max="2" width="8.28515625" style="100" hidden="1" customWidth="1"/>
    <col min="3" max="3" width="3" style="347" customWidth="1"/>
    <col min="4" max="4" width="11.140625" style="100" hidden="1" customWidth="1"/>
    <col min="5" max="5" width="28.140625" style="100" customWidth="1"/>
    <col min="6" max="6" width="9.7109375" style="100" customWidth="1"/>
    <col min="7" max="7" width="10.7109375" style="100" customWidth="1"/>
    <col min="8" max="8" width="15.140625" style="100" customWidth="1"/>
    <col min="9" max="9" width="14.42578125" style="100" customWidth="1"/>
    <col min="10" max="10" width="10.5703125" style="100" customWidth="1"/>
    <col min="11" max="11" width="15.5703125" style="100" bestFit="1" customWidth="1"/>
    <col min="12" max="12" width="14" style="100" customWidth="1"/>
    <col min="13" max="13" width="15.140625" style="100" customWidth="1"/>
    <col min="14" max="15" width="14.42578125" style="100" customWidth="1"/>
    <col min="16" max="16" width="12.5703125" style="100" hidden="1" customWidth="1"/>
    <col min="17" max="17" width="16.5703125" style="100" customWidth="1"/>
    <col min="18" max="16384" width="8.85546875" style="100"/>
  </cols>
  <sheetData>
    <row r="1" spans="2:17" ht="13.5" thickBot="1" x14ac:dyDescent="0.3"/>
    <row r="2" spans="2:17" ht="15" customHeight="1" x14ac:dyDescent="0.25">
      <c r="D2" s="572" t="s">
        <v>110</v>
      </c>
      <c r="E2" s="573" t="s">
        <v>111</v>
      </c>
      <c r="F2" s="579" t="s">
        <v>26</v>
      </c>
      <c r="G2" s="580"/>
      <c r="H2" s="526" t="s">
        <v>101</v>
      </c>
      <c r="I2" s="526"/>
      <c r="J2" s="575" t="s">
        <v>112</v>
      </c>
      <c r="K2" s="575" t="s">
        <v>77</v>
      </c>
      <c r="L2" s="575"/>
      <c r="M2" s="575" t="s">
        <v>113</v>
      </c>
      <c r="N2" s="575" t="s">
        <v>114</v>
      </c>
      <c r="O2" s="575"/>
      <c r="P2" s="575" t="s">
        <v>115</v>
      </c>
      <c r="Q2" s="577" t="s">
        <v>116</v>
      </c>
    </row>
    <row r="3" spans="2:17" ht="13.5" customHeight="1" x14ac:dyDescent="0.25">
      <c r="D3" s="572"/>
      <c r="E3" s="574"/>
      <c r="F3" s="581"/>
      <c r="G3" s="582"/>
      <c r="H3" s="267" t="s">
        <v>40</v>
      </c>
      <c r="I3" s="267" t="s">
        <v>38</v>
      </c>
      <c r="J3" s="576"/>
      <c r="K3" s="267" t="s">
        <v>40</v>
      </c>
      <c r="L3" s="267" t="s">
        <v>38</v>
      </c>
      <c r="M3" s="576"/>
      <c r="N3" s="267" t="s">
        <v>40</v>
      </c>
      <c r="O3" s="267" t="s">
        <v>38</v>
      </c>
      <c r="P3" s="576"/>
      <c r="Q3" s="578"/>
    </row>
    <row r="4" spans="2:17" s="105" customFormat="1" ht="25.5" customHeight="1" x14ac:dyDescent="0.25">
      <c r="C4" s="347" t="s">
        <v>117</v>
      </c>
      <c r="D4" s="268">
        <v>1</v>
      </c>
      <c r="E4" s="272" t="s">
        <v>21</v>
      </c>
      <c r="F4" s="499" t="s">
        <v>118</v>
      </c>
      <c r="G4" s="500" t="s">
        <v>37</v>
      </c>
      <c r="H4" s="261">
        <v>3.5769230769230768E-2</v>
      </c>
      <c r="I4" s="261">
        <v>0.13846153846153847</v>
      </c>
      <c r="J4" s="262">
        <f>VLOOKUP($B$19,'Look-up Values'!$F$6:$K$12,6)</f>
        <v>4.0000000000000001E-3</v>
      </c>
      <c r="K4" s="320">
        <f>H4*J4</f>
        <v>1.4307692307692307E-4</v>
      </c>
      <c r="L4" s="320">
        <f>I4*J4</f>
        <v>5.538461538461539E-4</v>
      </c>
      <c r="M4" s="256">
        <v>10</v>
      </c>
      <c r="N4" s="320">
        <f>K4/M4</f>
        <v>1.4307692307692308E-5</v>
      </c>
      <c r="O4" s="320">
        <f>L4/M4</f>
        <v>5.5384615384615387E-5</v>
      </c>
      <c r="P4" s="499">
        <v>3</v>
      </c>
      <c r="Q4" s="273" t="s">
        <v>80</v>
      </c>
    </row>
    <row r="5" spans="2:17" ht="25.5" x14ac:dyDescent="0.25">
      <c r="C5" s="347" t="s">
        <v>119</v>
      </c>
      <c r="D5" s="269" t="s">
        <v>120</v>
      </c>
      <c r="E5" s="274" t="s">
        <v>121</v>
      </c>
      <c r="F5" s="499" t="s">
        <v>118</v>
      </c>
      <c r="G5" s="257" t="s">
        <v>37</v>
      </c>
      <c r="H5" s="263">
        <v>1.52126343751759E-3</v>
      </c>
      <c r="I5" s="264">
        <v>2.9095204054210351E-2</v>
      </c>
      <c r="J5" s="262">
        <f>VLOOKUP($B$19,'Look-up Values'!$F$6:$K$12,6)</f>
        <v>4.0000000000000001E-3</v>
      </c>
      <c r="K5" s="320">
        <f>H5*J5</f>
        <v>6.0850537500703602E-6</v>
      </c>
      <c r="L5" s="320">
        <f>I5*J5</f>
        <v>1.1638081621684141E-4</v>
      </c>
      <c r="M5" s="492">
        <v>10</v>
      </c>
      <c r="N5" s="412">
        <f>K5/M5</f>
        <v>6.0850537500703598E-7</v>
      </c>
      <c r="O5" s="412">
        <f>L5/M5</f>
        <v>1.1638081621684141E-5</v>
      </c>
      <c r="P5" s="499" t="s">
        <v>122</v>
      </c>
      <c r="Q5" s="273" t="s">
        <v>22</v>
      </c>
    </row>
    <row r="6" spans="2:17" ht="25.5" x14ac:dyDescent="0.25">
      <c r="C6" s="347" t="s">
        <v>123</v>
      </c>
      <c r="D6" s="270">
        <v>4</v>
      </c>
      <c r="E6" s="275" t="s">
        <v>124</v>
      </c>
      <c r="F6" s="499" t="s">
        <v>118</v>
      </c>
      <c r="G6" s="500" t="s">
        <v>37</v>
      </c>
      <c r="H6" s="300">
        <v>2.8615384615384616</v>
      </c>
      <c r="I6" s="300"/>
      <c r="J6" s="262">
        <f>VLOOKUP($B$19,'Look-up Values'!$F$6:$K$12,6)</f>
        <v>4.0000000000000001E-3</v>
      </c>
      <c r="K6" s="320">
        <f t="shared" ref="K6:K7" si="0">H6*J6</f>
        <v>1.1446153846153847E-2</v>
      </c>
      <c r="L6" s="320"/>
      <c r="M6" s="256">
        <v>50</v>
      </c>
      <c r="N6" s="320">
        <f t="shared" ref="N6" si="1">K6/M6</f>
        <v>2.2892307692307695E-4</v>
      </c>
      <c r="O6" s="320"/>
      <c r="P6" s="487">
        <v>3</v>
      </c>
      <c r="Q6" s="273" t="s">
        <v>80</v>
      </c>
    </row>
    <row r="7" spans="2:17" ht="25.5" x14ac:dyDescent="0.25">
      <c r="C7" s="347" t="s">
        <v>125</v>
      </c>
      <c r="D7" s="270">
        <v>4</v>
      </c>
      <c r="E7" s="275" t="s">
        <v>124</v>
      </c>
      <c r="F7" s="499" t="s">
        <v>118</v>
      </c>
      <c r="G7" s="500" t="s">
        <v>39</v>
      </c>
      <c r="H7" s="300">
        <v>6.1602564102564102E-2</v>
      </c>
      <c r="I7" s="300">
        <v>0.14128205128205129</v>
      </c>
      <c r="J7" s="262">
        <f>VLOOKUP($B$19,'Look-up Values'!$F$6:$K$12,6)</f>
        <v>4.0000000000000001E-3</v>
      </c>
      <c r="K7" s="320">
        <f t="shared" si="0"/>
        <v>2.4641025641025644E-4</v>
      </c>
      <c r="L7" s="320">
        <f t="shared" ref="L7" si="2">I7*J7</f>
        <v>5.6512820512820514E-4</v>
      </c>
      <c r="M7" s="256"/>
      <c r="N7" s="413"/>
      <c r="O7" s="320"/>
      <c r="P7" s="487">
        <v>8</v>
      </c>
      <c r="Q7" s="273" t="s">
        <v>80</v>
      </c>
    </row>
    <row r="8" spans="2:17" x14ac:dyDescent="0.25">
      <c r="C8" s="347" t="s">
        <v>126</v>
      </c>
      <c r="D8" s="268" t="s">
        <v>127</v>
      </c>
      <c r="E8" s="272" t="s">
        <v>128</v>
      </c>
      <c r="F8" s="499" t="s">
        <v>118</v>
      </c>
      <c r="G8" s="257" t="s">
        <v>37</v>
      </c>
      <c r="H8" s="264">
        <f>'Exposure Results'!L8</f>
        <v>2.6628205128205127</v>
      </c>
      <c r="I8" s="264">
        <f>'Exposure Results'!K8</f>
        <v>25.282051282051277</v>
      </c>
      <c r="J8" s="262">
        <f>VLOOKUP($B$19,'Look-up Values'!$F$6:$K$12,6)</f>
        <v>4.0000000000000001E-3</v>
      </c>
      <c r="K8" s="320">
        <f t="shared" ref="K8:K41" si="3">H8*J8</f>
        <v>1.0651282051282051E-2</v>
      </c>
      <c r="L8" s="320">
        <f t="shared" ref="L8:L40" si="4">I8*J8</f>
        <v>0.10112820512820511</v>
      </c>
      <c r="M8" s="256">
        <v>50</v>
      </c>
      <c r="N8" s="320">
        <f>K8/M8</f>
        <v>2.1302564102564103E-4</v>
      </c>
      <c r="O8" s="320">
        <f t="shared" ref="O8:O41" si="5">L8/M8</f>
        <v>2.0225641025641023E-3</v>
      </c>
      <c r="P8" s="258">
        <v>153</v>
      </c>
      <c r="Q8" s="273" t="s">
        <v>80</v>
      </c>
    </row>
    <row r="9" spans="2:17" x14ac:dyDescent="0.25">
      <c r="C9" s="347" t="s">
        <v>129</v>
      </c>
      <c r="D9" s="268" t="s">
        <v>127</v>
      </c>
      <c r="E9" s="272" t="s">
        <v>128</v>
      </c>
      <c r="F9" s="499" t="s">
        <v>118</v>
      </c>
      <c r="G9" s="478" t="s">
        <v>39</v>
      </c>
      <c r="H9" s="264">
        <f>'Exposure Results'!L9</f>
        <v>3.9743589743589741E-2</v>
      </c>
      <c r="I9" s="264">
        <f>'Exposure Results'!K9</f>
        <v>0.23589743589743564</v>
      </c>
      <c r="J9" s="262">
        <f>VLOOKUP($B$19,'Look-up Values'!$F$6:$K$12,6)</f>
        <v>4.0000000000000001E-3</v>
      </c>
      <c r="K9" s="320">
        <f t="shared" si="3"/>
        <v>1.5897435897435896E-4</v>
      </c>
      <c r="L9" s="320">
        <f t="shared" si="4"/>
        <v>9.4358974358974262E-4</v>
      </c>
      <c r="M9" s="256"/>
      <c r="N9" s="320"/>
      <c r="O9" s="320"/>
      <c r="P9" s="259">
        <v>18</v>
      </c>
      <c r="Q9" s="273" t="s">
        <v>80</v>
      </c>
    </row>
    <row r="10" spans="2:17" x14ac:dyDescent="0.25">
      <c r="C10" s="347" t="s">
        <v>130</v>
      </c>
      <c r="D10" s="268" t="s">
        <v>127</v>
      </c>
      <c r="E10" s="272" t="s">
        <v>128</v>
      </c>
      <c r="F10" s="499" t="s">
        <v>131</v>
      </c>
      <c r="G10" s="499" t="s">
        <v>37</v>
      </c>
      <c r="H10" s="260">
        <v>0.70415209401355316</v>
      </c>
      <c r="I10" s="260">
        <v>9.1906205336949274</v>
      </c>
      <c r="J10" s="262">
        <f>VLOOKUP($B$19,'Look-up Values'!$F$6:$K$12,6)</f>
        <v>4.0000000000000001E-3</v>
      </c>
      <c r="K10" s="320">
        <f t="shared" si="3"/>
        <v>2.8166083760542129E-3</v>
      </c>
      <c r="L10" s="320">
        <f t="shared" si="4"/>
        <v>3.6762482134779707E-2</v>
      </c>
      <c r="M10" s="256">
        <v>50</v>
      </c>
      <c r="N10" s="320">
        <f t="shared" ref="N10:N41" si="6">K10/M10</f>
        <v>5.633216752108426E-5</v>
      </c>
      <c r="O10" s="320">
        <f t="shared" si="5"/>
        <v>7.3524964269559411E-4</v>
      </c>
      <c r="P10" s="487" t="s">
        <v>122</v>
      </c>
      <c r="Q10" s="273" t="s">
        <v>22</v>
      </c>
    </row>
    <row r="11" spans="2:17" x14ac:dyDescent="0.25">
      <c r="C11" s="347" t="s">
        <v>132</v>
      </c>
      <c r="D11" s="268" t="s">
        <v>127</v>
      </c>
      <c r="E11" s="272" t="s">
        <v>128</v>
      </c>
      <c r="F11" s="499" t="s">
        <v>133</v>
      </c>
      <c r="G11" s="499" t="s">
        <v>37</v>
      </c>
      <c r="H11" s="264">
        <f>H10*0.1</f>
        <v>7.0415209401355316E-2</v>
      </c>
      <c r="I11" s="264">
        <f t="shared" ref="I11" si="7">I10*0.1</f>
        <v>0.91906205336949276</v>
      </c>
      <c r="J11" s="262">
        <f>VLOOKUP($B$19,'Look-up Values'!$F$6:$K$12,6)</f>
        <v>4.0000000000000001E-3</v>
      </c>
      <c r="K11" s="320">
        <f t="shared" si="3"/>
        <v>2.8166083760542126E-4</v>
      </c>
      <c r="L11" s="320">
        <f t="shared" si="4"/>
        <v>3.676248213477971E-3</v>
      </c>
      <c r="M11" s="256">
        <v>50</v>
      </c>
      <c r="N11" s="320">
        <f t="shared" si="6"/>
        <v>5.6332167521084248E-6</v>
      </c>
      <c r="O11" s="320">
        <f t="shared" si="5"/>
        <v>7.3524964269559419E-5</v>
      </c>
      <c r="P11" s="487" t="s">
        <v>122</v>
      </c>
      <c r="Q11" s="273" t="s">
        <v>22</v>
      </c>
    </row>
    <row r="12" spans="2:17" ht="20.25" customHeight="1" x14ac:dyDescent="0.25">
      <c r="C12" s="347" t="s">
        <v>134</v>
      </c>
      <c r="D12" s="268" t="s">
        <v>127</v>
      </c>
      <c r="E12" s="272" t="s">
        <v>128</v>
      </c>
      <c r="F12" s="499" t="s">
        <v>131</v>
      </c>
      <c r="G12" s="499" t="s">
        <v>39</v>
      </c>
      <c r="H12" s="260">
        <v>0.37142214305275534</v>
      </c>
      <c r="I12" s="260">
        <v>5.2331719026842798</v>
      </c>
      <c r="J12" s="262">
        <f>VLOOKUP($B$19,'Look-up Values'!$F$6:$K$12,6)</f>
        <v>4.0000000000000001E-3</v>
      </c>
      <c r="K12" s="320">
        <f t="shared" si="3"/>
        <v>1.4856885722110214E-3</v>
      </c>
      <c r="L12" s="320">
        <f t="shared" si="4"/>
        <v>2.0932687610737119E-2</v>
      </c>
      <c r="M12" s="256"/>
      <c r="N12" s="320"/>
      <c r="O12" s="320"/>
      <c r="P12" s="487" t="s">
        <v>122</v>
      </c>
      <c r="Q12" s="273" t="s">
        <v>22</v>
      </c>
    </row>
    <row r="13" spans="2:17" ht="20.25" customHeight="1" x14ac:dyDescent="0.25">
      <c r="C13" s="347" t="s">
        <v>135</v>
      </c>
      <c r="D13" s="268" t="s">
        <v>127</v>
      </c>
      <c r="E13" s="272" t="s">
        <v>128</v>
      </c>
      <c r="F13" s="499" t="s">
        <v>133</v>
      </c>
      <c r="G13" s="499" t="s">
        <v>39</v>
      </c>
      <c r="H13" s="264">
        <f>H12*0.1</f>
        <v>3.7142214305275534E-2</v>
      </c>
      <c r="I13" s="264">
        <f t="shared" ref="I13" si="8">I12*0.1</f>
        <v>0.52331719026842805</v>
      </c>
      <c r="J13" s="262">
        <f>VLOOKUP($B$19,'Look-up Values'!$F$6:$K$12,6)</f>
        <v>4.0000000000000001E-3</v>
      </c>
      <c r="K13" s="320">
        <f t="shared" si="3"/>
        <v>1.4856885722110214E-4</v>
      </c>
      <c r="L13" s="320">
        <f t="shared" si="4"/>
        <v>2.0932687610737124E-3</v>
      </c>
      <c r="M13" s="256"/>
      <c r="N13" s="320"/>
      <c r="O13" s="320"/>
      <c r="P13" s="487" t="s">
        <v>122</v>
      </c>
      <c r="Q13" s="273" t="s">
        <v>22</v>
      </c>
    </row>
    <row r="14" spans="2:17" x14ac:dyDescent="0.25">
      <c r="C14" s="347" t="s">
        <v>136</v>
      </c>
      <c r="D14" s="270" t="s">
        <v>137</v>
      </c>
      <c r="E14" s="276" t="s">
        <v>138</v>
      </c>
      <c r="F14" s="487" t="s">
        <v>118</v>
      </c>
      <c r="G14" s="487" t="s">
        <v>37</v>
      </c>
      <c r="H14" s="264">
        <f>H10*0.02</f>
        <v>1.4083041880271064E-2</v>
      </c>
      <c r="I14" s="264">
        <f t="shared" ref="I14" si="9">I10*0.02</f>
        <v>0.18381241067389856</v>
      </c>
      <c r="J14" s="262">
        <f>VLOOKUP($B$19,'Look-up Values'!$F$6:$K$12,6)</f>
        <v>4.0000000000000001E-3</v>
      </c>
      <c r="K14" s="320">
        <f t="shared" si="3"/>
        <v>5.6332167521084253E-5</v>
      </c>
      <c r="L14" s="320">
        <f t="shared" si="4"/>
        <v>7.3524964269559422E-4</v>
      </c>
      <c r="M14" s="256">
        <v>10</v>
      </c>
      <c r="N14" s="320">
        <f t="shared" si="6"/>
        <v>5.6332167521084256E-6</v>
      </c>
      <c r="O14" s="320">
        <f t="shared" si="5"/>
        <v>7.3524964269559419E-5</v>
      </c>
      <c r="P14" s="487" t="s">
        <v>122</v>
      </c>
      <c r="Q14" s="273" t="s">
        <v>22</v>
      </c>
    </row>
    <row r="15" spans="2:17" s="66" customFormat="1" x14ac:dyDescent="0.25">
      <c r="B15" s="100"/>
      <c r="C15" s="347" t="s">
        <v>139</v>
      </c>
      <c r="D15" s="270" t="s">
        <v>137</v>
      </c>
      <c r="E15" s="276" t="s">
        <v>138</v>
      </c>
      <c r="F15" s="487" t="s">
        <v>118</v>
      </c>
      <c r="G15" s="487" t="s">
        <v>39</v>
      </c>
      <c r="H15" s="264">
        <f>H12*0.02</f>
        <v>7.4284428610551069E-3</v>
      </c>
      <c r="I15" s="264">
        <f t="shared" ref="I15" si="10">I12*0.02</f>
        <v>0.1046634380536856</v>
      </c>
      <c r="J15" s="262">
        <f>VLOOKUP($B$19,'Look-up Values'!$F$6:$K$12,6)</f>
        <v>4.0000000000000001E-3</v>
      </c>
      <c r="K15" s="320">
        <f t="shared" si="3"/>
        <v>2.9713771444220429E-5</v>
      </c>
      <c r="L15" s="320">
        <f t="shared" si="4"/>
        <v>4.1865375221474238E-4</v>
      </c>
      <c r="M15" s="256"/>
      <c r="N15" s="320"/>
      <c r="O15" s="320"/>
      <c r="P15" s="487" t="s">
        <v>122</v>
      </c>
      <c r="Q15" s="273" t="s">
        <v>22</v>
      </c>
    </row>
    <row r="16" spans="2:17" s="66" customFormat="1" x14ac:dyDescent="0.25">
      <c r="B16" s="72"/>
      <c r="C16" s="347" t="s">
        <v>140</v>
      </c>
      <c r="D16" s="268">
        <v>8</v>
      </c>
      <c r="E16" s="272" t="s">
        <v>141</v>
      </c>
      <c r="F16" s="499" t="s">
        <v>118</v>
      </c>
      <c r="G16" s="257" t="s">
        <v>37</v>
      </c>
      <c r="H16" s="264">
        <v>1.7089743589743589</v>
      </c>
      <c r="I16" s="71">
        <v>3.7948717948717947</v>
      </c>
      <c r="J16" s="262">
        <f>VLOOKUP($B$19,'Look-up Values'!$F$6:$K$12,6)</f>
        <v>4.0000000000000001E-3</v>
      </c>
      <c r="K16" s="320">
        <f t="shared" si="3"/>
        <v>6.8358974358974358E-3</v>
      </c>
      <c r="L16" s="320">
        <f t="shared" si="4"/>
        <v>1.5179487179487179E-2</v>
      </c>
      <c r="M16" s="256">
        <v>50</v>
      </c>
      <c r="N16" s="320">
        <f t="shared" si="6"/>
        <v>1.3671794871794872E-4</v>
      </c>
      <c r="O16" s="320">
        <f t="shared" si="5"/>
        <v>3.035897435897436E-4</v>
      </c>
      <c r="P16" s="499">
        <v>5</v>
      </c>
      <c r="Q16" s="273" t="s">
        <v>80</v>
      </c>
    </row>
    <row r="17" spans="2:17" s="66" customFormat="1" x14ac:dyDescent="0.25">
      <c r="B17" s="72"/>
      <c r="C17" s="347" t="s">
        <v>142</v>
      </c>
      <c r="D17" s="268">
        <v>8</v>
      </c>
      <c r="E17" s="272" t="s">
        <v>141</v>
      </c>
      <c r="F17" s="499" t="s">
        <v>118</v>
      </c>
      <c r="G17" s="257" t="s">
        <v>39</v>
      </c>
      <c r="H17" s="264">
        <v>1.0333333333333334</v>
      </c>
      <c r="I17" s="264">
        <v>1.3333333333333333</v>
      </c>
      <c r="J17" s="262">
        <f>VLOOKUP($B$19,'Look-up Values'!$F$6:$K$12,6)</f>
        <v>4.0000000000000001E-3</v>
      </c>
      <c r="K17" s="320">
        <f t="shared" si="3"/>
        <v>4.1333333333333335E-3</v>
      </c>
      <c r="L17" s="320">
        <f t="shared" si="4"/>
        <v>5.3333333333333332E-3</v>
      </c>
      <c r="M17" s="256"/>
      <c r="N17" s="320"/>
      <c r="O17" s="320"/>
      <c r="P17" s="499">
        <v>1</v>
      </c>
      <c r="Q17" s="273" t="s">
        <v>80</v>
      </c>
    </row>
    <row r="18" spans="2:17" s="66" customFormat="1" x14ac:dyDescent="0.25">
      <c r="B18" s="72"/>
      <c r="C18" s="347" t="s">
        <v>143</v>
      </c>
      <c r="D18" s="268">
        <v>8</v>
      </c>
      <c r="E18" s="272" t="s">
        <v>141</v>
      </c>
      <c r="F18" s="499" t="s">
        <v>118</v>
      </c>
      <c r="G18" s="499" t="s">
        <v>37</v>
      </c>
      <c r="H18" s="260">
        <v>0.20580223559421534</v>
      </c>
      <c r="I18" s="260">
        <v>4.5876015763268558</v>
      </c>
      <c r="J18" s="262">
        <f>VLOOKUP($B$19,'Look-up Values'!$F$6:$K$12,6)</f>
        <v>4.0000000000000001E-3</v>
      </c>
      <c r="K18" s="320">
        <f t="shared" si="3"/>
        <v>8.2320894237686141E-4</v>
      </c>
      <c r="L18" s="320">
        <f t="shared" si="4"/>
        <v>1.8350406305307425E-2</v>
      </c>
      <c r="M18" s="256">
        <v>50</v>
      </c>
      <c r="N18" s="320">
        <f t="shared" si="6"/>
        <v>1.6464178847537227E-5</v>
      </c>
      <c r="O18" s="320">
        <f t="shared" si="5"/>
        <v>3.6700812610614852E-4</v>
      </c>
      <c r="P18" s="487" t="s">
        <v>122</v>
      </c>
      <c r="Q18" s="273" t="s">
        <v>22</v>
      </c>
    </row>
    <row r="19" spans="2:17" s="66" customFormat="1" ht="16.5" customHeight="1" x14ac:dyDescent="0.25">
      <c r="B19" s="76" t="s">
        <v>76</v>
      </c>
      <c r="C19" s="347" t="s">
        <v>144</v>
      </c>
      <c r="D19" s="268">
        <v>8</v>
      </c>
      <c r="E19" s="272" t="s">
        <v>141</v>
      </c>
      <c r="F19" s="499" t="s">
        <v>118</v>
      </c>
      <c r="G19" s="499" t="s">
        <v>39</v>
      </c>
      <c r="H19" s="260">
        <v>0.10822382341502729</v>
      </c>
      <c r="I19" s="260">
        <v>2.6348398633942103</v>
      </c>
      <c r="J19" s="262">
        <f>VLOOKUP($B$19,'Look-up Values'!$F$6:$K$12,6)</f>
        <v>4.0000000000000001E-3</v>
      </c>
      <c r="K19" s="320">
        <f t="shared" si="3"/>
        <v>4.3289529366010918E-4</v>
      </c>
      <c r="L19" s="320">
        <f t="shared" si="4"/>
        <v>1.0539359453576841E-2</v>
      </c>
      <c r="M19" s="256"/>
      <c r="N19" s="320"/>
      <c r="O19" s="320"/>
      <c r="P19" s="487" t="s">
        <v>122</v>
      </c>
      <c r="Q19" s="273" t="s">
        <v>22</v>
      </c>
    </row>
    <row r="20" spans="2:17" s="66" customFormat="1" x14ac:dyDescent="0.25">
      <c r="B20" s="76" t="s">
        <v>76</v>
      </c>
      <c r="C20" s="347" t="s">
        <v>145</v>
      </c>
      <c r="D20" s="268">
        <v>9</v>
      </c>
      <c r="E20" s="272" t="s">
        <v>146</v>
      </c>
      <c r="F20" s="499" t="s">
        <v>131</v>
      </c>
      <c r="G20" s="257" t="s">
        <v>37</v>
      </c>
      <c r="H20" s="264">
        <v>6.3788461538461538</v>
      </c>
      <c r="I20" s="264">
        <v>16.179487179487179</v>
      </c>
      <c r="J20" s="262">
        <f>VLOOKUP($B$19,'Look-up Values'!$F$6:$K$12,6)</f>
        <v>4.0000000000000001E-3</v>
      </c>
      <c r="K20" s="320">
        <f t="shared" si="3"/>
        <v>2.5515384615384617E-2</v>
      </c>
      <c r="L20" s="320">
        <f t="shared" si="4"/>
        <v>6.4717948717948712E-2</v>
      </c>
      <c r="M20" s="256"/>
      <c r="N20" s="320"/>
      <c r="O20" s="320"/>
      <c r="P20" s="499">
        <v>6</v>
      </c>
      <c r="Q20" s="273" t="s">
        <v>80</v>
      </c>
    </row>
    <row r="21" spans="2:17" s="66" customFormat="1" x14ac:dyDescent="0.25">
      <c r="C21" s="347" t="s">
        <v>147</v>
      </c>
      <c r="D21" s="268">
        <v>9</v>
      </c>
      <c r="E21" s="272" t="s">
        <v>146</v>
      </c>
      <c r="F21" s="499" t="s">
        <v>133</v>
      </c>
      <c r="G21" s="257" t="s">
        <v>37</v>
      </c>
      <c r="H21" s="264">
        <v>2.1858974358974357</v>
      </c>
      <c r="I21" s="264">
        <v>2.8205128205128207</v>
      </c>
      <c r="J21" s="262">
        <f>VLOOKUP($B$19,'Look-up Values'!$F$6:$K$12,6)</f>
        <v>4.0000000000000001E-3</v>
      </c>
      <c r="K21" s="320">
        <f t="shared" si="3"/>
        <v>8.7435897435897431E-3</v>
      </c>
      <c r="L21" s="320">
        <f t="shared" si="4"/>
        <v>1.1282051282051283E-2</v>
      </c>
      <c r="M21" s="256"/>
      <c r="N21" s="320"/>
      <c r="O21" s="320"/>
      <c r="P21" s="499">
        <v>1</v>
      </c>
      <c r="Q21" s="273" t="s">
        <v>80</v>
      </c>
    </row>
    <row r="22" spans="2:17" x14ac:dyDescent="0.25">
      <c r="C22" s="347" t="s">
        <v>148</v>
      </c>
      <c r="D22" s="268">
        <v>9</v>
      </c>
      <c r="E22" s="272" t="s">
        <v>146</v>
      </c>
      <c r="F22" s="499" t="s">
        <v>118</v>
      </c>
      <c r="G22" s="499" t="s">
        <v>37</v>
      </c>
      <c r="H22" s="262">
        <v>2.38</v>
      </c>
      <c r="I22" s="262">
        <v>9.0500000000000007</v>
      </c>
      <c r="J22" s="262">
        <f>VLOOKUP($B$19,'Look-up Values'!$F$6:$K$12,6)</f>
        <v>4.0000000000000001E-3</v>
      </c>
      <c r="K22" s="320">
        <f t="shared" si="3"/>
        <v>9.5199999999999989E-3</v>
      </c>
      <c r="L22" s="320">
        <f t="shared" si="4"/>
        <v>3.6200000000000003E-2</v>
      </c>
      <c r="M22" s="256"/>
      <c r="N22" s="320"/>
      <c r="O22" s="320"/>
      <c r="P22" s="487" t="s">
        <v>122</v>
      </c>
      <c r="Q22" s="273" t="s">
        <v>22</v>
      </c>
    </row>
    <row r="23" spans="2:17" x14ac:dyDescent="0.25">
      <c r="C23" s="347" t="s">
        <v>149</v>
      </c>
      <c r="D23" s="268">
        <v>9</v>
      </c>
      <c r="E23" s="272" t="s">
        <v>146</v>
      </c>
      <c r="F23" s="499" t="s">
        <v>118</v>
      </c>
      <c r="G23" s="499" t="s">
        <v>39</v>
      </c>
      <c r="H23" s="262">
        <v>0.04</v>
      </c>
      <c r="I23" s="262">
        <v>0.36</v>
      </c>
      <c r="J23" s="262">
        <f>VLOOKUP($B$19,'Look-up Values'!$F$6:$K$12,6)</f>
        <v>4.0000000000000001E-3</v>
      </c>
      <c r="K23" s="320">
        <f t="shared" si="3"/>
        <v>1.6000000000000001E-4</v>
      </c>
      <c r="L23" s="320">
        <f t="shared" si="4"/>
        <v>1.4399999999999999E-3</v>
      </c>
      <c r="M23" s="256"/>
      <c r="N23" s="320"/>
      <c r="O23" s="320"/>
      <c r="P23" s="487" t="s">
        <v>122</v>
      </c>
      <c r="Q23" s="273" t="s">
        <v>22</v>
      </c>
    </row>
    <row r="24" spans="2:17" x14ac:dyDescent="0.25">
      <c r="C24" s="347" t="s">
        <v>150</v>
      </c>
      <c r="D24" s="268">
        <v>10</v>
      </c>
      <c r="E24" s="272" t="s">
        <v>79</v>
      </c>
      <c r="F24" s="499" t="s">
        <v>131</v>
      </c>
      <c r="G24" s="478" t="s">
        <v>82</v>
      </c>
      <c r="H24" s="71">
        <v>52.779487179487177</v>
      </c>
      <c r="I24" s="71">
        <v>130.04102564102564</v>
      </c>
      <c r="J24" s="262">
        <f>VLOOKUP($B$19,'Look-up Values'!$F$6:$K$12,6)</f>
        <v>4.0000000000000001E-3</v>
      </c>
      <c r="K24" s="320">
        <f t="shared" si="3"/>
        <v>0.2111179487179487</v>
      </c>
      <c r="L24" s="320">
        <f t="shared" si="4"/>
        <v>0.52016410256410262</v>
      </c>
      <c r="M24" s="256">
        <v>50</v>
      </c>
      <c r="N24" s="320">
        <f t="shared" si="6"/>
        <v>4.2223589743589744E-3</v>
      </c>
      <c r="O24" s="320">
        <f t="shared" si="5"/>
        <v>1.0403282051282053E-2</v>
      </c>
      <c r="P24" s="499">
        <v>83</v>
      </c>
      <c r="Q24" s="273" t="s">
        <v>80</v>
      </c>
    </row>
    <row r="25" spans="2:17" x14ac:dyDescent="0.25">
      <c r="C25" s="347" t="s">
        <v>151</v>
      </c>
      <c r="D25" s="268">
        <v>10</v>
      </c>
      <c r="E25" s="272" t="s">
        <v>79</v>
      </c>
      <c r="F25" s="499" t="s">
        <v>133</v>
      </c>
      <c r="G25" s="478" t="s">
        <v>82</v>
      </c>
      <c r="H25" s="264">
        <v>7.0783333333333323</v>
      </c>
      <c r="I25" s="264">
        <v>21.487179487179461</v>
      </c>
      <c r="J25" s="262">
        <f>VLOOKUP($B$19,'Look-up Values'!$F$6:$K$12,6)</f>
        <v>4.0000000000000001E-3</v>
      </c>
      <c r="K25" s="320">
        <f t="shared" si="3"/>
        <v>2.8313333333333329E-2</v>
      </c>
      <c r="L25" s="320">
        <f t="shared" si="4"/>
        <v>8.5948717948717848E-2</v>
      </c>
      <c r="M25" s="256">
        <v>50</v>
      </c>
      <c r="N25" s="320">
        <f t="shared" si="6"/>
        <v>5.6626666666666659E-4</v>
      </c>
      <c r="O25" s="320">
        <f t="shared" si="5"/>
        <v>1.718974358974357E-3</v>
      </c>
      <c r="P25" s="499">
        <v>49</v>
      </c>
      <c r="Q25" s="273" t="s">
        <v>80</v>
      </c>
    </row>
    <row r="26" spans="2:17" x14ac:dyDescent="0.25">
      <c r="C26" s="347" t="s">
        <v>152</v>
      </c>
      <c r="D26" s="268">
        <v>10</v>
      </c>
      <c r="E26" s="272" t="s">
        <v>79</v>
      </c>
      <c r="F26" s="499" t="s">
        <v>131</v>
      </c>
      <c r="G26" s="478" t="s">
        <v>84</v>
      </c>
      <c r="H26" s="71">
        <v>50.553846153846152</v>
      </c>
      <c r="I26" s="71">
        <v>108.12820512820515</v>
      </c>
      <c r="J26" s="262">
        <f>VLOOKUP($B$19,'Look-up Values'!$F$6:$K$12,6)</f>
        <v>4.0000000000000001E-3</v>
      </c>
      <c r="K26" s="320">
        <f t="shared" si="3"/>
        <v>0.2022153846153846</v>
      </c>
      <c r="L26" s="320">
        <f t="shared" si="4"/>
        <v>0.43251282051282064</v>
      </c>
      <c r="M26" s="256">
        <v>50</v>
      </c>
      <c r="N26" s="320">
        <f t="shared" si="6"/>
        <v>4.0443076923076917E-3</v>
      </c>
      <c r="O26" s="320">
        <f t="shared" si="5"/>
        <v>8.6502564102564124E-3</v>
      </c>
      <c r="P26" s="499">
        <v>31</v>
      </c>
      <c r="Q26" s="273" t="s">
        <v>80</v>
      </c>
    </row>
    <row r="27" spans="2:17" x14ac:dyDescent="0.25">
      <c r="C27" s="347" t="s">
        <v>153</v>
      </c>
      <c r="D27" s="268">
        <v>10</v>
      </c>
      <c r="E27" s="272" t="s">
        <v>79</v>
      </c>
      <c r="F27" s="499" t="s">
        <v>133</v>
      </c>
      <c r="G27" s="478" t="s">
        <v>84</v>
      </c>
      <c r="H27" s="264">
        <v>7.1538461538461542</v>
      </c>
      <c r="I27" s="264">
        <v>14.789743589743587</v>
      </c>
      <c r="J27" s="262">
        <f>VLOOKUP($B$19,'Look-up Values'!$F$6:$K$12,6)</f>
        <v>4.0000000000000001E-3</v>
      </c>
      <c r="K27" s="320">
        <f t="shared" si="3"/>
        <v>2.8615384615384619E-2</v>
      </c>
      <c r="L27" s="320">
        <f t="shared" si="4"/>
        <v>5.9158974358974346E-2</v>
      </c>
      <c r="M27" s="256">
        <v>50</v>
      </c>
      <c r="N27" s="320">
        <f t="shared" si="6"/>
        <v>5.7230769230769238E-4</v>
      </c>
      <c r="O27" s="320">
        <f t="shared" si="5"/>
        <v>1.183179487179487E-3</v>
      </c>
      <c r="P27" s="499">
        <v>9</v>
      </c>
      <c r="Q27" s="273" t="s">
        <v>80</v>
      </c>
    </row>
    <row r="28" spans="2:17" x14ac:dyDescent="0.25">
      <c r="C28" s="347" t="s">
        <v>154</v>
      </c>
      <c r="D28" s="268">
        <v>10</v>
      </c>
      <c r="E28" s="272" t="s">
        <v>79</v>
      </c>
      <c r="F28" s="499" t="s">
        <v>131</v>
      </c>
      <c r="G28" s="478" t="s">
        <v>39</v>
      </c>
      <c r="H28" s="264">
        <v>1.1923076923076923</v>
      </c>
      <c r="I28" s="264">
        <v>65.979487179487194</v>
      </c>
      <c r="J28" s="262">
        <f>VLOOKUP($B$19,'Look-up Values'!$F$6:$K$12,6)</f>
        <v>4.0000000000000001E-3</v>
      </c>
      <c r="K28" s="320">
        <f t="shared" si="3"/>
        <v>4.7692307692307695E-3</v>
      </c>
      <c r="L28" s="320">
        <f t="shared" si="4"/>
        <v>0.26391794871794877</v>
      </c>
      <c r="M28" s="256"/>
      <c r="N28" s="320"/>
      <c r="O28" s="320"/>
      <c r="P28" s="499">
        <v>39</v>
      </c>
      <c r="Q28" s="273" t="s">
        <v>80</v>
      </c>
    </row>
    <row r="29" spans="2:17" x14ac:dyDescent="0.25">
      <c r="C29" s="347" t="s">
        <v>155</v>
      </c>
      <c r="D29" s="268">
        <v>10</v>
      </c>
      <c r="E29" s="272" t="s">
        <v>79</v>
      </c>
      <c r="F29" s="499" t="s">
        <v>133</v>
      </c>
      <c r="G29" s="478" t="s">
        <v>39</v>
      </c>
      <c r="H29" s="264">
        <v>0.79487179487179482</v>
      </c>
      <c r="I29" s="264">
        <v>2.81025641025641</v>
      </c>
      <c r="J29" s="262">
        <f>VLOOKUP($B$19,'Look-up Values'!$F$6:$K$12,6)</f>
        <v>4.0000000000000001E-3</v>
      </c>
      <c r="K29" s="320">
        <f t="shared" si="3"/>
        <v>3.1794871794871794E-3</v>
      </c>
      <c r="L29" s="320">
        <f t="shared" si="4"/>
        <v>1.1241025641025641E-2</v>
      </c>
      <c r="M29" s="256"/>
      <c r="N29" s="320"/>
      <c r="O29" s="320"/>
      <c r="P29" s="499">
        <v>17</v>
      </c>
      <c r="Q29" s="273" t="s">
        <v>80</v>
      </c>
    </row>
    <row r="30" spans="2:17" x14ac:dyDescent="0.25">
      <c r="C30" s="347" t="s">
        <v>156</v>
      </c>
      <c r="D30" s="268">
        <v>12</v>
      </c>
      <c r="E30" s="272" t="s">
        <v>95</v>
      </c>
      <c r="F30" s="499" t="s">
        <v>118</v>
      </c>
      <c r="G30" s="478" t="s">
        <v>37</v>
      </c>
      <c r="H30" s="71">
        <v>11.678653846153846</v>
      </c>
      <c r="I30" s="71">
        <v>25.7451282051282</v>
      </c>
      <c r="J30" s="262">
        <f>VLOOKUP($B$19,'Look-up Values'!$F$6:$K$12,6)</f>
        <v>4.0000000000000001E-3</v>
      </c>
      <c r="K30" s="320">
        <f t="shared" si="3"/>
        <v>4.6714615384615389E-2</v>
      </c>
      <c r="L30" s="320">
        <f t="shared" si="4"/>
        <v>0.10298051282051281</v>
      </c>
      <c r="M30" s="256"/>
      <c r="N30" s="320"/>
      <c r="O30" s="320"/>
      <c r="P30" s="499">
        <v>8</v>
      </c>
      <c r="Q30" s="273" t="s">
        <v>80</v>
      </c>
    </row>
    <row r="31" spans="2:17" x14ac:dyDescent="0.25">
      <c r="C31" s="347" t="s">
        <v>157</v>
      </c>
      <c r="D31" s="268">
        <v>12</v>
      </c>
      <c r="E31" s="272" t="s">
        <v>95</v>
      </c>
      <c r="F31" s="499" t="s">
        <v>118</v>
      </c>
      <c r="G31" s="478" t="s">
        <v>39</v>
      </c>
      <c r="H31" s="264">
        <v>4.795064102564103</v>
      </c>
      <c r="I31" s="71">
        <v>10.583333333333336</v>
      </c>
      <c r="J31" s="262">
        <f>VLOOKUP($B$19,'Look-up Values'!$F$6:$K$12,6)</f>
        <v>4.0000000000000001E-3</v>
      </c>
      <c r="K31" s="320">
        <f t="shared" si="3"/>
        <v>1.9180256410256412E-2</v>
      </c>
      <c r="L31" s="320">
        <f t="shared" si="4"/>
        <v>4.2333333333333341E-2</v>
      </c>
      <c r="M31" s="256"/>
      <c r="N31" s="320"/>
      <c r="O31" s="320"/>
      <c r="P31" s="499">
        <v>6</v>
      </c>
      <c r="Q31" s="273" t="s">
        <v>80</v>
      </c>
    </row>
    <row r="32" spans="2:17" x14ac:dyDescent="0.25">
      <c r="C32" s="347" t="s">
        <v>158</v>
      </c>
      <c r="D32" s="268">
        <v>12</v>
      </c>
      <c r="E32" s="272" t="s">
        <v>95</v>
      </c>
      <c r="F32" s="499" t="s">
        <v>159</v>
      </c>
      <c r="G32" s="499" t="s">
        <v>102</v>
      </c>
      <c r="H32" s="265">
        <v>0.39363769623968931</v>
      </c>
      <c r="I32" s="265">
        <v>1.1449651643577905</v>
      </c>
      <c r="J32" s="262">
        <f>VLOOKUP($B$19,'Look-up Values'!$F$6:$K$12,6)</f>
        <v>4.0000000000000001E-3</v>
      </c>
      <c r="K32" s="320">
        <f t="shared" si="3"/>
        <v>1.5745507849587571E-3</v>
      </c>
      <c r="L32" s="320">
        <f t="shared" si="4"/>
        <v>4.5798606574311623E-3</v>
      </c>
      <c r="M32" s="256"/>
      <c r="N32" s="320"/>
      <c r="O32" s="320"/>
      <c r="P32" s="487" t="s">
        <v>122</v>
      </c>
      <c r="Q32" s="273" t="s">
        <v>22</v>
      </c>
    </row>
    <row r="33" spans="3:17" x14ac:dyDescent="0.25">
      <c r="C33" s="347" t="s">
        <v>160</v>
      </c>
      <c r="D33" s="268">
        <v>12</v>
      </c>
      <c r="E33" s="272" t="s">
        <v>95</v>
      </c>
      <c r="F33" s="499" t="s">
        <v>159</v>
      </c>
      <c r="G33" s="499" t="s">
        <v>103</v>
      </c>
      <c r="H33" s="265">
        <v>1.8861002186482227</v>
      </c>
      <c r="I33" s="265">
        <v>8.5727851755768363</v>
      </c>
      <c r="J33" s="262">
        <f>VLOOKUP($B$19,'Look-up Values'!$F$6:$K$12,6)</f>
        <v>4.0000000000000001E-3</v>
      </c>
      <c r="K33" s="320">
        <f t="shared" si="3"/>
        <v>7.5444008745928909E-3</v>
      </c>
      <c r="L33" s="320">
        <f t="shared" si="4"/>
        <v>3.4291140702307349E-2</v>
      </c>
      <c r="M33" s="256"/>
      <c r="N33" s="320"/>
      <c r="O33" s="320"/>
      <c r="P33" s="487" t="s">
        <v>122</v>
      </c>
      <c r="Q33" s="273" t="s">
        <v>22</v>
      </c>
    </row>
    <row r="34" spans="3:17" x14ac:dyDescent="0.25">
      <c r="C34" s="347" t="s">
        <v>161</v>
      </c>
      <c r="D34" s="268">
        <v>12</v>
      </c>
      <c r="E34" s="272" t="s">
        <v>95</v>
      </c>
      <c r="F34" s="499" t="s">
        <v>159</v>
      </c>
      <c r="G34" s="499" t="s">
        <v>39</v>
      </c>
      <c r="H34" s="265">
        <v>0.24269643990989387</v>
      </c>
      <c r="I34" s="265">
        <v>0.94893197804230112</v>
      </c>
      <c r="J34" s="262">
        <f>VLOOKUP($B$19,'Look-up Values'!$F$6:$K$12,6)</f>
        <v>4.0000000000000001E-3</v>
      </c>
      <c r="K34" s="320">
        <f t="shared" si="3"/>
        <v>9.7078575963957547E-4</v>
      </c>
      <c r="L34" s="320">
        <f t="shared" si="4"/>
        <v>3.7957279121692044E-3</v>
      </c>
      <c r="M34" s="256"/>
      <c r="N34" s="320"/>
      <c r="O34" s="320"/>
      <c r="P34" s="487" t="s">
        <v>122</v>
      </c>
      <c r="Q34" s="273" t="s">
        <v>22</v>
      </c>
    </row>
    <row r="35" spans="3:17" x14ac:dyDescent="0.25">
      <c r="C35" s="347" t="s">
        <v>162</v>
      </c>
      <c r="D35" s="268">
        <v>12</v>
      </c>
      <c r="E35" s="272" t="s">
        <v>95</v>
      </c>
      <c r="F35" s="499" t="s">
        <v>163</v>
      </c>
      <c r="G35" s="499" t="s">
        <v>102</v>
      </c>
      <c r="H35" s="265">
        <v>0.32046421510481315</v>
      </c>
      <c r="I35" s="265">
        <v>0.82236580377795332</v>
      </c>
      <c r="J35" s="262">
        <f>VLOOKUP($B$19,'Look-up Values'!$F$6:$K$12,6)</f>
        <v>4.0000000000000001E-3</v>
      </c>
      <c r="K35" s="320">
        <f t="shared" si="3"/>
        <v>1.2818568604192526E-3</v>
      </c>
      <c r="L35" s="320">
        <f t="shared" si="4"/>
        <v>3.2894632151118132E-3</v>
      </c>
      <c r="M35" s="256"/>
      <c r="N35" s="320"/>
      <c r="O35" s="320"/>
      <c r="P35" s="487" t="s">
        <v>122</v>
      </c>
      <c r="Q35" s="273" t="s">
        <v>22</v>
      </c>
    </row>
    <row r="36" spans="3:17" x14ac:dyDescent="0.25">
      <c r="C36" s="347" t="s">
        <v>162</v>
      </c>
      <c r="D36" s="268">
        <v>12</v>
      </c>
      <c r="E36" s="272" t="s">
        <v>95</v>
      </c>
      <c r="F36" s="499" t="s">
        <v>163</v>
      </c>
      <c r="G36" s="499" t="s">
        <v>103</v>
      </c>
      <c r="H36" s="265">
        <v>0.31493428831385711</v>
      </c>
      <c r="I36" s="265">
        <v>0.93512844812261053</v>
      </c>
      <c r="J36" s="262">
        <f>VLOOKUP($B$19,'Look-up Values'!$F$6:$K$12,6)</f>
        <v>4.0000000000000001E-3</v>
      </c>
      <c r="K36" s="320">
        <f t="shared" si="3"/>
        <v>1.2597371532554285E-3</v>
      </c>
      <c r="L36" s="320">
        <f t="shared" si="4"/>
        <v>3.7405137924904422E-3</v>
      </c>
      <c r="M36" s="256"/>
      <c r="N36" s="320"/>
      <c r="O36" s="320"/>
      <c r="P36" s="487" t="s">
        <v>122</v>
      </c>
      <c r="Q36" s="273" t="s">
        <v>22</v>
      </c>
    </row>
    <row r="37" spans="3:17" x14ac:dyDescent="0.25">
      <c r="C37" s="347" t="s">
        <v>164</v>
      </c>
      <c r="D37" s="268">
        <v>12</v>
      </c>
      <c r="E37" s="272" t="s">
        <v>95</v>
      </c>
      <c r="F37" s="499" t="s">
        <v>163</v>
      </c>
      <c r="G37" s="499" t="s">
        <v>39</v>
      </c>
      <c r="H37" s="265">
        <v>0.17344507225747641</v>
      </c>
      <c r="I37" s="265">
        <v>0.59645569287130706</v>
      </c>
      <c r="J37" s="262">
        <f>VLOOKUP($B$19,'Look-up Values'!$F$6:$K$12,6)</f>
        <v>4.0000000000000001E-3</v>
      </c>
      <c r="K37" s="320">
        <f t="shared" si="3"/>
        <v>6.9378028902990566E-4</v>
      </c>
      <c r="L37" s="320">
        <f t="shared" si="4"/>
        <v>2.3858227714852282E-3</v>
      </c>
      <c r="M37" s="256"/>
      <c r="N37" s="320"/>
      <c r="O37" s="320"/>
      <c r="P37" s="487" t="s">
        <v>122</v>
      </c>
      <c r="Q37" s="273" t="s">
        <v>22</v>
      </c>
    </row>
    <row r="38" spans="3:17" x14ac:dyDescent="0.25">
      <c r="C38" s="347" t="s">
        <v>165</v>
      </c>
      <c r="D38" s="268">
        <v>12</v>
      </c>
      <c r="E38" s="272" t="s">
        <v>166</v>
      </c>
      <c r="F38" s="499" t="s">
        <v>118</v>
      </c>
      <c r="G38" s="257" t="s">
        <v>37</v>
      </c>
      <c r="H38" s="264">
        <v>0.35769230769230764</v>
      </c>
      <c r="I38" s="264">
        <v>2.4230769230769234</v>
      </c>
      <c r="J38" s="262">
        <f>VLOOKUP($B$19,'Look-up Values'!$F$6:$K$12,6)</f>
        <v>4.0000000000000001E-3</v>
      </c>
      <c r="K38" s="320">
        <f t="shared" si="3"/>
        <v>1.4307692307692307E-3</v>
      </c>
      <c r="L38" s="320">
        <f t="shared" si="4"/>
        <v>9.6923076923076928E-3</v>
      </c>
      <c r="M38" s="256"/>
      <c r="N38" s="320"/>
      <c r="O38" s="320"/>
      <c r="P38" s="499">
        <v>6</v>
      </c>
      <c r="Q38" s="273" t="s">
        <v>80</v>
      </c>
    </row>
    <row r="39" spans="3:17" x14ac:dyDescent="0.25">
      <c r="C39" s="347" t="s">
        <v>167</v>
      </c>
      <c r="D39" s="268">
        <v>12</v>
      </c>
      <c r="E39" s="272" t="s">
        <v>166</v>
      </c>
      <c r="F39" s="499" t="s">
        <v>118</v>
      </c>
      <c r="G39" s="499" t="s">
        <v>37</v>
      </c>
      <c r="H39" s="265">
        <v>0.2888897186154506</v>
      </c>
      <c r="I39" s="265">
        <v>0.68179996566649959</v>
      </c>
      <c r="J39" s="262">
        <f>VLOOKUP($B$19,'Look-up Values'!$F$6:$K$12,6)</f>
        <v>4.0000000000000001E-3</v>
      </c>
      <c r="K39" s="320">
        <f t="shared" si="3"/>
        <v>1.1555588744618023E-3</v>
      </c>
      <c r="L39" s="320">
        <f t="shared" si="4"/>
        <v>2.7271998626659986E-3</v>
      </c>
      <c r="M39" s="256"/>
      <c r="N39" s="320"/>
      <c r="O39" s="320"/>
      <c r="P39" s="487" t="s">
        <v>122</v>
      </c>
      <c r="Q39" s="273" t="s">
        <v>22</v>
      </c>
    </row>
    <row r="40" spans="3:17" x14ac:dyDescent="0.25">
      <c r="C40" s="347" t="s">
        <v>168</v>
      </c>
      <c r="D40" s="268">
        <v>12</v>
      </c>
      <c r="E40" s="272" t="s">
        <v>166</v>
      </c>
      <c r="F40" s="499" t="s">
        <v>118</v>
      </c>
      <c r="G40" s="499" t="s">
        <v>39</v>
      </c>
      <c r="H40" s="265">
        <v>0.14541537592846793</v>
      </c>
      <c r="I40" s="265">
        <v>0.44532624595133724</v>
      </c>
      <c r="J40" s="262">
        <f>VLOOKUP($B$19,'Look-up Values'!$F$6:$K$12,6)</f>
        <v>4.0000000000000001E-3</v>
      </c>
      <c r="K40" s="320">
        <f t="shared" si="3"/>
        <v>5.8166150371387175E-4</v>
      </c>
      <c r="L40" s="320">
        <f t="shared" si="4"/>
        <v>1.7813049838053491E-3</v>
      </c>
      <c r="M40" s="256"/>
      <c r="N40" s="320"/>
      <c r="O40" s="320"/>
      <c r="P40" s="487" t="s">
        <v>122</v>
      </c>
      <c r="Q40" s="273" t="s">
        <v>22</v>
      </c>
    </row>
    <row r="41" spans="3:17" ht="13.5" thickBot="1" x14ac:dyDescent="0.3">
      <c r="C41" s="347" t="s">
        <v>169</v>
      </c>
      <c r="D41" s="271">
        <v>6</v>
      </c>
      <c r="E41" s="277" t="s">
        <v>170</v>
      </c>
      <c r="F41" s="241" t="s">
        <v>118</v>
      </c>
      <c r="G41" s="278" t="s">
        <v>37</v>
      </c>
      <c r="H41" s="279">
        <f>H5</f>
        <v>1.52126343751759E-3</v>
      </c>
      <c r="I41" s="280">
        <f>I5</f>
        <v>2.9095204054210351E-2</v>
      </c>
      <c r="J41" s="281">
        <f>VLOOKUP($B$19,'Look-up Values'!$F$6:$K$12,6)</f>
        <v>4.0000000000000001E-3</v>
      </c>
      <c r="K41" s="321">
        <f t="shared" si="3"/>
        <v>6.0850537500703602E-6</v>
      </c>
      <c r="L41" s="321">
        <f>I41*J41</f>
        <v>1.1638081621684141E-4</v>
      </c>
      <c r="M41" s="286">
        <v>10</v>
      </c>
      <c r="N41" s="414">
        <f t="shared" si="6"/>
        <v>6.0850537500703598E-7</v>
      </c>
      <c r="O41" s="414">
        <f t="shared" si="5"/>
        <v>1.1638081621684141E-5</v>
      </c>
      <c r="P41" s="282" t="s">
        <v>122</v>
      </c>
      <c r="Q41" s="283" t="s">
        <v>22</v>
      </c>
    </row>
    <row r="42" spans="3:17" ht="13.5" hidden="1" thickBot="1" x14ac:dyDescent="0.3">
      <c r="D42" s="489"/>
      <c r="E42" s="206" t="s">
        <v>171</v>
      </c>
      <c r="F42" s="206"/>
      <c r="G42" s="489"/>
      <c r="H42" s="266"/>
      <c r="I42" s="266">
        <v>4.0600000000000002E-3</v>
      </c>
      <c r="J42" s="266">
        <f>J41</f>
        <v>4.0000000000000001E-3</v>
      </c>
      <c r="K42" s="411"/>
      <c r="L42" s="321">
        <f>I42*J42</f>
        <v>1.624E-5</v>
      </c>
      <c r="M42" s="254"/>
      <c r="N42" s="255"/>
      <c r="O42" s="253"/>
      <c r="P42" s="246"/>
      <c r="Q42" s="489"/>
    </row>
    <row r="43" spans="3:17" hidden="1" x14ac:dyDescent="0.25">
      <c r="D43" s="72"/>
      <c r="E43" s="72"/>
      <c r="F43" s="72"/>
      <c r="G43" s="72"/>
      <c r="H43" s="72"/>
      <c r="I43" s="72"/>
      <c r="J43" s="72"/>
      <c r="K43" s="72"/>
      <c r="L43" s="72"/>
      <c r="M43" s="72"/>
      <c r="N43" s="72"/>
      <c r="O43" s="72"/>
      <c r="P43" s="72"/>
      <c r="Q43" s="72"/>
    </row>
    <row r="44" spans="3:17" hidden="1" x14ac:dyDescent="0.25">
      <c r="D44" s="72"/>
      <c r="E44" s="72"/>
      <c r="F44" s="72"/>
      <c r="G44" s="72"/>
      <c r="H44" s="72"/>
      <c r="I44" s="72"/>
      <c r="J44" s="72"/>
      <c r="K44" s="72"/>
      <c r="L44" s="72"/>
      <c r="M44" s="72"/>
      <c r="N44" s="72"/>
      <c r="O44" s="72"/>
      <c r="P44" s="72"/>
      <c r="Q44" s="72"/>
    </row>
    <row r="45" spans="3:17" hidden="1" x14ac:dyDescent="0.25">
      <c r="D45" s="72"/>
      <c r="E45" s="72"/>
      <c r="F45" s="72"/>
      <c r="G45" s="72"/>
      <c r="H45" s="72"/>
      <c r="I45" s="72"/>
      <c r="J45" s="72"/>
      <c r="K45" s="72"/>
      <c r="L45" s="72"/>
      <c r="M45" s="72"/>
      <c r="N45" s="72"/>
      <c r="O45" s="72"/>
      <c r="P45" s="72"/>
      <c r="Q45" s="72"/>
    </row>
    <row r="46" spans="3:17" hidden="1" x14ac:dyDescent="0.25">
      <c r="D46" s="489"/>
      <c r="E46" s="206"/>
      <c r="F46" s="206"/>
      <c r="G46" s="489"/>
      <c r="H46" s="246"/>
      <c r="I46" s="246"/>
      <c r="J46" s="76"/>
      <c r="K46" s="253"/>
      <c r="L46" s="253"/>
      <c r="M46" s="254"/>
      <c r="N46" s="255"/>
      <c r="O46" s="253"/>
      <c r="P46" s="246"/>
      <c r="Q46" s="489"/>
    </row>
    <row r="47" spans="3:17" x14ac:dyDescent="0.25">
      <c r="D47" s="72"/>
      <c r="E47" s="72"/>
      <c r="F47" s="72"/>
      <c r="G47" s="72"/>
      <c r="H47" s="72"/>
      <c r="I47" s="72"/>
      <c r="J47" s="72"/>
      <c r="K47" s="72"/>
      <c r="L47" s="72"/>
      <c r="M47" s="72"/>
      <c r="N47" s="72"/>
      <c r="O47" s="72"/>
      <c r="P47" s="72"/>
      <c r="Q47" s="72"/>
    </row>
    <row r="55" spans="3:17" s="66" customFormat="1" x14ac:dyDescent="0.25">
      <c r="C55" s="347"/>
      <c r="D55" s="100"/>
      <c r="E55" s="100"/>
      <c r="F55" s="100"/>
      <c r="G55" s="100"/>
      <c r="H55" s="100"/>
      <c r="I55" s="100"/>
      <c r="J55" s="100"/>
      <c r="K55" s="100"/>
      <c r="L55" s="100"/>
      <c r="M55" s="100"/>
      <c r="N55" s="100"/>
      <c r="O55" s="100"/>
      <c r="P55" s="100"/>
      <c r="Q55" s="100"/>
    </row>
    <row r="59" spans="3:17" x14ac:dyDescent="0.25">
      <c r="D59" s="66"/>
      <c r="E59" s="66"/>
      <c r="F59" s="66"/>
      <c r="G59" s="66"/>
      <c r="H59" s="66"/>
      <c r="I59" s="66"/>
      <c r="J59" s="66"/>
      <c r="K59" s="66"/>
      <c r="L59" s="66"/>
      <c r="M59" s="66"/>
      <c r="N59" s="66"/>
      <c r="O59" s="66"/>
      <c r="P59" s="66"/>
      <c r="Q59" s="66"/>
    </row>
    <row r="65" spans="3:17" s="66" customFormat="1" x14ac:dyDescent="0.25">
      <c r="C65" s="347"/>
      <c r="D65" s="100"/>
      <c r="E65" s="100"/>
      <c r="F65" s="100"/>
      <c r="G65" s="100"/>
      <c r="H65" s="100"/>
      <c r="I65" s="100"/>
      <c r="J65" s="100"/>
      <c r="K65" s="100"/>
      <c r="L65" s="100"/>
      <c r="M65" s="100"/>
      <c r="N65" s="100"/>
      <c r="O65" s="100"/>
      <c r="P65" s="100"/>
      <c r="Q65" s="100"/>
    </row>
    <row r="66" spans="3:17" s="66" customFormat="1" x14ac:dyDescent="0.25">
      <c r="C66" s="347"/>
      <c r="D66" s="100"/>
      <c r="E66" s="100"/>
      <c r="F66" s="100"/>
      <c r="G66" s="100"/>
      <c r="H66" s="100"/>
      <c r="I66" s="100"/>
      <c r="J66" s="100"/>
      <c r="K66" s="100"/>
      <c r="L66" s="100"/>
      <c r="M66" s="100"/>
      <c r="N66" s="100"/>
      <c r="O66" s="100"/>
      <c r="P66" s="100"/>
      <c r="Q66" s="100"/>
    </row>
    <row r="67" spans="3:17" s="66" customFormat="1" x14ac:dyDescent="0.25">
      <c r="C67" s="347"/>
      <c r="D67" s="100"/>
      <c r="E67" s="100"/>
      <c r="F67" s="100"/>
      <c r="G67" s="100"/>
      <c r="H67" s="100"/>
      <c r="I67" s="100"/>
      <c r="J67" s="100"/>
      <c r="K67" s="100"/>
      <c r="L67" s="100"/>
      <c r="M67" s="100"/>
      <c r="N67" s="100"/>
      <c r="O67" s="100"/>
      <c r="P67" s="100"/>
      <c r="Q67" s="100"/>
    </row>
    <row r="69" spans="3:17" x14ac:dyDescent="0.25">
      <c r="D69" s="66"/>
      <c r="E69" s="66"/>
      <c r="F69" s="66"/>
      <c r="G69" s="66"/>
      <c r="H69" s="66"/>
      <c r="I69" s="66"/>
      <c r="J69" s="66"/>
      <c r="K69" s="66"/>
      <c r="L69" s="66"/>
      <c r="M69" s="66"/>
      <c r="N69" s="66"/>
      <c r="O69" s="66"/>
      <c r="P69" s="66"/>
      <c r="Q69" s="66"/>
    </row>
    <row r="70" spans="3:17" x14ac:dyDescent="0.25">
      <c r="D70" s="66"/>
      <c r="E70" s="66"/>
      <c r="F70" s="66"/>
      <c r="G70" s="66"/>
      <c r="H70" s="66"/>
      <c r="I70" s="66"/>
      <c r="J70" s="66"/>
      <c r="K70" s="66"/>
      <c r="L70" s="66"/>
      <c r="M70" s="66"/>
      <c r="N70" s="66"/>
      <c r="O70" s="66"/>
      <c r="P70" s="66"/>
      <c r="Q70" s="66"/>
    </row>
    <row r="71" spans="3:17" x14ac:dyDescent="0.25">
      <c r="D71" s="66"/>
      <c r="E71" s="66"/>
      <c r="F71" s="66"/>
      <c r="G71" s="66"/>
      <c r="H71" s="66"/>
      <c r="I71" s="66"/>
      <c r="J71" s="66"/>
      <c r="K71" s="66"/>
      <c r="L71" s="66"/>
      <c r="M71" s="66"/>
      <c r="N71" s="66"/>
      <c r="O71" s="66"/>
      <c r="P71" s="66"/>
      <c r="Q71" s="66"/>
    </row>
  </sheetData>
  <sheetProtection algorithmName="SHA-512" hashValue="6LUHUf9du8VEKrQZ8bnH+dn+y3eV+OpRwr0k7Yg72reYtjrmsW/c/EMknFzQ9EFJ9sz4kbQIESh1xfwFZDrlVQ==" saltValue="Sw7Zm9U81k13sHfvWkWMdA==" spinCount="100000" sheet="1" objects="1" scenarios="1"/>
  <mergeCells count="10">
    <mergeCell ref="D2:D3"/>
    <mergeCell ref="E2:E3"/>
    <mergeCell ref="H2:I2"/>
    <mergeCell ref="P2:P3"/>
    <mergeCell ref="Q2:Q3"/>
    <mergeCell ref="F2:G3"/>
    <mergeCell ref="M2:M3"/>
    <mergeCell ref="K2:L2"/>
    <mergeCell ref="N2:O2"/>
    <mergeCell ref="J2:J3"/>
  </mergeCells>
  <conditionalFormatting sqref="K46:L46 N46:O46 N4:O42 K4:L42">
    <cfRule type="cellIs" dxfId="40" priority="1" operator="greaterThan">
      <formula>0.0001</formula>
    </cfRule>
  </conditionalFormatting>
  <pageMargins left="0.7" right="0.7" top="0.75" bottom="0.75" header="0.3" footer="0.3"/>
  <pageSetup scale="66" orientation="landscape" r:id="rId1"/>
  <rowBreaks count="1" manualBreakCount="1">
    <brk id="45" max="16383" man="1"/>
  </rowBreaks>
  <colBreaks count="1" manualBreakCount="1">
    <brk id="17"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2717348-DE66-4614-9630-53DABF691DAF}">
          <x14:formula1>
            <xm:f>RR!$K$8:$O$8</xm:f>
          </x14:formula1>
          <xm:sqref>M46 M42</xm:sqref>
        </x14:dataValidation>
        <x14:dataValidation type="list" allowBlank="1" showInputMessage="1" showErrorMessage="1" xr:uid="{CF65E5C1-36EF-4A74-BD33-10302A5168B1}">
          <x14:formula1>
            <xm:f>RR!$K$8:$M$8</xm:f>
          </x14:formula1>
          <xm:sqref>M4:M41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5622-1BB3-48FD-BCD4-D519E6592D9F}">
  <sheetPr codeName="Sheet7"/>
  <dimension ref="A1:U153"/>
  <sheetViews>
    <sheetView zoomScale="90" zoomScaleNormal="90" workbookViewId="0">
      <pane ySplit="8" topLeftCell="A9" activePane="bottomLeft" state="frozen"/>
      <selection activeCell="O12" sqref="O12"/>
      <selection pane="bottomLeft" activeCell="B1" sqref="B1"/>
    </sheetView>
  </sheetViews>
  <sheetFormatPr defaultRowHeight="12.75" x14ac:dyDescent="0.25"/>
  <cols>
    <col min="1" max="1" width="7.42578125" style="335" hidden="1" customWidth="1"/>
    <col min="2" max="2" width="15.5703125" style="169" customWidth="1"/>
    <col min="3" max="3" width="11.7109375" style="169" customWidth="1"/>
    <col min="4" max="4" width="14.140625" style="168" customWidth="1"/>
    <col min="5" max="5" width="15.140625" style="170" customWidth="1"/>
    <col min="6" max="6" width="21" style="168" customWidth="1"/>
    <col min="7" max="7" width="22.7109375" style="168" customWidth="1"/>
    <col min="8" max="8" width="18.42578125" style="169" customWidth="1"/>
    <col min="9" max="9" width="9.7109375" style="169" bestFit="1" customWidth="1"/>
    <col min="10" max="10" width="10.85546875" style="168" customWidth="1"/>
    <col min="11" max="15" width="9.140625" style="168"/>
    <col min="16" max="16" width="10.85546875" style="168" customWidth="1"/>
    <col min="17" max="19" width="9.140625" style="168"/>
    <col min="20" max="20" width="9.5703125" style="168" bestFit="1" customWidth="1"/>
    <col min="21" max="21" width="10.5703125" style="168" bestFit="1" customWidth="1"/>
    <col min="22" max="16384" width="9.140625" style="168"/>
  </cols>
  <sheetData>
    <row r="1" spans="1:21" ht="13.5" thickBot="1" x14ac:dyDescent="0.3"/>
    <row r="2" spans="1:21" ht="25.5" x14ac:dyDescent="0.25">
      <c r="G2" s="173" t="s">
        <v>172</v>
      </c>
      <c r="H2" s="174" t="s">
        <v>20</v>
      </c>
    </row>
    <row r="3" spans="1:21" ht="13.5" thickBot="1" x14ac:dyDescent="0.3">
      <c r="G3" s="175" t="str">
        <f>Dashboard!$C$3</f>
        <v>Manufacturing (US)</v>
      </c>
      <c r="H3" s="176" t="str">
        <f>Dashboard!D3</f>
        <v>Model</v>
      </c>
      <c r="I3" s="169" t="s">
        <v>173</v>
      </c>
    </row>
    <row r="6" spans="1:21" ht="13.5" thickBot="1" x14ac:dyDescent="0.3"/>
    <row r="7" spans="1:21" ht="30" customHeight="1" x14ac:dyDescent="0.25">
      <c r="B7" s="171"/>
      <c r="C7" s="171"/>
      <c r="J7" s="588" t="s">
        <v>174</v>
      </c>
      <c r="K7" s="613" t="s">
        <v>175</v>
      </c>
      <c r="L7" s="613"/>
      <c r="M7" s="613"/>
      <c r="N7" s="613"/>
      <c r="O7" s="613"/>
      <c r="P7" s="586" t="s">
        <v>176</v>
      </c>
      <c r="Q7" s="614" t="s">
        <v>177</v>
      </c>
      <c r="R7" s="614"/>
      <c r="S7" s="614"/>
      <c r="T7" s="614"/>
      <c r="U7" s="615"/>
    </row>
    <row r="8" spans="1:21" ht="39" thickBot="1" x14ac:dyDescent="0.3">
      <c r="A8" s="179" t="s">
        <v>178</v>
      </c>
      <c r="B8" s="180" t="s">
        <v>172</v>
      </c>
      <c r="C8" s="180" t="s">
        <v>20</v>
      </c>
      <c r="D8" s="181" t="s">
        <v>179</v>
      </c>
      <c r="E8" s="181" t="s">
        <v>180</v>
      </c>
      <c r="F8" s="182" t="s">
        <v>181</v>
      </c>
      <c r="G8" s="182" t="s">
        <v>182</v>
      </c>
      <c r="H8" s="182" t="s">
        <v>27</v>
      </c>
      <c r="I8" s="183" t="s">
        <v>75</v>
      </c>
      <c r="J8" s="589"/>
      <c r="K8" s="177">
        <v>10</v>
      </c>
      <c r="L8" s="177">
        <v>25</v>
      </c>
      <c r="M8" s="177">
        <v>50</v>
      </c>
      <c r="N8" s="177">
        <v>1000</v>
      </c>
      <c r="O8" s="177">
        <v>10000</v>
      </c>
      <c r="P8" s="587"/>
      <c r="Q8" s="172">
        <v>10</v>
      </c>
      <c r="R8" s="172">
        <v>25</v>
      </c>
      <c r="S8" s="172">
        <v>50</v>
      </c>
      <c r="T8" s="172">
        <v>1000</v>
      </c>
      <c r="U8" s="178">
        <v>10000</v>
      </c>
    </row>
    <row r="9" spans="1:21" ht="12.75" customHeight="1" x14ac:dyDescent="0.25">
      <c r="A9" s="336" t="s">
        <v>49</v>
      </c>
      <c r="B9" s="590" t="str">
        <f>Dashboard!$C$3</f>
        <v>Manufacturing (US)</v>
      </c>
      <c r="C9" s="583" t="str">
        <f>Dashboard!$D$3</f>
        <v>Model</v>
      </c>
      <c r="D9" s="610" t="s">
        <v>37</v>
      </c>
      <c r="E9" s="599" t="s">
        <v>183</v>
      </c>
      <c r="F9" s="595" t="s">
        <v>184</v>
      </c>
      <c r="G9" s="597" t="s">
        <v>185</v>
      </c>
      <c r="H9" s="340" t="s">
        <v>38</v>
      </c>
      <c r="I9" s="326">
        <f>VLOOKUP(A9, 'Look-up Values'!$F$6:$J$11, 5, FALSE)</f>
        <v>100</v>
      </c>
      <c r="J9" s="341" t="str">
        <f>IF(AND(COUNTIFS(Dashboard!$B$19:$B$44, A9, Dashboard!$E$19:$E$44, H9)=1, SUMIFS(Dashboard!$F$19:$F$44, Dashboard!$B$19:$B$44, A9, Dashboard!$E$19:$E$44, H9)&gt;0), SUMIFS(Dashboard!$F$19:$F$44, Dashboard!$B$19:$B$44, A9, Dashboard!$E$19:$E$44, H9), "-")</f>
        <v>-</v>
      </c>
      <c r="K9" s="341" t="str">
        <f>IFERROR(IF(A9="Tox07", J9/$K$8, J9*$K$8), "-")</f>
        <v>-</v>
      </c>
      <c r="L9" s="341" t="str">
        <f>IFERROR(IF(A9="Tox07", J9/$L$8, J9*$L$8), "-")</f>
        <v>-</v>
      </c>
      <c r="M9" s="341" t="str">
        <f>IFERROR(IF(A9="Tox07", J9/$M$8, J9*$M$8), "-")</f>
        <v>-</v>
      </c>
      <c r="N9" s="341" t="str">
        <f>IFERROR(IF(A9="Tox07", J9/$N$8, J9*$N$8), "-")</f>
        <v>-</v>
      </c>
      <c r="O9" s="341" t="str">
        <f>IFERROR(IF(A9="Tox07", J9/$O$8, J9*$O$8), "-")</f>
        <v>-</v>
      </c>
      <c r="P9" s="341" t="str">
        <f>IF(AND(COUNTIFS(Dashboard!$B$19:$B$44, A9, Dashboard!$E$19:$E$44, H9)=1, SUMIFS(Dashboard!$N$19:$N$44, Dashboard!$B$19:$B$44, A9, Dashboard!$E$19:$E$44, H9)&gt;0), SUMIFS(Dashboard!$N$19:$N$44, Dashboard!$B$19:$B$44, A9, Dashboard!$E$19:$E$44, H9), "-")</f>
        <v>-</v>
      </c>
      <c r="Q9" s="322" t="str">
        <f>IFERROR(IF(A9="Tox07", P9/$Q$8, P9*$Q$8), "-")</f>
        <v>-</v>
      </c>
      <c r="R9" s="185" t="str">
        <f>IFERROR(IF(A9="Tox07", P9/$R$8, P9*$R$8), "-")</f>
        <v>-</v>
      </c>
      <c r="S9" s="185" t="str">
        <f>IFERROR(IF(A9="Tox07", P9/$S$8, P9*$S$8), "-")</f>
        <v>-</v>
      </c>
      <c r="T9" s="185" t="str">
        <f>IFERROR(IF(A9="Tox07", P9/$T$8, P9*$T$8), "-")</f>
        <v>-</v>
      </c>
      <c r="U9" s="186" t="str">
        <f>IFERROR(IF(A9="Tox07", P9/$U$8, P9*$U$8), "-")</f>
        <v>-</v>
      </c>
    </row>
    <row r="10" spans="1:21" ht="12.75" customHeight="1" x14ac:dyDescent="0.25">
      <c r="A10" s="337" t="s">
        <v>49</v>
      </c>
      <c r="B10" s="591"/>
      <c r="C10" s="584"/>
      <c r="D10" s="611"/>
      <c r="E10" s="600"/>
      <c r="F10" s="596"/>
      <c r="G10" s="593"/>
      <c r="H10" s="334" t="s">
        <v>40</v>
      </c>
      <c r="I10" s="327">
        <f>VLOOKUP(A10, 'Look-up Values'!$F$6:$J$11, 5, FALSE)</f>
        <v>100</v>
      </c>
      <c r="J10" s="325" t="str">
        <f>IF(AND(COUNTIFS(Dashboard!$B$19:$B$44, A10, Dashboard!$E$19:$E$44, H10)=1, SUMIFS(Dashboard!$F$19:$F$44, Dashboard!$B$19:$B$44, A10, Dashboard!$E$19:$E$44, H10)&gt;0), SUMIFS(Dashboard!$F$19:$F$44, Dashboard!$B$19:$B$44, A10, Dashboard!$E$19:$E$44, H10), "-")</f>
        <v>-</v>
      </c>
      <c r="K10" s="325" t="str">
        <f t="shared" ref="K10:K92" si="0">IFERROR(IF(A10="Tox07", J10/$K$8, J10*$K$8), "-")</f>
        <v>-</v>
      </c>
      <c r="L10" s="325" t="str">
        <f t="shared" ref="L10:L92" si="1">IFERROR(IF(A10="Tox07", J10/$L$8, J10*$L$8), "-")</f>
        <v>-</v>
      </c>
      <c r="M10" s="325" t="str">
        <f t="shared" ref="M10:M92" si="2">IFERROR(IF(A10="Tox07", J10/$M$8, J10*$M$8), "-")</f>
        <v>-</v>
      </c>
      <c r="N10" s="325" t="str">
        <f t="shared" ref="N10:N92" si="3">IFERROR(IF(A10="Tox07", J10/$N$8, J10*$N$8), "-")</f>
        <v>-</v>
      </c>
      <c r="O10" s="325" t="str">
        <f t="shared" ref="O10:O92" si="4">IFERROR(IF(A10="Tox07", J10/$O$8, J10*$O$8), "-")</f>
        <v>-</v>
      </c>
      <c r="P10" s="325" t="str">
        <f>IF(AND(COUNTIFS(Dashboard!$B$19:$B$44, A10, Dashboard!$E$19:$E$44, H10)=1, SUMIFS(Dashboard!$N$19:$N$44, Dashboard!$B$19:$B$44, A10, Dashboard!$E$19:$E$44, H10)&gt;0), SUMIFS(Dashboard!$N$19:$N$44, Dashboard!$B$19:$B$44, A10, Dashboard!$E$19:$E$44, H10), "-")</f>
        <v>-</v>
      </c>
      <c r="Q10" s="323" t="str">
        <f t="shared" ref="Q10:Q92" si="5">IFERROR(IF(A10="Tox07", P10/$Q$8, P10*$Q$8), "-")</f>
        <v>-</v>
      </c>
      <c r="R10" s="188" t="str">
        <f t="shared" ref="R10:R92" si="6">IFERROR(IF(A10="Tox07", P10/$R$8, P10*$R$8), "-")</f>
        <v>-</v>
      </c>
      <c r="S10" s="188" t="str">
        <f t="shared" ref="S10:S92" si="7">IFERROR(IF(A10="Tox07", P10/$S$8, P10*$S$8), "-")</f>
        <v>-</v>
      </c>
      <c r="T10" s="188" t="str">
        <f t="shared" ref="T10:T92" si="8">IFERROR(IF(A10="Tox07", P10/$T$8, P10*$T$8), "-")</f>
        <v>-</v>
      </c>
      <c r="U10" s="189" t="str">
        <f t="shared" ref="U10:U92" si="9">IFERROR(IF(A10="Tox07", P10/$U$8, P10*$U$8), "-")</f>
        <v>-</v>
      </c>
    </row>
    <row r="11" spans="1:21" ht="12.75" customHeight="1" x14ac:dyDescent="0.25">
      <c r="A11" s="337" t="s">
        <v>51</v>
      </c>
      <c r="B11" s="591"/>
      <c r="C11" s="584"/>
      <c r="D11" s="611"/>
      <c r="E11" s="600"/>
      <c r="F11" s="602" t="s">
        <v>186</v>
      </c>
      <c r="G11" s="593"/>
      <c r="H11" s="334" t="s">
        <v>38</v>
      </c>
      <c r="I11" s="327">
        <f>VLOOKUP(A11, 'Look-up Values'!$F$6:$J$14, 5, FALSE)</f>
        <v>100</v>
      </c>
      <c r="J11" s="325" t="str">
        <f>IF(AND(COUNTIFS(Dashboard!$B$19:$B$44, A11, Dashboard!$E$19:$E$44, H11)=1, SUMIFS(Dashboard!$F$19:$F$44, Dashboard!$B$19:$B$44, A11, Dashboard!$E$19:$E$44, H11)&gt;0), SUMIFS(Dashboard!$F$19:$F$44, Dashboard!$B$19:$B$44, A11, Dashboard!$E$19:$E$44, H11), "-")</f>
        <v>-</v>
      </c>
      <c r="K11" s="325" t="str">
        <f t="shared" si="0"/>
        <v>-</v>
      </c>
      <c r="L11" s="325" t="str">
        <f t="shared" si="1"/>
        <v>-</v>
      </c>
      <c r="M11" s="325" t="str">
        <f t="shared" si="2"/>
        <v>-</v>
      </c>
      <c r="N11" s="325" t="str">
        <f t="shared" si="3"/>
        <v>-</v>
      </c>
      <c r="O11" s="325" t="str">
        <f t="shared" si="4"/>
        <v>-</v>
      </c>
      <c r="P11" s="325" t="str">
        <f>IF(AND(COUNTIFS(Dashboard!$B$19:$B$44, A11, Dashboard!$E$19:$E$44, H11)=1, SUMIFS(Dashboard!$N$19:$N$44, Dashboard!$B$19:$B$44, A11, Dashboard!$E$19:$E$44, H11)&gt;0), SUMIFS(Dashboard!$N$19:$N$44, Dashboard!$B$19:$B$44, A11, Dashboard!$E$19:$E$44, H11), "-")</f>
        <v>-</v>
      </c>
      <c r="Q11" s="323" t="str">
        <f t="shared" si="5"/>
        <v>-</v>
      </c>
      <c r="R11" s="188" t="str">
        <f t="shared" si="6"/>
        <v>-</v>
      </c>
      <c r="S11" s="188" t="str">
        <f t="shared" si="7"/>
        <v>-</v>
      </c>
      <c r="T11" s="188" t="str">
        <f t="shared" si="8"/>
        <v>-</v>
      </c>
      <c r="U11" s="189" t="str">
        <f t="shared" si="9"/>
        <v>-</v>
      </c>
    </row>
    <row r="12" spans="1:21" ht="12.75" customHeight="1" x14ac:dyDescent="0.25">
      <c r="A12" s="337" t="s">
        <v>51</v>
      </c>
      <c r="B12" s="591"/>
      <c r="C12" s="584"/>
      <c r="D12" s="611"/>
      <c r="E12" s="601"/>
      <c r="F12" s="603"/>
      <c r="G12" s="593"/>
      <c r="H12" s="334" t="s">
        <v>40</v>
      </c>
      <c r="I12" s="327">
        <f>VLOOKUP(A12, 'Look-up Values'!$F$6:$J$14, 5, FALSE)</f>
        <v>100</v>
      </c>
      <c r="J12" s="325" t="str">
        <f>IF(AND(COUNTIFS(Dashboard!$B$19:$B$44, A12, Dashboard!$E$19:$E$44, H12)=1, SUMIFS(Dashboard!$F$19:$F$44, Dashboard!$B$19:$B$44, A12, Dashboard!$E$19:$E$44, H12)&gt;0), SUMIFS(Dashboard!$F$19:$F$44, Dashboard!$B$19:$B$44, A12, Dashboard!$E$19:$E$44, H12), "-")</f>
        <v>-</v>
      </c>
      <c r="K12" s="325" t="str">
        <f t="shared" si="0"/>
        <v>-</v>
      </c>
      <c r="L12" s="325" t="str">
        <f t="shared" si="1"/>
        <v>-</v>
      </c>
      <c r="M12" s="325" t="str">
        <f t="shared" si="2"/>
        <v>-</v>
      </c>
      <c r="N12" s="325" t="str">
        <f t="shared" si="3"/>
        <v>-</v>
      </c>
      <c r="O12" s="325" t="str">
        <f t="shared" si="4"/>
        <v>-</v>
      </c>
      <c r="P12" s="325" t="str">
        <f>IF(AND(COUNTIFS(Dashboard!$B$19:$B$44, A12, Dashboard!$E$19:$E$44, H12)=1, SUMIFS(Dashboard!$N$19:$N$44, Dashboard!$B$19:$B$44, A12, Dashboard!$E$19:$E$44, H12)&gt;0), SUMIFS(Dashboard!$N$19:$N$44, Dashboard!$B$19:$B$44, A12, Dashboard!$E$19:$E$44, H12), "-")</f>
        <v>-</v>
      </c>
      <c r="Q12" s="323" t="str">
        <f t="shared" si="5"/>
        <v>-</v>
      </c>
      <c r="R12" s="188" t="str">
        <f t="shared" si="6"/>
        <v>-</v>
      </c>
      <c r="S12" s="188" t="str">
        <f t="shared" si="7"/>
        <v>-</v>
      </c>
      <c r="T12" s="188" t="str">
        <f t="shared" si="8"/>
        <v>-</v>
      </c>
      <c r="U12" s="189" t="str">
        <f t="shared" si="9"/>
        <v>-</v>
      </c>
    </row>
    <row r="13" spans="1:21" x14ac:dyDescent="0.25">
      <c r="A13" s="337" t="s">
        <v>59</v>
      </c>
      <c r="B13" s="591"/>
      <c r="C13" s="584"/>
      <c r="D13" s="611"/>
      <c r="E13" s="598" t="s">
        <v>187</v>
      </c>
      <c r="F13" s="596" t="s">
        <v>188</v>
      </c>
      <c r="G13" s="593"/>
      <c r="H13" s="334" t="s">
        <v>38</v>
      </c>
      <c r="I13" s="327">
        <f>VLOOKUP(A13, 'Look-up Values'!$F$6:$J$11, 5, FALSE)</f>
        <v>100</v>
      </c>
      <c r="J13" s="325" t="str">
        <f>IF(AND(COUNTIFS(Dashboard!$B$19:$B$44, A13, Dashboard!$E$19:$E$44, H13)=1, SUMIFS(Dashboard!$F$19:$F$44, Dashboard!$B$19:$B$44, A13, Dashboard!$E$19:$E$44, H13)&gt;0), SUMIFS(Dashboard!$F$19:$F$44, Dashboard!$B$19:$B$44, A13, Dashboard!$E$19:$E$44, H13), "-")</f>
        <v>-</v>
      </c>
      <c r="K13" s="325" t="str">
        <f t="shared" si="0"/>
        <v>-</v>
      </c>
      <c r="L13" s="325" t="str">
        <f t="shared" si="1"/>
        <v>-</v>
      </c>
      <c r="M13" s="325" t="str">
        <f t="shared" si="2"/>
        <v>-</v>
      </c>
      <c r="N13" s="325" t="str">
        <f t="shared" si="3"/>
        <v>-</v>
      </c>
      <c r="O13" s="325" t="str">
        <f t="shared" si="4"/>
        <v>-</v>
      </c>
      <c r="P13" s="325" t="str">
        <f>IF(AND(COUNTIFS(Dashboard!$B$19:$B$44, A13, Dashboard!$E$19:$E$44, H13)=1, SUMIFS(Dashboard!$N$19:$N$44, Dashboard!$B$19:$B$44, A13, Dashboard!$E$19:$E$44, H13)&gt;0), SUMIFS(Dashboard!$N$19:$N$44, Dashboard!$B$19:$B$44, A13, Dashboard!$E$19:$E$44, H13), "-")</f>
        <v>-</v>
      </c>
      <c r="Q13" s="323" t="str">
        <f t="shared" si="5"/>
        <v>-</v>
      </c>
      <c r="R13" s="188" t="str">
        <f t="shared" si="6"/>
        <v>-</v>
      </c>
      <c r="S13" s="188" t="str">
        <f t="shared" si="7"/>
        <v>-</v>
      </c>
      <c r="T13" s="188" t="str">
        <f t="shared" si="8"/>
        <v>-</v>
      </c>
      <c r="U13" s="189" t="str">
        <f t="shared" si="9"/>
        <v>-</v>
      </c>
    </row>
    <row r="14" spans="1:21" x14ac:dyDescent="0.25">
      <c r="A14" s="337" t="s">
        <v>59</v>
      </c>
      <c r="B14" s="591"/>
      <c r="C14" s="584"/>
      <c r="D14" s="611"/>
      <c r="E14" s="598"/>
      <c r="F14" s="596"/>
      <c r="G14" s="593"/>
      <c r="H14" s="334" t="s">
        <v>40</v>
      </c>
      <c r="I14" s="327">
        <f>VLOOKUP(A14, 'Look-up Values'!$F$6:$J$11, 5, FALSE)</f>
        <v>100</v>
      </c>
      <c r="J14" s="325" t="str">
        <f>IF(AND(COUNTIFS(Dashboard!$B$19:$B$44, A14, Dashboard!$E$19:$E$44, H14)=1, SUMIFS(Dashboard!$F$19:$F$44, Dashboard!$B$19:$B$44, A14, Dashboard!$E$19:$E$44, H14)&gt;0), SUMIFS(Dashboard!$F$19:$F$44, Dashboard!$B$19:$B$44, A14, Dashboard!$E$19:$E$44, H14), "-")</f>
        <v>-</v>
      </c>
      <c r="K14" s="325" t="str">
        <f t="shared" si="0"/>
        <v>-</v>
      </c>
      <c r="L14" s="325" t="str">
        <f t="shared" si="1"/>
        <v>-</v>
      </c>
      <c r="M14" s="325" t="str">
        <f t="shared" si="2"/>
        <v>-</v>
      </c>
      <c r="N14" s="325" t="str">
        <f t="shared" si="3"/>
        <v>-</v>
      </c>
      <c r="O14" s="325" t="str">
        <f t="shared" si="4"/>
        <v>-</v>
      </c>
      <c r="P14" s="325" t="str">
        <f>IF(AND(COUNTIFS(Dashboard!$B$19:$B$44, A14, Dashboard!$E$19:$E$44, H14)=1, SUMIFS(Dashboard!$N$19:$N$44, Dashboard!$B$19:$B$44, A14, Dashboard!$E$19:$E$44, H14)&gt;0), SUMIFS(Dashboard!$N$19:$N$44, Dashboard!$B$19:$B$44, A14, Dashboard!$E$19:$E$44, H14), "-")</f>
        <v>-</v>
      </c>
      <c r="Q14" s="323" t="str">
        <f t="shared" si="5"/>
        <v>-</v>
      </c>
      <c r="R14" s="188" t="str">
        <f t="shared" si="6"/>
        <v>-</v>
      </c>
      <c r="S14" s="188" t="str">
        <f t="shared" si="7"/>
        <v>-</v>
      </c>
      <c r="T14" s="188" t="str">
        <f t="shared" si="8"/>
        <v>-</v>
      </c>
      <c r="U14" s="189" t="str">
        <f t="shared" si="9"/>
        <v>-</v>
      </c>
    </row>
    <row r="15" spans="1:21" x14ac:dyDescent="0.25">
      <c r="A15" s="337" t="s">
        <v>61</v>
      </c>
      <c r="B15" s="591"/>
      <c r="C15" s="584"/>
      <c r="D15" s="611"/>
      <c r="E15" s="598"/>
      <c r="F15" s="596" t="s">
        <v>189</v>
      </c>
      <c r="G15" s="593"/>
      <c r="H15" s="334" t="s">
        <v>38</v>
      </c>
      <c r="I15" s="327">
        <f>VLOOKUP(A15, 'Look-up Values'!$F$6:$J$11, 5, FALSE)</f>
        <v>100</v>
      </c>
      <c r="J15" s="325" t="str">
        <f>IF(AND(COUNTIFS(Dashboard!$B$19:$B$44, A15, Dashboard!$E$19:$E$44, H15)=1, SUMIFS(Dashboard!$F$19:$F$44, Dashboard!$B$19:$B$44, A15, Dashboard!$E$19:$E$44, H15)&gt;0), SUMIFS(Dashboard!$F$19:$F$44, Dashboard!$B$19:$B$44, A15, Dashboard!$E$19:$E$44, H15), "-")</f>
        <v>-</v>
      </c>
      <c r="K15" s="325" t="str">
        <f t="shared" si="0"/>
        <v>-</v>
      </c>
      <c r="L15" s="325" t="str">
        <f t="shared" si="1"/>
        <v>-</v>
      </c>
      <c r="M15" s="325" t="str">
        <f t="shared" si="2"/>
        <v>-</v>
      </c>
      <c r="N15" s="325" t="str">
        <f t="shared" si="3"/>
        <v>-</v>
      </c>
      <c r="O15" s="325" t="str">
        <f t="shared" si="4"/>
        <v>-</v>
      </c>
      <c r="P15" s="325" t="str">
        <f>IF(AND(COUNTIFS(Dashboard!$B$19:$B$44, A15, Dashboard!$E$19:$E$44, H15)=1, SUMIFS(Dashboard!$N$19:$N$44, Dashboard!$B$19:$B$44, A15, Dashboard!$E$19:$E$44, H15)&gt;0), SUMIFS(Dashboard!$N$19:$N$44, Dashboard!$B$19:$B$44, A15, Dashboard!$E$19:$E$44, H15), "-")</f>
        <v>-</v>
      </c>
      <c r="Q15" s="323" t="str">
        <f t="shared" si="5"/>
        <v>-</v>
      </c>
      <c r="R15" s="188" t="str">
        <f t="shared" si="6"/>
        <v>-</v>
      </c>
      <c r="S15" s="188" t="str">
        <f t="shared" si="7"/>
        <v>-</v>
      </c>
      <c r="T15" s="188" t="str">
        <f t="shared" si="8"/>
        <v>-</v>
      </c>
      <c r="U15" s="189" t="str">
        <f t="shared" si="9"/>
        <v>-</v>
      </c>
    </row>
    <row r="16" spans="1:21" x14ac:dyDescent="0.25">
      <c r="A16" s="337" t="s">
        <v>61</v>
      </c>
      <c r="B16" s="591"/>
      <c r="C16" s="584"/>
      <c r="D16" s="611"/>
      <c r="E16" s="598"/>
      <c r="F16" s="596"/>
      <c r="G16" s="593"/>
      <c r="H16" s="334" t="s">
        <v>40</v>
      </c>
      <c r="I16" s="327">
        <f>VLOOKUP(A16, 'Look-up Values'!$F$6:$J$11, 5, FALSE)</f>
        <v>100</v>
      </c>
      <c r="J16" s="325" t="str">
        <f>IF(AND(COUNTIFS(Dashboard!$B$19:$B$44, A16, Dashboard!$E$19:$E$44, H16)=1, SUMIFS(Dashboard!$F$19:$F$44, Dashboard!$B$19:$B$44, A16, Dashboard!$E$19:$E$44, H16)&gt;0), SUMIFS(Dashboard!$F$19:$F$44, Dashboard!$B$19:$B$44, A16, Dashboard!$E$19:$E$44, H16), "-")</f>
        <v>-</v>
      </c>
      <c r="K16" s="325" t="str">
        <f t="shared" si="0"/>
        <v>-</v>
      </c>
      <c r="L16" s="325" t="str">
        <f t="shared" si="1"/>
        <v>-</v>
      </c>
      <c r="M16" s="325" t="str">
        <f t="shared" si="2"/>
        <v>-</v>
      </c>
      <c r="N16" s="325" t="str">
        <f t="shared" si="3"/>
        <v>-</v>
      </c>
      <c r="O16" s="325" t="str">
        <f t="shared" si="4"/>
        <v>-</v>
      </c>
      <c r="P16" s="325" t="str">
        <f>IF(AND(COUNTIFS(Dashboard!$B$19:$B$44, A16, Dashboard!$E$19:$E$44, H16)=1, SUMIFS(Dashboard!$N$19:$N$44, Dashboard!$B$19:$B$44, A16, Dashboard!$E$19:$E$44, H16)&gt;0), SUMIFS(Dashboard!$N$19:$N$44, Dashboard!$B$19:$B$44, A16, Dashboard!$E$19:$E$44, H16), "-")</f>
        <v>-</v>
      </c>
      <c r="Q16" s="323" t="str">
        <f t="shared" si="5"/>
        <v>-</v>
      </c>
      <c r="R16" s="188" t="str">
        <f t="shared" si="6"/>
        <v>-</v>
      </c>
      <c r="S16" s="188" t="str">
        <f t="shared" si="7"/>
        <v>-</v>
      </c>
      <c r="T16" s="188" t="str">
        <f t="shared" si="8"/>
        <v>-</v>
      </c>
      <c r="U16" s="189" t="str">
        <f t="shared" si="9"/>
        <v>-</v>
      </c>
    </row>
    <row r="17" spans="1:21" x14ac:dyDescent="0.25">
      <c r="A17" s="337" t="s">
        <v>63</v>
      </c>
      <c r="B17" s="591"/>
      <c r="C17" s="584"/>
      <c r="D17" s="611"/>
      <c r="E17" s="598"/>
      <c r="F17" s="596" t="s">
        <v>190</v>
      </c>
      <c r="G17" s="593" t="s">
        <v>191</v>
      </c>
      <c r="H17" s="334" t="s">
        <v>38</v>
      </c>
      <c r="I17" s="327">
        <f>VLOOKUP(A17, 'Look-up Values'!$F$6:$J$11, 5, FALSE)</f>
        <v>100</v>
      </c>
      <c r="J17" s="325" t="str">
        <f>IF(AND(COUNTIFS(Dashboard!$B$19:$B$44, A17, Dashboard!$E$19:$E$44, H17)=1, SUMIFS(Dashboard!$F$19:$F$44, Dashboard!$B$19:$B$44, A17, Dashboard!$E$19:$E$44, H17)&gt;0), SUMIFS(Dashboard!$F$19:$F$44, Dashboard!$B$19:$B$44, A17, Dashboard!$E$19:$E$44, H17), "-")</f>
        <v>-</v>
      </c>
      <c r="K17" s="325" t="str">
        <f t="shared" si="0"/>
        <v>-</v>
      </c>
      <c r="L17" s="325" t="str">
        <f t="shared" si="1"/>
        <v>-</v>
      </c>
      <c r="M17" s="325" t="str">
        <f t="shared" si="2"/>
        <v>-</v>
      </c>
      <c r="N17" s="325" t="str">
        <f t="shared" si="3"/>
        <v>-</v>
      </c>
      <c r="O17" s="325" t="str">
        <f t="shared" si="4"/>
        <v>-</v>
      </c>
      <c r="P17" s="325" t="str">
        <f>IF(AND(COUNTIFS(Dashboard!$B$19:$B$44, A17, Dashboard!$E$19:$E$44, H17)=1, SUMIFS(Dashboard!$N$19:$N$44, Dashboard!$B$19:$B$44, A17, Dashboard!$E$19:$E$44, H17)&gt;0), SUMIFS(Dashboard!$N$19:$N$44, Dashboard!$B$19:$B$44, A17, Dashboard!$E$19:$E$44, H17), "-")</f>
        <v>-</v>
      </c>
      <c r="Q17" s="323" t="str">
        <f t="shared" si="5"/>
        <v>-</v>
      </c>
      <c r="R17" s="188" t="str">
        <f t="shared" si="6"/>
        <v>-</v>
      </c>
      <c r="S17" s="188" t="str">
        <f t="shared" si="7"/>
        <v>-</v>
      </c>
      <c r="T17" s="188" t="str">
        <f t="shared" si="8"/>
        <v>-</v>
      </c>
      <c r="U17" s="189" t="str">
        <f t="shared" si="9"/>
        <v>-</v>
      </c>
    </row>
    <row r="18" spans="1:21" x14ac:dyDescent="0.25">
      <c r="A18" s="337" t="s">
        <v>63</v>
      </c>
      <c r="B18" s="591"/>
      <c r="C18" s="584"/>
      <c r="D18" s="611"/>
      <c r="E18" s="598"/>
      <c r="F18" s="596"/>
      <c r="G18" s="593"/>
      <c r="H18" s="334" t="s">
        <v>40</v>
      </c>
      <c r="I18" s="327">
        <f>VLOOKUP(A18, 'Look-up Values'!$F$6:$J$11, 5, FALSE)</f>
        <v>100</v>
      </c>
      <c r="J18" s="325" t="str">
        <f>IF(AND(COUNTIFS(Dashboard!$B$19:$B$44, A18, Dashboard!$E$19:$E$44, H18)=1, SUMIFS(Dashboard!$F$19:$F$44, Dashboard!$B$19:$B$44, A18, Dashboard!$E$19:$E$44, H18)&gt;0), SUMIFS(Dashboard!$F$19:$F$44, Dashboard!$B$19:$B$44, A18, Dashboard!$E$19:$E$44, H18), "-")</f>
        <v>-</v>
      </c>
      <c r="K18" s="325" t="str">
        <f t="shared" si="0"/>
        <v>-</v>
      </c>
      <c r="L18" s="325" t="str">
        <f t="shared" si="1"/>
        <v>-</v>
      </c>
      <c r="M18" s="325" t="str">
        <f t="shared" si="2"/>
        <v>-</v>
      </c>
      <c r="N18" s="325" t="str">
        <f t="shared" si="3"/>
        <v>-</v>
      </c>
      <c r="O18" s="325" t="str">
        <f t="shared" si="4"/>
        <v>-</v>
      </c>
      <c r="P18" s="325" t="str">
        <f>IF(AND(COUNTIFS(Dashboard!$B$19:$B$44, A18, Dashboard!$E$19:$E$44, H18)=1, SUMIFS(Dashboard!$N$19:$N$44, Dashboard!$B$19:$B$44, A18, Dashboard!$E$19:$E$44, H18)&gt;0), SUMIFS(Dashboard!$N$19:$N$44, Dashboard!$B$19:$B$44, A18, Dashboard!$E$19:$E$44, H18), "-")</f>
        <v>-</v>
      </c>
      <c r="Q18" s="323" t="str">
        <f t="shared" si="5"/>
        <v>-</v>
      </c>
      <c r="R18" s="188" t="str">
        <f t="shared" si="6"/>
        <v>-</v>
      </c>
      <c r="S18" s="188" t="str">
        <f t="shared" si="7"/>
        <v>-</v>
      </c>
      <c r="T18" s="188" t="str">
        <f t="shared" si="8"/>
        <v>-</v>
      </c>
      <c r="U18" s="189" t="str">
        <f t="shared" si="9"/>
        <v>-</v>
      </c>
    </row>
    <row r="19" spans="1:21" x14ac:dyDescent="0.25">
      <c r="A19" s="337" t="s">
        <v>65</v>
      </c>
      <c r="B19" s="591"/>
      <c r="C19" s="584"/>
      <c r="D19" s="611"/>
      <c r="E19" s="598"/>
      <c r="F19" s="596" t="s">
        <v>184</v>
      </c>
      <c r="G19" s="606" t="s">
        <v>185</v>
      </c>
      <c r="H19" s="334" t="s">
        <v>38</v>
      </c>
      <c r="I19" s="327">
        <f>VLOOKUP(A19, 'Look-up Values'!$F$6:$J$11, 5, FALSE)</f>
        <v>100</v>
      </c>
      <c r="J19" s="325" t="str">
        <f>IF(AND(COUNTIFS(Dashboard!$B$19:$B$44, A19, Dashboard!$E$19:$E$44, H19)=1, SUMIFS(Dashboard!$F$19:$F$44, Dashboard!$B$19:$B$44, A19, Dashboard!$E$19:$E$44, H19)&gt;0), SUMIFS(Dashboard!$F$19:$F$44, Dashboard!$B$19:$B$44, A19, Dashboard!$E$19:$E$44, H19), "-")</f>
        <v>-</v>
      </c>
      <c r="K19" s="325" t="str">
        <f t="shared" si="0"/>
        <v>-</v>
      </c>
      <c r="L19" s="325" t="str">
        <f t="shared" si="1"/>
        <v>-</v>
      </c>
      <c r="M19" s="325" t="str">
        <f t="shared" si="2"/>
        <v>-</v>
      </c>
      <c r="N19" s="325" t="str">
        <f t="shared" si="3"/>
        <v>-</v>
      </c>
      <c r="O19" s="325" t="str">
        <f t="shared" si="4"/>
        <v>-</v>
      </c>
      <c r="P19" s="325" t="str">
        <f>IF(AND(COUNTIFS(Dashboard!$B$19:$B$44, A19, Dashboard!$E$19:$E$44, H19)=1, SUMIFS(Dashboard!$N$19:$N$44, Dashboard!$B$19:$B$44, A19, Dashboard!$E$19:$E$44, H19)&gt;0), SUMIFS(Dashboard!$N$19:$N$44, Dashboard!$B$19:$B$44, A19, Dashboard!$E$19:$E$44, H19), "-")</f>
        <v>-</v>
      </c>
      <c r="Q19" s="323" t="str">
        <f t="shared" si="5"/>
        <v>-</v>
      </c>
      <c r="R19" s="188" t="str">
        <f t="shared" si="6"/>
        <v>-</v>
      </c>
      <c r="S19" s="188" t="str">
        <f t="shared" si="7"/>
        <v>-</v>
      </c>
      <c r="T19" s="188" t="str">
        <f t="shared" si="8"/>
        <v>-</v>
      </c>
      <c r="U19" s="189" t="str">
        <f t="shared" si="9"/>
        <v>-</v>
      </c>
    </row>
    <row r="20" spans="1:21" x14ac:dyDescent="0.25">
      <c r="A20" s="337" t="s">
        <v>65</v>
      </c>
      <c r="B20" s="591"/>
      <c r="C20" s="584"/>
      <c r="D20" s="611"/>
      <c r="E20" s="598"/>
      <c r="F20" s="596"/>
      <c r="G20" s="607"/>
      <c r="H20" s="334" t="s">
        <v>40</v>
      </c>
      <c r="I20" s="327">
        <f>VLOOKUP(A20, 'Look-up Values'!$F$6:$J$11, 5, FALSE)</f>
        <v>100</v>
      </c>
      <c r="J20" s="325" t="str">
        <f>IF(AND(COUNTIFS(Dashboard!$B$19:$B$44, A20, Dashboard!$E$19:$E$44, H20)=1, SUMIFS(Dashboard!$F$19:$F$44, Dashboard!$B$19:$B$44, A20, Dashboard!$E$19:$E$44, H20)&gt;0), SUMIFS(Dashboard!$F$19:$F$44, Dashboard!$B$19:$B$44, A20, Dashboard!$E$19:$E$44, H20), "-")</f>
        <v>-</v>
      </c>
      <c r="K20" s="325" t="str">
        <f t="shared" si="0"/>
        <v>-</v>
      </c>
      <c r="L20" s="325" t="str">
        <f t="shared" si="1"/>
        <v>-</v>
      </c>
      <c r="M20" s="325" t="str">
        <f t="shared" si="2"/>
        <v>-</v>
      </c>
      <c r="N20" s="325" t="str">
        <f t="shared" si="3"/>
        <v>-</v>
      </c>
      <c r="O20" s="325" t="str">
        <f t="shared" si="4"/>
        <v>-</v>
      </c>
      <c r="P20" s="325" t="str">
        <f>IF(AND(COUNTIFS(Dashboard!$B$19:$B$44, A20, Dashboard!$E$19:$E$44, H20)=1, SUMIFS(Dashboard!$N$19:$N$44, Dashboard!$B$19:$B$44, A20, Dashboard!$E$19:$E$44, H20)&gt;0), SUMIFS(Dashboard!$N$19:$N$44, Dashboard!$B$19:$B$44, A20, Dashboard!$E$19:$E$44, H20), "-")</f>
        <v>-</v>
      </c>
      <c r="Q20" s="323" t="str">
        <f t="shared" si="5"/>
        <v>-</v>
      </c>
      <c r="R20" s="188" t="str">
        <f t="shared" si="6"/>
        <v>-</v>
      </c>
      <c r="S20" s="188" t="str">
        <f t="shared" si="7"/>
        <v>-</v>
      </c>
      <c r="T20" s="188" t="str">
        <f t="shared" si="8"/>
        <v>-</v>
      </c>
      <c r="U20" s="189" t="str">
        <f t="shared" si="9"/>
        <v>-</v>
      </c>
    </row>
    <row r="21" spans="1:21" x14ac:dyDescent="0.25">
      <c r="A21" s="337" t="s">
        <v>66</v>
      </c>
      <c r="B21" s="591"/>
      <c r="C21" s="584"/>
      <c r="D21" s="611"/>
      <c r="E21" s="598"/>
      <c r="F21" s="602" t="s">
        <v>186</v>
      </c>
      <c r="G21" s="607"/>
      <c r="H21" s="334" t="s">
        <v>38</v>
      </c>
      <c r="I21" s="327">
        <f>VLOOKUP(A21, 'Look-up Values'!$F$6:$J$14, 5, FALSE)</f>
        <v>100</v>
      </c>
      <c r="J21" s="325" t="str">
        <f>IF(AND(COUNTIFS(Dashboard!$B$19:$B$44, A21, Dashboard!$E$19:$E$44, H21)=1, SUMIFS(Dashboard!$F$19:$F$44, Dashboard!$B$19:$B$44, A21, Dashboard!$E$19:$E$44, H21)&gt;0), SUMIFS(Dashboard!$F$19:$F$44, Dashboard!$B$19:$B$44, A21, Dashboard!$E$19:$E$44, H21), "-")</f>
        <v>-</v>
      </c>
      <c r="K21" s="325" t="str">
        <f t="shared" si="0"/>
        <v>-</v>
      </c>
      <c r="L21" s="325" t="str">
        <f t="shared" si="1"/>
        <v>-</v>
      </c>
      <c r="M21" s="325" t="str">
        <f t="shared" si="2"/>
        <v>-</v>
      </c>
      <c r="N21" s="325" t="str">
        <f t="shared" si="3"/>
        <v>-</v>
      </c>
      <c r="O21" s="325" t="str">
        <f t="shared" si="4"/>
        <v>-</v>
      </c>
      <c r="P21" s="325" t="str">
        <f>IF(AND(COUNTIFS(Dashboard!$B$19:$B$44, A21, Dashboard!$E$19:$E$44, H21)=1, SUMIFS(Dashboard!$N$19:$N$44, Dashboard!$B$19:$B$44, A21, Dashboard!$E$19:$E$44, H21)&gt;0), SUMIFS(Dashboard!$N$19:$N$44, Dashboard!$B$19:$B$44, A21, Dashboard!$E$19:$E$44, H21), "-")</f>
        <v>-</v>
      </c>
      <c r="Q21" s="323" t="str">
        <f t="shared" si="5"/>
        <v>-</v>
      </c>
      <c r="R21" s="188" t="str">
        <f t="shared" si="6"/>
        <v>-</v>
      </c>
      <c r="S21" s="188" t="str">
        <f t="shared" si="7"/>
        <v>-</v>
      </c>
      <c r="T21" s="188" t="str">
        <f t="shared" si="8"/>
        <v>-</v>
      </c>
      <c r="U21" s="189" t="str">
        <f t="shared" si="9"/>
        <v>-</v>
      </c>
    </row>
    <row r="22" spans="1:21" x14ac:dyDescent="0.25">
      <c r="A22" s="337" t="s">
        <v>66</v>
      </c>
      <c r="B22" s="591"/>
      <c r="C22" s="584"/>
      <c r="D22" s="611"/>
      <c r="E22" s="598"/>
      <c r="F22" s="603"/>
      <c r="G22" s="608"/>
      <c r="H22" s="334" t="s">
        <v>40</v>
      </c>
      <c r="I22" s="327">
        <f>VLOOKUP(A22, 'Look-up Values'!$F$6:$J$14, 5, FALSE)</f>
        <v>100</v>
      </c>
      <c r="J22" s="325" t="str">
        <f>IF(AND(COUNTIFS(Dashboard!$B$19:$B$44, A22, Dashboard!$E$19:$E$44, H22)=1, SUMIFS(Dashboard!$F$19:$F$44, Dashboard!$B$19:$B$44, A22, Dashboard!$E$19:$E$44, H22)&gt;0), SUMIFS(Dashboard!$F$19:$F$44, Dashboard!$B$19:$B$44, A22, Dashboard!$E$19:$E$44, H22), "-")</f>
        <v>-</v>
      </c>
      <c r="K22" s="325" t="str">
        <f t="shared" si="0"/>
        <v>-</v>
      </c>
      <c r="L22" s="325" t="str">
        <f t="shared" si="1"/>
        <v>-</v>
      </c>
      <c r="M22" s="325" t="str">
        <f t="shared" si="2"/>
        <v>-</v>
      </c>
      <c r="N22" s="325" t="str">
        <f t="shared" si="3"/>
        <v>-</v>
      </c>
      <c r="O22" s="325" t="str">
        <f t="shared" si="4"/>
        <v>-</v>
      </c>
      <c r="P22" s="325" t="str">
        <f>IF(AND(COUNTIFS(Dashboard!$B$19:$B$44, A22, Dashboard!$E$19:$E$44, H22)=1, SUMIFS(Dashboard!$N$19:$N$44, Dashboard!$B$19:$B$44, A22, Dashboard!$E$19:$E$44, H22)&gt;0), SUMIFS(Dashboard!$N$19:$N$44, Dashboard!$B$19:$B$44, A22, Dashboard!$E$19:$E$44, H22), "-")</f>
        <v>-</v>
      </c>
      <c r="Q22" s="323" t="str">
        <f t="shared" si="5"/>
        <v>-</v>
      </c>
      <c r="R22" s="188" t="str">
        <f t="shared" si="6"/>
        <v>-</v>
      </c>
      <c r="S22" s="188" t="str">
        <f t="shared" si="7"/>
        <v>-</v>
      </c>
      <c r="T22" s="188" t="str">
        <f t="shared" si="8"/>
        <v>-</v>
      </c>
      <c r="U22" s="189" t="str">
        <f>IFERROR(IF(A22="Tox07", P22/$U$8, P22*$U$8), "-")</f>
        <v>-</v>
      </c>
    </row>
    <row r="23" spans="1:21" x14ac:dyDescent="0.25">
      <c r="A23" s="337" t="s">
        <v>67</v>
      </c>
      <c r="B23" s="591"/>
      <c r="C23" s="584"/>
      <c r="D23" s="611"/>
      <c r="E23" s="598"/>
      <c r="F23" s="596" t="s">
        <v>192</v>
      </c>
      <c r="G23" s="593" t="s">
        <v>193</v>
      </c>
      <c r="H23" s="334" t="s">
        <v>38</v>
      </c>
      <c r="I23" s="327">
        <f>VLOOKUP(A23, 'Look-up Values'!$F$6:$J$11, 5, FALSE)</f>
        <v>100</v>
      </c>
      <c r="J23" s="325" t="str">
        <f>IF(AND(COUNTIFS(Dashboard!$B$19:$B$44, A23, Dashboard!$E$19:$E$44, H23)=1, SUMIFS(Dashboard!$F$19:$F$44, Dashboard!$B$19:$B$44, A23, Dashboard!$E$19:$E$44, H23)&gt;0), SUMIFS(Dashboard!$F$19:$F$44, Dashboard!$B$19:$B$44, A23, Dashboard!$E$19:$E$44, H23), "-")</f>
        <v>-</v>
      </c>
      <c r="K23" s="325" t="str">
        <f t="shared" si="0"/>
        <v>-</v>
      </c>
      <c r="L23" s="325" t="str">
        <f t="shared" si="1"/>
        <v>-</v>
      </c>
      <c r="M23" s="325" t="str">
        <f t="shared" si="2"/>
        <v>-</v>
      </c>
      <c r="N23" s="325" t="str">
        <f t="shared" si="3"/>
        <v>-</v>
      </c>
      <c r="O23" s="325" t="str">
        <f t="shared" si="4"/>
        <v>-</v>
      </c>
      <c r="P23" s="325" t="str">
        <f>IF(AND(COUNTIFS(Dashboard!$B$19:$B$44, A23, Dashboard!$E$19:$E$44, H23)=1, SUMIFS(Dashboard!$N$19:$N$44, Dashboard!$B$19:$B$44, A23, Dashboard!$E$19:$E$44, H23)&gt;0), SUMIFS(Dashboard!$N$19:$N$44, Dashboard!$B$19:$B$44, A23, Dashboard!$E$19:$E$44, H23), "-")</f>
        <v>-</v>
      </c>
      <c r="Q23" s="323" t="str">
        <f t="shared" si="5"/>
        <v>-</v>
      </c>
      <c r="R23" s="188" t="str">
        <f t="shared" si="6"/>
        <v>-</v>
      </c>
      <c r="S23" s="188" t="str">
        <f t="shared" si="7"/>
        <v>-</v>
      </c>
      <c r="T23" s="188" t="str">
        <f t="shared" si="8"/>
        <v>-</v>
      </c>
      <c r="U23" s="189" t="str">
        <f t="shared" si="9"/>
        <v>-</v>
      </c>
    </row>
    <row r="24" spans="1:21" x14ac:dyDescent="0.25">
      <c r="A24" s="337" t="s">
        <v>67</v>
      </c>
      <c r="B24" s="591"/>
      <c r="C24" s="584"/>
      <c r="D24" s="611"/>
      <c r="E24" s="598"/>
      <c r="F24" s="596"/>
      <c r="G24" s="593"/>
      <c r="H24" s="334" t="s">
        <v>40</v>
      </c>
      <c r="I24" s="327">
        <f>VLOOKUP(A24, 'Look-up Values'!$F$6:$J$11, 5, FALSE)</f>
        <v>100</v>
      </c>
      <c r="J24" s="325" t="str">
        <f>IF(AND(COUNTIFS(Dashboard!$B$19:$B$44, A24, Dashboard!$E$19:$E$44, H24)=1, SUMIFS(Dashboard!$F$19:$F$44, Dashboard!$B$19:$B$44, A24, Dashboard!$E$19:$E$44, H24)&gt;0), SUMIFS(Dashboard!$F$19:$F$44, Dashboard!$B$19:$B$44, A24, Dashboard!$E$19:$E$44, H24), "-")</f>
        <v>-</v>
      </c>
      <c r="K24" s="325" t="str">
        <f t="shared" si="0"/>
        <v>-</v>
      </c>
      <c r="L24" s="325" t="str">
        <f t="shared" si="1"/>
        <v>-</v>
      </c>
      <c r="M24" s="325" t="str">
        <f t="shared" si="2"/>
        <v>-</v>
      </c>
      <c r="N24" s="325" t="str">
        <f t="shared" si="3"/>
        <v>-</v>
      </c>
      <c r="O24" s="325" t="str">
        <f t="shared" si="4"/>
        <v>-</v>
      </c>
      <c r="P24" s="325" t="str">
        <f>IF(AND(COUNTIFS(Dashboard!$B$19:$B$44, A24, Dashboard!$E$19:$E$44, H24)=1, SUMIFS(Dashboard!$N$19:$N$44, Dashboard!$B$19:$B$44, A24, Dashboard!$E$19:$E$44, H24)&gt;0), SUMIFS(Dashboard!$N$19:$N$44, Dashboard!$B$19:$B$44, A24, Dashboard!$E$19:$E$44, H24), "-")</f>
        <v>-</v>
      </c>
      <c r="Q24" s="323" t="str">
        <f t="shared" si="5"/>
        <v>-</v>
      </c>
      <c r="R24" s="188" t="str">
        <f t="shared" si="6"/>
        <v>-</v>
      </c>
      <c r="S24" s="188" t="str">
        <f t="shared" si="7"/>
        <v>-</v>
      </c>
      <c r="T24" s="188" t="str">
        <f t="shared" si="8"/>
        <v>-</v>
      </c>
      <c r="U24" s="189" t="str">
        <f t="shared" si="9"/>
        <v>-</v>
      </c>
    </row>
    <row r="25" spans="1:21" x14ac:dyDescent="0.25">
      <c r="A25" s="338" t="s">
        <v>76</v>
      </c>
      <c r="B25" s="591"/>
      <c r="C25" s="584"/>
      <c r="D25" s="611"/>
      <c r="E25" s="598" t="s">
        <v>194</v>
      </c>
      <c r="F25" s="596" t="s">
        <v>195</v>
      </c>
      <c r="G25" s="593"/>
      <c r="H25" s="334" t="s">
        <v>38</v>
      </c>
      <c r="I25" s="328">
        <f>0.0001</f>
        <v>1E-4</v>
      </c>
      <c r="J25" s="325" t="str">
        <f>IF(AND(COUNTIFS(Dashboard!$B$19:$B$44, A25, Dashboard!$E$19:$E$44, H25)=1, SUMIFS(Dashboard!$F$19:$F$44, Dashboard!$B$19:$B$44, A25, Dashboard!$E$19:$E$44, H25)&gt;0), SUMIFS(Dashboard!$F$19:$F$44, Dashboard!$B$19:$B$44, A25, Dashboard!$E$19:$E$44, H25), "-")</f>
        <v>-</v>
      </c>
      <c r="K25" s="325" t="str">
        <f>IFERROR(IF(A25="Tox07", J25/$K$8, J25*$K$8), "-")</f>
        <v>-</v>
      </c>
      <c r="L25" s="325" t="str">
        <f t="shared" si="1"/>
        <v>-</v>
      </c>
      <c r="M25" s="325" t="str">
        <f t="shared" si="2"/>
        <v>-</v>
      </c>
      <c r="N25" s="325" t="str">
        <f t="shared" si="3"/>
        <v>-</v>
      </c>
      <c r="O25" s="325" t="str">
        <f t="shared" si="4"/>
        <v>-</v>
      </c>
      <c r="P25" s="325" t="str">
        <f>IF(AND(COUNTIFS(Dashboard!$B$19:$B$44, A25, Dashboard!$E$19:$E$44, H25)=1, SUMIFS(Dashboard!$N$19:$N$44, Dashboard!$B$19:$B$44, A25, Dashboard!$E$19:$E$44, H25)&gt;0), SUMIFS(Dashboard!$N$19:$N$44, Dashboard!$B$19:$B$44, A25, Dashboard!$E$19:$E$44, H25), "-")</f>
        <v>-</v>
      </c>
      <c r="Q25" s="323" t="str">
        <f t="shared" si="5"/>
        <v>-</v>
      </c>
      <c r="R25" s="188" t="str">
        <f t="shared" si="6"/>
        <v>-</v>
      </c>
      <c r="S25" s="188" t="str">
        <f t="shared" si="7"/>
        <v>-</v>
      </c>
      <c r="T25" s="188" t="str">
        <f t="shared" si="8"/>
        <v>-</v>
      </c>
      <c r="U25" s="189" t="str">
        <f t="shared" si="9"/>
        <v>-</v>
      </c>
    </row>
    <row r="26" spans="1:21" ht="13.5" thickBot="1" x14ac:dyDescent="0.3">
      <c r="A26" s="339" t="s">
        <v>76</v>
      </c>
      <c r="B26" s="592"/>
      <c r="C26" s="585"/>
      <c r="D26" s="612"/>
      <c r="E26" s="604"/>
      <c r="F26" s="605"/>
      <c r="G26" s="594"/>
      <c r="H26" s="342" t="s">
        <v>40</v>
      </c>
      <c r="I26" s="329">
        <f>0.0001</f>
        <v>1E-4</v>
      </c>
      <c r="J26" s="343" t="str">
        <f>IF(AND(COUNTIFS(Dashboard!$B$19:$B$44, A26, Dashboard!$E$19:$E$44, H26)=1, SUMIFS(Dashboard!$F$19:$F$44, Dashboard!$B$19:$B$44, A26, Dashboard!$E$19:$E$44, H26)&gt;0), SUMIFS(Dashboard!$F$19:$F$44, Dashboard!$B$19:$B$44, A26, Dashboard!$E$19:$E$44, H26), "-")</f>
        <v>-</v>
      </c>
      <c r="K26" s="343" t="str">
        <f t="shared" si="0"/>
        <v>-</v>
      </c>
      <c r="L26" s="343" t="str">
        <f t="shared" si="1"/>
        <v>-</v>
      </c>
      <c r="M26" s="343" t="str">
        <f t="shared" si="2"/>
        <v>-</v>
      </c>
      <c r="N26" s="343" t="str">
        <f t="shared" si="3"/>
        <v>-</v>
      </c>
      <c r="O26" s="343" t="str">
        <f t="shared" si="4"/>
        <v>-</v>
      </c>
      <c r="P26" s="343" t="str">
        <f>IF(AND(COUNTIFS(Dashboard!$B$19:$B$44, A26, Dashboard!$E$19:$E$44, H26)=1, SUMIFS(Dashboard!$N$19:$N$44, Dashboard!$B$19:$B$44, A26, Dashboard!$E$19:$E$44, H26)&gt;0), SUMIFS(Dashboard!$N$19:$N$44, Dashboard!$B$19:$B$44, A26, Dashboard!$E$19:$E$44, H26), "-")</f>
        <v>-</v>
      </c>
      <c r="Q26" s="324" t="str">
        <f t="shared" si="5"/>
        <v>-</v>
      </c>
      <c r="R26" s="191" t="str">
        <f t="shared" si="6"/>
        <v>-</v>
      </c>
      <c r="S26" s="191" t="str">
        <f t="shared" si="7"/>
        <v>-</v>
      </c>
      <c r="T26" s="191" t="str">
        <f t="shared" si="8"/>
        <v>-</v>
      </c>
      <c r="U26" s="192" t="str">
        <f t="shared" si="9"/>
        <v>-</v>
      </c>
    </row>
    <row r="27" spans="1:21" ht="12.75" customHeight="1" x14ac:dyDescent="0.25">
      <c r="A27" s="336" t="s">
        <v>49</v>
      </c>
      <c r="B27" s="590" t="str">
        <f>Dashboard!$C$3</f>
        <v>Manufacturing (US)</v>
      </c>
      <c r="C27" s="583" t="str">
        <f>Dashboard!$D$3</f>
        <v>Model</v>
      </c>
      <c r="D27" s="609" t="s">
        <v>196</v>
      </c>
      <c r="E27" s="599" t="s">
        <v>183</v>
      </c>
      <c r="F27" s="595" t="s">
        <v>184</v>
      </c>
      <c r="G27" s="597" t="s">
        <v>185</v>
      </c>
      <c r="H27" s="340" t="s">
        <v>38</v>
      </c>
      <c r="I27" s="326">
        <f>VLOOKUP(A27, 'Look-up Values'!$F$6:$J$11, 5, FALSE)</f>
        <v>100</v>
      </c>
      <c r="J27" s="341" t="str">
        <f>IF(AND(COUNTIFS(Dashboard!$B$19:$B$44, A27, Dashboard!$E$19:$E$44, H27)=1, SUMIFS(Dashboard!$G$19:$G$44, Dashboard!$B$19:$B$44, A27, Dashboard!$E$19:$E$44, H27)&gt;0), SUMIFS(Dashboard!$G$19:$G$44, Dashboard!$B$19:$B$44, A27, Dashboard!$E$19:$E$44, H27), "-")</f>
        <v>-</v>
      </c>
      <c r="K27" s="341" t="str">
        <f t="shared" si="0"/>
        <v>-</v>
      </c>
      <c r="L27" s="341" t="str">
        <f t="shared" si="1"/>
        <v>-</v>
      </c>
      <c r="M27" s="341" t="str">
        <f t="shared" si="2"/>
        <v>-</v>
      </c>
      <c r="N27" s="341" t="str">
        <f t="shared" si="3"/>
        <v>-</v>
      </c>
      <c r="O27" s="341" t="str">
        <f t="shared" si="4"/>
        <v>-</v>
      </c>
      <c r="P27" s="341" t="str">
        <f>IF(AND(COUNTIFS(Dashboard!$B$19:$B$44, A27, Dashboard!$E$19:$E$44, H27)=1, SUMIFS(Dashboard!$O$19:$O$44, Dashboard!$B$19:$B$44, A27, Dashboard!$E$19:$E$44, H27)&gt;0), SUMIFS(Dashboard!$O$19:$O$44, Dashboard!$B$19:$B$44, A27, Dashboard!$E$19:$E$44, H27), "-")</f>
        <v>-</v>
      </c>
      <c r="Q27" s="322" t="str">
        <f t="shared" si="5"/>
        <v>-</v>
      </c>
      <c r="R27" s="185" t="str">
        <f t="shared" si="6"/>
        <v>-</v>
      </c>
      <c r="S27" s="185" t="str">
        <f t="shared" si="7"/>
        <v>-</v>
      </c>
      <c r="T27" s="185" t="str">
        <f t="shared" si="8"/>
        <v>-</v>
      </c>
      <c r="U27" s="186" t="str">
        <f t="shared" si="9"/>
        <v>-</v>
      </c>
    </row>
    <row r="28" spans="1:21" ht="15" customHeight="1" x14ac:dyDescent="0.25">
      <c r="A28" s="337" t="s">
        <v>49</v>
      </c>
      <c r="B28" s="591"/>
      <c r="C28" s="584"/>
      <c r="D28" s="598"/>
      <c r="E28" s="600"/>
      <c r="F28" s="596"/>
      <c r="G28" s="593"/>
      <c r="H28" s="334" t="s">
        <v>40</v>
      </c>
      <c r="I28" s="327">
        <f>VLOOKUP(A28, 'Look-up Values'!$F$6:$J$11, 5, FALSE)</f>
        <v>100</v>
      </c>
      <c r="J28" s="325" t="str">
        <f>IF(AND(COUNTIFS(Dashboard!$B$19:$B$44, A28, Dashboard!$E$19:$E$44, H28)=1, SUMIFS(Dashboard!$G$19:$G$44, Dashboard!$B$19:$B$44, A28, Dashboard!$E$19:$E$44, H28)&gt;0), SUMIFS(Dashboard!$G$19:$G$44, Dashboard!$B$19:$B$44, A28, Dashboard!$E$19:$E$44, H28), "-")</f>
        <v>-</v>
      </c>
      <c r="K28" s="325" t="str">
        <f t="shared" si="0"/>
        <v>-</v>
      </c>
      <c r="L28" s="325" t="str">
        <f t="shared" si="1"/>
        <v>-</v>
      </c>
      <c r="M28" s="325" t="str">
        <f t="shared" si="2"/>
        <v>-</v>
      </c>
      <c r="N28" s="325" t="str">
        <f t="shared" si="3"/>
        <v>-</v>
      </c>
      <c r="O28" s="325" t="str">
        <f t="shared" si="4"/>
        <v>-</v>
      </c>
      <c r="P28" s="325" t="str">
        <f>IF(AND(COUNTIFS(Dashboard!$B$19:$B$44, A28, Dashboard!$E$19:$E$44, H28)=1, SUMIFS(Dashboard!$O$19:$O$44, Dashboard!$B$19:$B$44, A28, Dashboard!$E$19:$E$44, H28)&gt;0), SUMIFS(Dashboard!$O$19:$O$44, Dashboard!$B$19:$B$44, A28, Dashboard!$E$19:$E$44, H28), "-")</f>
        <v>-</v>
      </c>
      <c r="Q28" s="323" t="str">
        <f t="shared" si="5"/>
        <v>-</v>
      </c>
      <c r="R28" s="188" t="str">
        <f t="shared" si="6"/>
        <v>-</v>
      </c>
      <c r="S28" s="188" t="str">
        <f t="shared" si="7"/>
        <v>-</v>
      </c>
      <c r="T28" s="188" t="str">
        <f t="shared" si="8"/>
        <v>-</v>
      </c>
      <c r="U28" s="189" t="str">
        <f t="shared" si="9"/>
        <v>-</v>
      </c>
    </row>
    <row r="29" spans="1:21" ht="15" customHeight="1" x14ac:dyDescent="0.25">
      <c r="A29" s="337" t="s">
        <v>51</v>
      </c>
      <c r="B29" s="591"/>
      <c r="C29" s="584"/>
      <c r="D29" s="598"/>
      <c r="E29" s="600"/>
      <c r="F29" s="602" t="s">
        <v>186</v>
      </c>
      <c r="G29" s="593"/>
      <c r="H29" s="334" t="s">
        <v>38</v>
      </c>
      <c r="I29" s="327">
        <f>VLOOKUP(A29, 'Look-up Values'!$F$6:$J$14, 5, FALSE)</f>
        <v>100</v>
      </c>
      <c r="J29" s="325" t="str">
        <f>IF(AND(COUNTIFS(Dashboard!$B$19:$B$44, A29, Dashboard!$E$19:$E$44, H29)=1, SUMIFS(Dashboard!$G$19:$G$44, Dashboard!$B$19:$B$44, A29, Dashboard!$E$19:$E$44, H29)&gt;0), SUMIFS(Dashboard!$G$19:$G$44, Dashboard!$B$19:$B$44, A29, Dashboard!$E$19:$E$44, H29), "-")</f>
        <v>-</v>
      </c>
      <c r="K29" s="325" t="str">
        <f t="shared" si="0"/>
        <v>-</v>
      </c>
      <c r="L29" s="325" t="str">
        <f t="shared" si="1"/>
        <v>-</v>
      </c>
      <c r="M29" s="325" t="str">
        <f t="shared" si="2"/>
        <v>-</v>
      </c>
      <c r="N29" s="325" t="str">
        <f t="shared" si="3"/>
        <v>-</v>
      </c>
      <c r="O29" s="325" t="str">
        <f t="shared" si="4"/>
        <v>-</v>
      </c>
      <c r="P29" s="325" t="str">
        <f>IF(AND(COUNTIFS(Dashboard!$B$19:$B$44, A29, Dashboard!$E$19:$E$44, H29)=1, SUMIFS(Dashboard!$O$19:$O$44, Dashboard!$B$19:$B$44, A29, Dashboard!$E$19:$E$44, H29)&gt;0), SUMIFS(Dashboard!$O$19:$O$44, Dashboard!$B$19:$B$44, A29, Dashboard!$E$19:$E$44, H29), "-")</f>
        <v>-</v>
      </c>
      <c r="Q29" s="323" t="str">
        <f t="shared" si="5"/>
        <v>-</v>
      </c>
      <c r="R29" s="188" t="str">
        <f t="shared" si="6"/>
        <v>-</v>
      </c>
      <c r="S29" s="188" t="str">
        <f t="shared" si="7"/>
        <v>-</v>
      </c>
      <c r="T29" s="188" t="str">
        <f t="shared" si="8"/>
        <v>-</v>
      </c>
      <c r="U29" s="189" t="str">
        <f t="shared" si="9"/>
        <v>-</v>
      </c>
    </row>
    <row r="30" spans="1:21" ht="15" customHeight="1" x14ac:dyDescent="0.25">
      <c r="A30" s="337" t="s">
        <v>51</v>
      </c>
      <c r="B30" s="591"/>
      <c r="C30" s="584"/>
      <c r="D30" s="598"/>
      <c r="E30" s="601"/>
      <c r="F30" s="603"/>
      <c r="G30" s="593"/>
      <c r="H30" s="334" t="s">
        <v>40</v>
      </c>
      <c r="I30" s="327">
        <f>VLOOKUP(A30, 'Look-up Values'!$F$6:$J$14, 5, FALSE)</f>
        <v>100</v>
      </c>
      <c r="J30" s="325" t="str">
        <f>IF(AND(COUNTIFS(Dashboard!$B$19:$B$44, A30, Dashboard!$E$19:$E$44, H30)=1, SUMIFS(Dashboard!$G$19:$G$44, Dashboard!$B$19:$B$44, A30, Dashboard!$E$19:$E$44, H30)&gt;0), SUMIFS(Dashboard!$G$19:$G$44, Dashboard!$B$19:$B$44, A30, Dashboard!$E$19:$E$44, H30), "-")</f>
        <v>-</v>
      </c>
      <c r="K30" s="325" t="str">
        <f t="shared" si="0"/>
        <v>-</v>
      </c>
      <c r="L30" s="325" t="str">
        <f t="shared" si="1"/>
        <v>-</v>
      </c>
      <c r="M30" s="325" t="str">
        <f t="shared" si="2"/>
        <v>-</v>
      </c>
      <c r="N30" s="325" t="str">
        <f t="shared" si="3"/>
        <v>-</v>
      </c>
      <c r="O30" s="325" t="str">
        <f t="shared" si="4"/>
        <v>-</v>
      </c>
      <c r="P30" s="325" t="str">
        <f>IF(AND(COUNTIFS(Dashboard!$B$19:$B$44, A30, Dashboard!$E$19:$E$44, H30)=1, SUMIFS(Dashboard!$O$19:$O$44, Dashboard!$B$19:$B$44, A30, Dashboard!$E$19:$E$44, H30)&gt;0), SUMIFS(Dashboard!$O$19:$O$44, Dashboard!$B$19:$B$44, A30, Dashboard!$E$19:$E$44, H30), "-")</f>
        <v>-</v>
      </c>
      <c r="Q30" s="323" t="str">
        <f t="shared" si="5"/>
        <v>-</v>
      </c>
      <c r="R30" s="188" t="str">
        <f t="shared" si="6"/>
        <v>-</v>
      </c>
      <c r="S30" s="188" t="str">
        <f t="shared" si="7"/>
        <v>-</v>
      </c>
      <c r="T30" s="188" t="str">
        <f t="shared" si="8"/>
        <v>-</v>
      </c>
      <c r="U30" s="189" t="str">
        <f t="shared" si="9"/>
        <v>-</v>
      </c>
    </row>
    <row r="31" spans="1:21" x14ac:dyDescent="0.25">
      <c r="A31" s="337" t="s">
        <v>59</v>
      </c>
      <c r="B31" s="591"/>
      <c r="C31" s="584"/>
      <c r="D31" s="598"/>
      <c r="E31" s="598" t="s">
        <v>187</v>
      </c>
      <c r="F31" s="596" t="s">
        <v>188</v>
      </c>
      <c r="G31" s="593"/>
      <c r="H31" s="334" t="s">
        <v>38</v>
      </c>
      <c r="I31" s="327">
        <f>VLOOKUP(A31, 'Look-up Values'!$F$6:$J$11, 5, FALSE)</f>
        <v>100</v>
      </c>
      <c r="J31" s="325" t="str">
        <f>IF(AND(COUNTIFS(Dashboard!$B$19:$B$44, A31, Dashboard!$E$19:$E$44, H31)=1, SUMIFS(Dashboard!$G$19:$G$44, Dashboard!$B$19:$B$44, A31, Dashboard!$E$19:$E$44, H31)&gt;0), SUMIFS(Dashboard!$G$19:$G$44, Dashboard!$B$19:$B$44, A31, Dashboard!$E$19:$E$44, H31), "-")</f>
        <v>-</v>
      </c>
      <c r="K31" s="325" t="str">
        <f t="shared" si="0"/>
        <v>-</v>
      </c>
      <c r="L31" s="325" t="str">
        <f t="shared" si="1"/>
        <v>-</v>
      </c>
      <c r="M31" s="325" t="str">
        <f t="shared" si="2"/>
        <v>-</v>
      </c>
      <c r="N31" s="325" t="str">
        <f t="shared" si="3"/>
        <v>-</v>
      </c>
      <c r="O31" s="325" t="str">
        <f t="shared" si="4"/>
        <v>-</v>
      </c>
      <c r="P31" s="325" t="str">
        <f>IF(AND(COUNTIFS(Dashboard!$B$19:$B$44, A31, Dashboard!$E$19:$E$44, H31)=1, SUMIFS(Dashboard!$O$19:$O$44, Dashboard!$B$19:$B$44, A31, Dashboard!$E$19:$E$44, H31)&gt;0), SUMIFS(Dashboard!$O$19:$O$44, Dashboard!$B$19:$B$44, A31, Dashboard!$E$19:$E$44, H31), "-")</f>
        <v>-</v>
      </c>
      <c r="Q31" s="323" t="str">
        <f t="shared" si="5"/>
        <v>-</v>
      </c>
      <c r="R31" s="188" t="str">
        <f t="shared" si="6"/>
        <v>-</v>
      </c>
      <c r="S31" s="188" t="str">
        <f t="shared" si="7"/>
        <v>-</v>
      </c>
      <c r="T31" s="188" t="str">
        <f t="shared" si="8"/>
        <v>-</v>
      </c>
      <c r="U31" s="189" t="str">
        <f t="shared" si="9"/>
        <v>-</v>
      </c>
    </row>
    <row r="32" spans="1:21" x14ac:dyDescent="0.25">
      <c r="A32" s="337" t="s">
        <v>59</v>
      </c>
      <c r="B32" s="591"/>
      <c r="C32" s="584"/>
      <c r="D32" s="598"/>
      <c r="E32" s="598"/>
      <c r="F32" s="596"/>
      <c r="G32" s="593"/>
      <c r="H32" s="334" t="s">
        <v>40</v>
      </c>
      <c r="I32" s="327">
        <f>VLOOKUP(A32, 'Look-up Values'!$F$6:$J$11, 5, FALSE)</f>
        <v>100</v>
      </c>
      <c r="J32" s="325" t="str">
        <f>IF(AND(COUNTIFS(Dashboard!$B$19:$B$44, A32, Dashboard!$E$19:$E$44, H32)=1, SUMIFS(Dashboard!$G$19:$G$44, Dashboard!$B$19:$B$44, A32, Dashboard!$E$19:$E$44, H32)&gt;0), SUMIFS(Dashboard!$G$19:$G$44, Dashboard!$B$19:$B$44, A32, Dashboard!$E$19:$E$44, H32), "-")</f>
        <v>-</v>
      </c>
      <c r="K32" s="325" t="str">
        <f t="shared" si="0"/>
        <v>-</v>
      </c>
      <c r="L32" s="325" t="str">
        <f t="shared" si="1"/>
        <v>-</v>
      </c>
      <c r="M32" s="325" t="str">
        <f t="shared" si="2"/>
        <v>-</v>
      </c>
      <c r="N32" s="325" t="str">
        <f t="shared" si="3"/>
        <v>-</v>
      </c>
      <c r="O32" s="325" t="str">
        <f t="shared" si="4"/>
        <v>-</v>
      </c>
      <c r="P32" s="325" t="str">
        <f>IF(AND(COUNTIFS(Dashboard!$B$19:$B$44, A32, Dashboard!$E$19:$E$44, H32)=1, SUMIFS(Dashboard!$O$19:$O$44, Dashboard!$B$19:$B$44, A32, Dashboard!$E$19:$E$44, H32)&gt;0), SUMIFS(Dashboard!$O$19:$O$44, Dashboard!$B$19:$B$44, A32, Dashboard!$E$19:$E$44, H32), "-")</f>
        <v>-</v>
      </c>
      <c r="Q32" s="323" t="str">
        <f t="shared" si="5"/>
        <v>-</v>
      </c>
      <c r="R32" s="188" t="str">
        <f t="shared" si="6"/>
        <v>-</v>
      </c>
      <c r="S32" s="188" t="str">
        <f t="shared" si="7"/>
        <v>-</v>
      </c>
      <c r="T32" s="188" t="str">
        <f t="shared" si="8"/>
        <v>-</v>
      </c>
      <c r="U32" s="189" t="str">
        <f t="shared" si="9"/>
        <v>-</v>
      </c>
    </row>
    <row r="33" spans="1:21" x14ac:dyDescent="0.25">
      <c r="A33" s="337" t="s">
        <v>61</v>
      </c>
      <c r="B33" s="591"/>
      <c r="C33" s="584"/>
      <c r="D33" s="598"/>
      <c r="E33" s="598"/>
      <c r="F33" s="596" t="s">
        <v>189</v>
      </c>
      <c r="G33" s="593"/>
      <c r="H33" s="334" t="s">
        <v>38</v>
      </c>
      <c r="I33" s="327">
        <f>VLOOKUP(A33, 'Look-up Values'!$F$6:$J$11, 5, FALSE)</f>
        <v>100</v>
      </c>
      <c r="J33" s="325" t="str">
        <f>IF(AND(COUNTIFS(Dashboard!$B$19:$B$44, A33, Dashboard!$E$19:$E$44, H33)=1, SUMIFS(Dashboard!$G$19:$G$44, Dashboard!$B$19:$B$44, A33, Dashboard!$E$19:$E$44, H33)&gt;0), SUMIFS(Dashboard!$G$19:$G$44, Dashboard!$B$19:$B$44, A33, Dashboard!$E$19:$E$44, H33), "-")</f>
        <v>-</v>
      </c>
      <c r="K33" s="325" t="str">
        <f t="shared" si="0"/>
        <v>-</v>
      </c>
      <c r="L33" s="325" t="str">
        <f t="shared" si="1"/>
        <v>-</v>
      </c>
      <c r="M33" s="325" t="str">
        <f t="shared" si="2"/>
        <v>-</v>
      </c>
      <c r="N33" s="325" t="str">
        <f t="shared" si="3"/>
        <v>-</v>
      </c>
      <c r="O33" s="325" t="str">
        <f t="shared" si="4"/>
        <v>-</v>
      </c>
      <c r="P33" s="325" t="str">
        <f>IF(AND(COUNTIFS(Dashboard!$B$19:$B$44, A33, Dashboard!$E$19:$E$44, H33)=1, SUMIFS(Dashboard!$O$19:$O$44, Dashboard!$B$19:$B$44, A33, Dashboard!$E$19:$E$44, H33)&gt;0), SUMIFS(Dashboard!$O$19:$O$44, Dashboard!$B$19:$B$44, A33, Dashboard!$E$19:$E$44, H33), "-")</f>
        <v>-</v>
      </c>
      <c r="Q33" s="323" t="str">
        <f t="shared" si="5"/>
        <v>-</v>
      </c>
      <c r="R33" s="188" t="str">
        <f t="shared" si="6"/>
        <v>-</v>
      </c>
      <c r="S33" s="188" t="str">
        <f t="shared" si="7"/>
        <v>-</v>
      </c>
      <c r="T33" s="188" t="str">
        <f t="shared" si="8"/>
        <v>-</v>
      </c>
      <c r="U33" s="189" t="str">
        <f t="shared" si="9"/>
        <v>-</v>
      </c>
    </row>
    <row r="34" spans="1:21" ht="13.5" customHeight="1" x14ac:dyDescent="0.25">
      <c r="A34" s="337" t="s">
        <v>61</v>
      </c>
      <c r="B34" s="591"/>
      <c r="C34" s="584"/>
      <c r="D34" s="598"/>
      <c r="E34" s="598"/>
      <c r="F34" s="596"/>
      <c r="G34" s="593"/>
      <c r="H34" s="334" t="s">
        <v>40</v>
      </c>
      <c r="I34" s="327">
        <f>VLOOKUP(A34, 'Look-up Values'!$F$6:$J$11, 5, FALSE)</f>
        <v>100</v>
      </c>
      <c r="J34" s="325" t="str">
        <f>IF(AND(COUNTIFS(Dashboard!$B$19:$B$44, A34, Dashboard!$E$19:$E$44, H34)=1, SUMIFS(Dashboard!$G$19:$G$44, Dashboard!$B$19:$B$44, A34, Dashboard!$E$19:$E$44, H34)&gt;0), SUMIFS(Dashboard!$G$19:$G$44, Dashboard!$B$19:$B$44, A34, Dashboard!$E$19:$E$44, H34), "-")</f>
        <v>-</v>
      </c>
      <c r="K34" s="325" t="str">
        <f t="shared" si="0"/>
        <v>-</v>
      </c>
      <c r="L34" s="325" t="str">
        <f t="shared" si="1"/>
        <v>-</v>
      </c>
      <c r="M34" s="325" t="str">
        <f t="shared" si="2"/>
        <v>-</v>
      </c>
      <c r="N34" s="325" t="str">
        <f t="shared" si="3"/>
        <v>-</v>
      </c>
      <c r="O34" s="325" t="str">
        <f t="shared" si="4"/>
        <v>-</v>
      </c>
      <c r="P34" s="325" t="str">
        <f>IF(AND(COUNTIFS(Dashboard!$B$19:$B$44, A34, Dashboard!$E$19:$E$44, H34)=1, SUMIFS(Dashboard!$O$19:$O$44, Dashboard!$B$19:$B$44, A34, Dashboard!$E$19:$E$44, H34)&gt;0), SUMIFS(Dashboard!$O$19:$O$44, Dashboard!$B$19:$B$44, A34, Dashboard!$E$19:$E$44, H34), "-")</f>
        <v>-</v>
      </c>
      <c r="Q34" s="323" t="str">
        <f t="shared" si="5"/>
        <v>-</v>
      </c>
      <c r="R34" s="188" t="str">
        <f t="shared" si="6"/>
        <v>-</v>
      </c>
      <c r="S34" s="188" t="str">
        <f t="shared" si="7"/>
        <v>-</v>
      </c>
      <c r="T34" s="188" t="str">
        <f t="shared" si="8"/>
        <v>-</v>
      </c>
      <c r="U34" s="189" t="str">
        <f t="shared" si="9"/>
        <v>-</v>
      </c>
    </row>
    <row r="35" spans="1:21" x14ac:dyDescent="0.25">
      <c r="A35" s="337" t="s">
        <v>63</v>
      </c>
      <c r="B35" s="591"/>
      <c r="C35" s="584"/>
      <c r="D35" s="598"/>
      <c r="E35" s="598"/>
      <c r="F35" s="596" t="s">
        <v>190</v>
      </c>
      <c r="G35" s="593" t="s">
        <v>191</v>
      </c>
      <c r="H35" s="334" t="s">
        <v>38</v>
      </c>
      <c r="I35" s="327">
        <f>VLOOKUP(A35, 'Look-up Values'!$F$6:$J$11, 5, FALSE)</f>
        <v>100</v>
      </c>
      <c r="J35" s="325" t="str">
        <f>IF(AND(COUNTIFS(Dashboard!$B$19:$B$44, A35, Dashboard!$E$19:$E$44, H35)=1, SUMIFS(Dashboard!$G$19:$G$44, Dashboard!$B$19:$B$44, A35, Dashboard!$E$19:$E$44, H35)&gt;0), SUMIFS(Dashboard!$G$19:$G$44, Dashboard!$B$19:$B$44, A35, Dashboard!$E$19:$E$44, H35), "-")</f>
        <v>-</v>
      </c>
      <c r="K35" s="325" t="str">
        <f t="shared" si="0"/>
        <v>-</v>
      </c>
      <c r="L35" s="325" t="str">
        <f t="shared" si="1"/>
        <v>-</v>
      </c>
      <c r="M35" s="325" t="str">
        <f t="shared" si="2"/>
        <v>-</v>
      </c>
      <c r="N35" s="325" t="str">
        <f t="shared" si="3"/>
        <v>-</v>
      </c>
      <c r="O35" s="325" t="str">
        <f t="shared" si="4"/>
        <v>-</v>
      </c>
      <c r="P35" s="325" t="str">
        <f>IF(AND(COUNTIFS(Dashboard!$B$19:$B$44, A35, Dashboard!$E$19:$E$44, H35)=1, SUMIFS(Dashboard!$O$19:$O$44, Dashboard!$B$19:$B$44, A35, Dashboard!$E$19:$E$44, H35)&gt;0), SUMIFS(Dashboard!$O$19:$O$44, Dashboard!$B$19:$B$44, A35, Dashboard!$E$19:$E$44, H35), "-")</f>
        <v>-</v>
      </c>
      <c r="Q35" s="323" t="str">
        <f t="shared" si="5"/>
        <v>-</v>
      </c>
      <c r="R35" s="188" t="str">
        <f t="shared" si="6"/>
        <v>-</v>
      </c>
      <c r="S35" s="188" t="str">
        <f t="shared" si="7"/>
        <v>-</v>
      </c>
      <c r="T35" s="188" t="str">
        <f t="shared" si="8"/>
        <v>-</v>
      </c>
      <c r="U35" s="189" t="str">
        <f t="shared" si="9"/>
        <v>-</v>
      </c>
    </row>
    <row r="36" spans="1:21" x14ac:dyDescent="0.25">
      <c r="A36" s="337" t="s">
        <v>63</v>
      </c>
      <c r="B36" s="591"/>
      <c r="C36" s="584"/>
      <c r="D36" s="598"/>
      <c r="E36" s="598"/>
      <c r="F36" s="596"/>
      <c r="G36" s="593"/>
      <c r="H36" s="334" t="s">
        <v>40</v>
      </c>
      <c r="I36" s="327">
        <f>VLOOKUP(A36, 'Look-up Values'!$F$6:$J$11, 5, FALSE)</f>
        <v>100</v>
      </c>
      <c r="J36" s="325" t="str">
        <f>IF(AND(COUNTIFS(Dashboard!$B$19:$B$44, A36, Dashboard!$E$19:$E$44, H36)=1, SUMIFS(Dashboard!$G$19:$G$44, Dashboard!$B$19:$B$44, A36, Dashboard!$E$19:$E$44, H36)&gt;0), SUMIFS(Dashboard!$G$19:$G$44, Dashboard!$B$19:$B$44, A36, Dashboard!$E$19:$E$44, H36), "-")</f>
        <v>-</v>
      </c>
      <c r="K36" s="325" t="str">
        <f t="shared" si="0"/>
        <v>-</v>
      </c>
      <c r="L36" s="325" t="str">
        <f t="shared" si="1"/>
        <v>-</v>
      </c>
      <c r="M36" s="325" t="str">
        <f t="shared" si="2"/>
        <v>-</v>
      </c>
      <c r="N36" s="325" t="str">
        <f t="shared" si="3"/>
        <v>-</v>
      </c>
      <c r="O36" s="325" t="str">
        <f t="shared" si="4"/>
        <v>-</v>
      </c>
      <c r="P36" s="325" t="str">
        <f>IF(AND(COUNTIFS(Dashboard!$B$19:$B$44, A36, Dashboard!$E$19:$E$44, H36)=1, SUMIFS(Dashboard!$O$19:$O$44, Dashboard!$B$19:$B$44, A36, Dashboard!$E$19:$E$44, H36)&gt;0), SUMIFS(Dashboard!$O$19:$O$44, Dashboard!$B$19:$B$44, A36, Dashboard!$E$19:$E$44, H36), "-")</f>
        <v>-</v>
      </c>
      <c r="Q36" s="323" t="str">
        <f t="shared" si="5"/>
        <v>-</v>
      </c>
      <c r="R36" s="188" t="str">
        <f t="shared" si="6"/>
        <v>-</v>
      </c>
      <c r="S36" s="188" t="str">
        <f t="shared" si="7"/>
        <v>-</v>
      </c>
      <c r="T36" s="188" t="str">
        <f t="shared" si="8"/>
        <v>-</v>
      </c>
      <c r="U36" s="189" t="str">
        <f t="shared" si="9"/>
        <v>-</v>
      </c>
    </row>
    <row r="37" spans="1:21" x14ac:dyDescent="0.25">
      <c r="A37" s="337" t="s">
        <v>65</v>
      </c>
      <c r="B37" s="591"/>
      <c r="C37" s="584"/>
      <c r="D37" s="598"/>
      <c r="E37" s="598"/>
      <c r="F37" s="596" t="s">
        <v>184</v>
      </c>
      <c r="G37" s="606" t="s">
        <v>185</v>
      </c>
      <c r="H37" s="334" t="s">
        <v>38</v>
      </c>
      <c r="I37" s="327">
        <f>VLOOKUP(A37, 'Look-up Values'!$F$6:$J$11, 5, FALSE)</f>
        <v>100</v>
      </c>
      <c r="J37" s="325" t="str">
        <f>IF(AND(COUNTIFS(Dashboard!$B$19:$B$44, A37, Dashboard!$E$19:$E$44, H37)=1, SUMIFS(Dashboard!$G$19:$G$44, Dashboard!$B$19:$B$44, A37, Dashboard!$E$19:$E$44, H37)&gt;0), SUMIFS(Dashboard!$G$19:$G$44, Dashboard!$B$19:$B$44, A37, Dashboard!$E$19:$E$44, H37), "-")</f>
        <v>-</v>
      </c>
      <c r="K37" s="325" t="str">
        <f t="shared" si="0"/>
        <v>-</v>
      </c>
      <c r="L37" s="325" t="str">
        <f t="shared" si="1"/>
        <v>-</v>
      </c>
      <c r="M37" s="325" t="str">
        <f t="shared" si="2"/>
        <v>-</v>
      </c>
      <c r="N37" s="325" t="str">
        <f t="shared" si="3"/>
        <v>-</v>
      </c>
      <c r="O37" s="325" t="str">
        <f t="shared" si="4"/>
        <v>-</v>
      </c>
      <c r="P37" s="325" t="str">
        <f>IF(AND(COUNTIFS(Dashboard!$B$19:$B$44, A37, Dashboard!$E$19:$E$44, H37)=1, SUMIFS(Dashboard!$O$19:$O$44, Dashboard!$B$19:$B$44, A37, Dashboard!$E$19:$E$44, H37)&gt;0), SUMIFS(Dashboard!$O$19:$O$44, Dashboard!$B$19:$B$44, A37, Dashboard!$E$19:$E$44, H37), "-")</f>
        <v>-</v>
      </c>
      <c r="Q37" s="323" t="str">
        <f t="shared" si="5"/>
        <v>-</v>
      </c>
      <c r="R37" s="188" t="str">
        <f t="shared" si="6"/>
        <v>-</v>
      </c>
      <c r="S37" s="188" t="str">
        <f t="shared" si="7"/>
        <v>-</v>
      </c>
      <c r="T37" s="188" t="str">
        <f t="shared" si="8"/>
        <v>-</v>
      </c>
      <c r="U37" s="189" t="str">
        <f t="shared" si="9"/>
        <v>-</v>
      </c>
    </row>
    <row r="38" spans="1:21" x14ac:dyDescent="0.25">
      <c r="A38" s="337" t="s">
        <v>65</v>
      </c>
      <c r="B38" s="591"/>
      <c r="C38" s="584"/>
      <c r="D38" s="598"/>
      <c r="E38" s="598"/>
      <c r="F38" s="596"/>
      <c r="G38" s="607"/>
      <c r="H38" s="334" t="s">
        <v>40</v>
      </c>
      <c r="I38" s="327">
        <f>VLOOKUP(A38, 'Look-up Values'!$F$6:$J$11, 5, FALSE)</f>
        <v>100</v>
      </c>
      <c r="J38" s="325" t="str">
        <f>IF(AND(COUNTIFS(Dashboard!$B$19:$B$44, A38, Dashboard!$E$19:$E$44, H38)=1, SUMIFS(Dashboard!$G$19:$G$44, Dashboard!$B$19:$B$44, A38, Dashboard!$E$19:$E$44, H38)&gt;0), SUMIFS(Dashboard!$G$19:$G$44, Dashboard!$B$19:$B$44, A38, Dashboard!$E$19:$E$44, H38), "-")</f>
        <v>-</v>
      </c>
      <c r="K38" s="325" t="str">
        <f t="shared" si="0"/>
        <v>-</v>
      </c>
      <c r="L38" s="325" t="str">
        <f t="shared" si="1"/>
        <v>-</v>
      </c>
      <c r="M38" s="325" t="str">
        <f t="shared" si="2"/>
        <v>-</v>
      </c>
      <c r="N38" s="325" t="str">
        <f t="shared" si="3"/>
        <v>-</v>
      </c>
      <c r="O38" s="325" t="str">
        <f t="shared" si="4"/>
        <v>-</v>
      </c>
      <c r="P38" s="325" t="str">
        <f>IF(AND(COUNTIFS(Dashboard!$B$19:$B$44, A38, Dashboard!$E$19:$E$44, H38)=1, SUMIFS(Dashboard!$O$19:$O$44, Dashboard!$B$19:$B$44, A38, Dashboard!$E$19:$E$44, H38)&gt;0), SUMIFS(Dashboard!$O$19:$O$44, Dashboard!$B$19:$B$44, A38, Dashboard!$E$19:$E$44, H38), "-")</f>
        <v>-</v>
      </c>
      <c r="Q38" s="323" t="str">
        <f t="shared" si="5"/>
        <v>-</v>
      </c>
      <c r="R38" s="188" t="str">
        <f t="shared" si="6"/>
        <v>-</v>
      </c>
      <c r="S38" s="188" t="str">
        <f t="shared" si="7"/>
        <v>-</v>
      </c>
      <c r="T38" s="188" t="str">
        <f t="shared" si="8"/>
        <v>-</v>
      </c>
      <c r="U38" s="189" t="str">
        <f t="shared" si="9"/>
        <v>-</v>
      </c>
    </row>
    <row r="39" spans="1:21" x14ac:dyDescent="0.25">
      <c r="A39" s="337" t="s">
        <v>66</v>
      </c>
      <c r="B39" s="591"/>
      <c r="C39" s="584"/>
      <c r="D39" s="598"/>
      <c r="E39" s="598"/>
      <c r="F39" s="602" t="s">
        <v>186</v>
      </c>
      <c r="G39" s="607"/>
      <c r="H39" s="334" t="s">
        <v>38</v>
      </c>
      <c r="I39" s="327">
        <f>VLOOKUP(A39, 'Look-up Values'!$F$6:$J$14, 5, FALSE)</f>
        <v>100</v>
      </c>
      <c r="J39" s="325" t="str">
        <f>IF(AND(COUNTIFS(Dashboard!$B$19:$B$44, A39, Dashboard!$E$19:$E$44, H39)=1, SUMIFS(Dashboard!$G$19:$G$44, Dashboard!$B$19:$B$44, A39, Dashboard!$E$19:$E$44, H39)&gt;0), SUMIFS(Dashboard!$G$19:$G$44, Dashboard!$B$19:$B$44, A39, Dashboard!$E$19:$E$44, H39), "-")</f>
        <v>-</v>
      </c>
      <c r="K39" s="325" t="str">
        <f t="shared" si="0"/>
        <v>-</v>
      </c>
      <c r="L39" s="325" t="str">
        <f t="shared" si="1"/>
        <v>-</v>
      </c>
      <c r="M39" s="325" t="str">
        <f t="shared" si="2"/>
        <v>-</v>
      </c>
      <c r="N39" s="325" t="str">
        <f t="shared" si="3"/>
        <v>-</v>
      </c>
      <c r="O39" s="325" t="str">
        <f t="shared" si="4"/>
        <v>-</v>
      </c>
      <c r="P39" s="325" t="str">
        <f>IF(AND(COUNTIFS(Dashboard!$B$19:$B$44, A39, Dashboard!$E$19:$E$44, H39)=1, SUMIFS(Dashboard!$O$19:$O$44, Dashboard!$B$19:$B$44, A39, Dashboard!$E$19:$E$44, H39)&gt;0), SUMIFS(Dashboard!$O$19:$O$44, Dashboard!$B$19:$B$44, A39, Dashboard!$E$19:$E$44, H39), "-")</f>
        <v>-</v>
      </c>
      <c r="Q39" s="323" t="str">
        <f t="shared" si="5"/>
        <v>-</v>
      </c>
      <c r="R39" s="188" t="str">
        <f t="shared" si="6"/>
        <v>-</v>
      </c>
      <c r="S39" s="188" t="str">
        <f t="shared" si="7"/>
        <v>-</v>
      </c>
      <c r="T39" s="188" t="str">
        <f t="shared" si="8"/>
        <v>-</v>
      </c>
      <c r="U39" s="189" t="str">
        <f t="shared" si="9"/>
        <v>-</v>
      </c>
    </row>
    <row r="40" spans="1:21" x14ac:dyDescent="0.25">
      <c r="A40" s="337" t="s">
        <v>66</v>
      </c>
      <c r="B40" s="591"/>
      <c r="C40" s="584"/>
      <c r="D40" s="598"/>
      <c r="E40" s="598"/>
      <c r="F40" s="603"/>
      <c r="G40" s="608"/>
      <c r="H40" s="334" t="s">
        <v>40</v>
      </c>
      <c r="I40" s="327">
        <f>VLOOKUP(A40, 'Look-up Values'!$F$6:$J$14, 5, FALSE)</f>
        <v>100</v>
      </c>
      <c r="J40" s="325" t="str">
        <f>IF(AND(COUNTIFS(Dashboard!$B$19:$B$44, A40, Dashboard!$E$19:$E$44, H40)=1, SUMIFS(Dashboard!$G$19:$G$44, Dashboard!$B$19:$B$44, A40, Dashboard!$E$19:$E$44, H40)&gt;0), SUMIFS(Dashboard!$G$19:$G$44, Dashboard!$B$19:$B$44, A40, Dashboard!$E$19:$E$44, H40), "-")</f>
        <v>-</v>
      </c>
      <c r="K40" s="325" t="str">
        <f t="shared" si="0"/>
        <v>-</v>
      </c>
      <c r="L40" s="325" t="str">
        <f t="shared" si="1"/>
        <v>-</v>
      </c>
      <c r="M40" s="325" t="str">
        <f t="shared" si="2"/>
        <v>-</v>
      </c>
      <c r="N40" s="325" t="str">
        <f t="shared" si="3"/>
        <v>-</v>
      </c>
      <c r="O40" s="325" t="str">
        <f t="shared" si="4"/>
        <v>-</v>
      </c>
      <c r="P40" s="325" t="str">
        <f>IF(AND(COUNTIFS(Dashboard!$B$19:$B$44, A40, Dashboard!$E$19:$E$44, H40)=1, SUMIFS(Dashboard!$O$19:$O$44, Dashboard!$B$19:$B$44, A40, Dashboard!$E$19:$E$44, H40)&gt;0), SUMIFS(Dashboard!$O$19:$O$44, Dashboard!$B$19:$B$44, A40, Dashboard!$E$19:$E$44, H40), "-")</f>
        <v>-</v>
      </c>
      <c r="Q40" s="323" t="str">
        <f t="shared" si="5"/>
        <v>-</v>
      </c>
      <c r="R40" s="188" t="str">
        <f t="shared" si="6"/>
        <v>-</v>
      </c>
      <c r="S40" s="188" t="str">
        <f t="shared" si="7"/>
        <v>-</v>
      </c>
      <c r="T40" s="188" t="str">
        <f t="shared" si="8"/>
        <v>-</v>
      </c>
      <c r="U40" s="189" t="str">
        <f t="shared" si="9"/>
        <v>-</v>
      </c>
    </row>
    <row r="41" spans="1:21" x14ac:dyDescent="0.25">
      <c r="A41" s="337" t="s">
        <v>67</v>
      </c>
      <c r="B41" s="591"/>
      <c r="C41" s="584"/>
      <c r="D41" s="598"/>
      <c r="E41" s="598"/>
      <c r="F41" s="596" t="s">
        <v>192</v>
      </c>
      <c r="G41" s="593" t="s">
        <v>193</v>
      </c>
      <c r="H41" s="334" t="s">
        <v>38</v>
      </c>
      <c r="I41" s="327">
        <f>VLOOKUP(A41, 'Look-up Values'!$F$6:$J$11, 5, FALSE)</f>
        <v>100</v>
      </c>
      <c r="J41" s="325" t="str">
        <f>IF(AND(COUNTIFS(Dashboard!$B$19:$B$44, A41, Dashboard!$E$19:$E$44, H41)=1, SUMIFS(Dashboard!$G$19:$G$44, Dashboard!$B$19:$B$44, A41, Dashboard!$E$19:$E$44, H41)&gt;0), SUMIFS(Dashboard!$G$19:$G$44, Dashboard!$B$19:$B$44, A41, Dashboard!$E$19:$E$44, H41), "-")</f>
        <v>-</v>
      </c>
      <c r="K41" s="325" t="str">
        <f t="shared" si="0"/>
        <v>-</v>
      </c>
      <c r="L41" s="325" t="str">
        <f t="shared" si="1"/>
        <v>-</v>
      </c>
      <c r="M41" s="325" t="str">
        <f t="shared" si="2"/>
        <v>-</v>
      </c>
      <c r="N41" s="325" t="str">
        <f t="shared" si="3"/>
        <v>-</v>
      </c>
      <c r="O41" s="325" t="str">
        <f t="shared" si="4"/>
        <v>-</v>
      </c>
      <c r="P41" s="325" t="str">
        <f>IF(AND(COUNTIFS(Dashboard!$B$19:$B$44, A41, Dashboard!$E$19:$E$44, H41)=1, SUMIFS(Dashboard!$O$19:$O$44, Dashboard!$B$19:$B$44, A41, Dashboard!$E$19:$E$44, H41)&gt;0), SUMIFS(Dashboard!$O$19:$O$44, Dashboard!$B$19:$B$44, A41, Dashboard!$E$19:$E$44, H41), "-")</f>
        <v>-</v>
      </c>
      <c r="Q41" s="323" t="str">
        <f t="shared" si="5"/>
        <v>-</v>
      </c>
      <c r="R41" s="188" t="str">
        <f t="shared" si="6"/>
        <v>-</v>
      </c>
      <c r="S41" s="188" t="str">
        <f t="shared" si="7"/>
        <v>-</v>
      </c>
      <c r="T41" s="188" t="str">
        <f t="shared" si="8"/>
        <v>-</v>
      </c>
      <c r="U41" s="189" t="str">
        <f t="shared" si="9"/>
        <v>-</v>
      </c>
    </row>
    <row r="42" spans="1:21" x14ac:dyDescent="0.25">
      <c r="A42" s="337" t="s">
        <v>67</v>
      </c>
      <c r="B42" s="591"/>
      <c r="C42" s="584"/>
      <c r="D42" s="598"/>
      <c r="E42" s="598"/>
      <c r="F42" s="596"/>
      <c r="G42" s="593"/>
      <c r="H42" s="334" t="s">
        <v>40</v>
      </c>
      <c r="I42" s="327">
        <f>VLOOKUP(A42, 'Look-up Values'!$F$6:$J$11, 5, FALSE)</f>
        <v>100</v>
      </c>
      <c r="J42" s="325" t="str">
        <f>IF(AND(COUNTIFS(Dashboard!$B$19:$B$44, A42, Dashboard!$E$19:$E$44, H42)=1, SUMIFS(Dashboard!$G$19:$G$44, Dashboard!$B$19:$B$44, A42, Dashboard!$E$19:$E$44, H42)&gt;0), SUMIFS(Dashboard!$G$19:$G$44, Dashboard!$B$19:$B$44, A42, Dashboard!$E$19:$E$44, H42), "-")</f>
        <v>-</v>
      </c>
      <c r="K42" s="325" t="str">
        <f t="shared" si="0"/>
        <v>-</v>
      </c>
      <c r="L42" s="325" t="str">
        <f t="shared" si="1"/>
        <v>-</v>
      </c>
      <c r="M42" s="325" t="str">
        <f t="shared" si="2"/>
        <v>-</v>
      </c>
      <c r="N42" s="325" t="str">
        <f t="shared" si="3"/>
        <v>-</v>
      </c>
      <c r="O42" s="325" t="str">
        <f t="shared" si="4"/>
        <v>-</v>
      </c>
      <c r="P42" s="325" t="str">
        <f>IF(AND(COUNTIFS(Dashboard!$B$19:$B$44, A42, Dashboard!$E$19:$E$44, H42)=1, SUMIFS(Dashboard!$O$19:$O$44, Dashboard!$B$19:$B$44, A42, Dashboard!$E$19:$E$44, H42)&gt;0), SUMIFS(Dashboard!$O$19:$O$44, Dashboard!$B$19:$B$44, A42, Dashboard!$E$19:$E$44, H42), "-")</f>
        <v>-</v>
      </c>
      <c r="Q42" s="323" t="str">
        <f t="shared" si="5"/>
        <v>-</v>
      </c>
      <c r="R42" s="188" t="str">
        <f t="shared" si="6"/>
        <v>-</v>
      </c>
      <c r="S42" s="188" t="str">
        <f t="shared" si="7"/>
        <v>-</v>
      </c>
      <c r="T42" s="188" t="str">
        <f t="shared" si="8"/>
        <v>-</v>
      </c>
      <c r="U42" s="189" t="str">
        <f t="shared" si="9"/>
        <v>-</v>
      </c>
    </row>
    <row r="43" spans="1:21" x14ac:dyDescent="0.25">
      <c r="A43" s="338" t="s">
        <v>76</v>
      </c>
      <c r="B43" s="591"/>
      <c r="C43" s="584"/>
      <c r="D43" s="598"/>
      <c r="E43" s="598" t="s">
        <v>194</v>
      </c>
      <c r="F43" s="596" t="s">
        <v>195</v>
      </c>
      <c r="G43" s="593"/>
      <c r="H43" s="334" t="s">
        <v>38</v>
      </c>
      <c r="I43" s="328">
        <f>0.0001</f>
        <v>1E-4</v>
      </c>
      <c r="J43" s="325" t="str">
        <f>IF(AND(COUNTIFS(Dashboard!$B$19:$B$44, A43, Dashboard!$E$19:$E$44, H43)=1, SUMIFS(Dashboard!$G$19:$G$44, Dashboard!$B$19:$B$44, A43, Dashboard!$E$19:$E$44, H43)&gt;0), SUMIFS(Dashboard!$G$19:$G$44, Dashboard!$B$19:$B$44, A43, Dashboard!$E$19:$E$44, H43), "-")</f>
        <v>-</v>
      </c>
      <c r="K43" s="325" t="str">
        <f t="shared" si="0"/>
        <v>-</v>
      </c>
      <c r="L43" s="325" t="str">
        <f t="shared" si="1"/>
        <v>-</v>
      </c>
      <c r="M43" s="325" t="str">
        <f t="shared" si="2"/>
        <v>-</v>
      </c>
      <c r="N43" s="325" t="str">
        <f t="shared" si="3"/>
        <v>-</v>
      </c>
      <c r="O43" s="325" t="str">
        <f t="shared" si="4"/>
        <v>-</v>
      </c>
      <c r="P43" s="325" t="str">
        <f>IF(AND(COUNTIFS(Dashboard!$B$19:$B$44, A43, Dashboard!$E$19:$E$44, H43)=1, SUMIFS(Dashboard!$O$19:$O$44, Dashboard!$B$19:$B$44, A43, Dashboard!$E$19:$E$44, H43)&gt;0), SUMIFS(Dashboard!$O$19:$O$44, Dashboard!$B$19:$B$44, A43, Dashboard!$E$19:$E$44, H43), "-")</f>
        <v>-</v>
      </c>
      <c r="Q43" s="323" t="str">
        <f t="shared" si="5"/>
        <v>-</v>
      </c>
      <c r="R43" s="188" t="str">
        <f t="shared" si="6"/>
        <v>-</v>
      </c>
      <c r="S43" s="188" t="str">
        <f t="shared" si="7"/>
        <v>-</v>
      </c>
      <c r="T43" s="188" t="str">
        <f t="shared" si="8"/>
        <v>-</v>
      </c>
      <c r="U43" s="189" t="str">
        <f t="shared" si="9"/>
        <v>-</v>
      </c>
    </row>
    <row r="44" spans="1:21" ht="13.5" thickBot="1" x14ac:dyDescent="0.3">
      <c r="A44" s="339" t="s">
        <v>76</v>
      </c>
      <c r="B44" s="592"/>
      <c r="C44" s="585"/>
      <c r="D44" s="604"/>
      <c r="E44" s="604"/>
      <c r="F44" s="605"/>
      <c r="G44" s="594"/>
      <c r="H44" s="342" t="s">
        <v>40</v>
      </c>
      <c r="I44" s="329">
        <f>0.0001</f>
        <v>1E-4</v>
      </c>
      <c r="J44" s="343" t="str">
        <f>IF(AND(COUNTIFS(Dashboard!$B$19:$B$44, A44, Dashboard!$E$19:$E$44, H44)=1, SUMIFS(Dashboard!$G$19:$G$44, Dashboard!$B$19:$B$44, A44, Dashboard!$E$19:$E$44, H44)&gt;0), SUMIFS(Dashboard!$G$19:$G$44, Dashboard!$B$19:$B$44, A44, Dashboard!$E$19:$E$44, H44), "-")</f>
        <v>-</v>
      </c>
      <c r="K44" s="343" t="str">
        <f t="shared" si="0"/>
        <v>-</v>
      </c>
      <c r="L44" s="343" t="str">
        <f t="shared" si="1"/>
        <v>-</v>
      </c>
      <c r="M44" s="343" t="str">
        <f t="shared" si="2"/>
        <v>-</v>
      </c>
      <c r="N44" s="343" t="str">
        <f t="shared" si="3"/>
        <v>-</v>
      </c>
      <c r="O44" s="343" t="str">
        <f t="shared" si="4"/>
        <v>-</v>
      </c>
      <c r="P44" s="343" t="str">
        <f>IF(AND(COUNTIFS(Dashboard!$B$19:$B$44, A44, Dashboard!$E$19:$E$44, H44)=1, SUMIFS(Dashboard!$O$19:$O$44, Dashboard!$B$19:$B$44, A44, Dashboard!$E$19:$E$44, H44)&gt;0), SUMIFS(Dashboard!$O$19:$O$44, Dashboard!$B$19:$B$44, A44, Dashboard!$E$19:$E$44, H44), "-")</f>
        <v>-</v>
      </c>
      <c r="Q44" s="324" t="str">
        <f t="shared" si="5"/>
        <v>-</v>
      </c>
      <c r="R44" s="191" t="str">
        <f t="shared" si="6"/>
        <v>-</v>
      </c>
      <c r="S44" s="191" t="str">
        <f t="shared" si="7"/>
        <v>-</v>
      </c>
      <c r="T44" s="191" t="str">
        <f t="shared" si="8"/>
        <v>-</v>
      </c>
      <c r="U44" s="192" t="str">
        <f t="shared" si="9"/>
        <v>-</v>
      </c>
    </row>
    <row r="45" spans="1:21" ht="13.5" thickBot="1" x14ac:dyDescent="0.3">
      <c r="A45" s="338"/>
      <c r="B45" s="358" t="s">
        <v>197</v>
      </c>
      <c r="C45" s="353"/>
      <c r="D45" s="354"/>
      <c r="E45" s="354"/>
      <c r="F45" s="355"/>
      <c r="G45" s="356"/>
      <c r="H45" s="357"/>
      <c r="I45" s="348"/>
      <c r="J45" s="349"/>
      <c r="K45" s="349"/>
      <c r="L45" s="349"/>
      <c r="M45" s="349"/>
      <c r="N45" s="349"/>
      <c r="O45" s="349"/>
      <c r="P45" s="349"/>
      <c r="Q45" s="350"/>
      <c r="R45" s="351"/>
      <c r="S45" s="351"/>
      <c r="T45" s="351"/>
      <c r="U45" s="352"/>
    </row>
    <row r="46" spans="1:21" ht="12.75" customHeight="1" x14ac:dyDescent="0.25">
      <c r="A46" s="336" t="s">
        <v>49</v>
      </c>
      <c r="B46" s="590" t="s">
        <v>9</v>
      </c>
      <c r="C46" s="583" t="s">
        <v>80</v>
      </c>
      <c r="D46" s="616" t="s">
        <v>82</v>
      </c>
      <c r="E46" s="599" t="s">
        <v>183</v>
      </c>
      <c r="F46" s="595" t="s">
        <v>184</v>
      </c>
      <c r="G46" s="597" t="s">
        <v>185</v>
      </c>
      <c r="H46" s="340" t="s">
        <v>38</v>
      </c>
      <c r="I46" s="330">
        <f>VLOOKUP(A46, 'Look-up Values'!$F$6:$J$11, 5, FALSE)</f>
        <v>100</v>
      </c>
      <c r="J46" s="184">
        <f>IF(AND(COUNTIFS('Spray Adhesives'!$B$20:$B$44, A46, 'Spray Adhesives'!$E$20:$E$44, H46)=1, SUMIFS('Spray Adhesives'!$F$20:$F$44, 'Spray Adhesives'!$B$20:$B$44, A46, 'Spray Adhesives'!$E$20:$E$44, H46)&gt;0), SUMIFS('Spray Adhesives'!$F$20:$F$44, 'Spray Adhesives'!$B$20:$B$44, A46, 'Spray Adhesives'!$E$20:$E$44, H46), "-")</f>
        <v>0.12224938875305624</v>
      </c>
      <c r="K46" s="185">
        <f t="shared" si="0"/>
        <v>1.2224938875305624</v>
      </c>
      <c r="L46" s="185">
        <f t="shared" si="1"/>
        <v>3.0562347188264063</v>
      </c>
      <c r="M46" s="185">
        <f t="shared" si="2"/>
        <v>6.1124694376528126</v>
      </c>
      <c r="N46" s="185">
        <f t="shared" si="3"/>
        <v>122.24938875305624</v>
      </c>
      <c r="O46" s="185">
        <f t="shared" si="4"/>
        <v>1222.4938875305625</v>
      </c>
      <c r="P46" s="185">
        <f>IF(AND(COUNTIFS('Spray Adhesives'!$B$20:$B$44, A46, 'Spray Adhesives'!$E$20:$E$44, H46)=1, SUMIFS('Spray Adhesives'!$P$20:$P$44, 'Spray Adhesives'!$B$20:$B$44, A46, 'Spray Adhesives'!$E$20:$E$44, H46)&gt;0), SUMIFS('Spray Adhesives'!$P$20:$P$44, 'Spray Adhesives'!$B$20:$B$44, A46, 'Spray Adhesives'!$E$20:$E$44, H46), "-")</f>
        <v>0.7398568019093088</v>
      </c>
      <c r="Q46" s="185">
        <f t="shared" si="5"/>
        <v>7.398568019093088</v>
      </c>
      <c r="R46" s="185">
        <f t="shared" si="6"/>
        <v>18.49642004773272</v>
      </c>
      <c r="S46" s="185">
        <f t="shared" si="7"/>
        <v>36.992840095465439</v>
      </c>
      <c r="T46" s="185">
        <f t="shared" si="8"/>
        <v>739.85680190930884</v>
      </c>
      <c r="U46" s="186">
        <f t="shared" si="9"/>
        <v>7398.568019093088</v>
      </c>
    </row>
    <row r="47" spans="1:21" ht="15" customHeight="1" x14ac:dyDescent="0.25">
      <c r="A47" s="337" t="s">
        <v>49</v>
      </c>
      <c r="B47" s="591"/>
      <c r="C47" s="584"/>
      <c r="D47" s="617"/>
      <c r="E47" s="600"/>
      <c r="F47" s="596"/>
      <c r="G47" s="593"/>
      <c r="H47" s="334" t="s">
        <v>40</v>
      </c>
      <c r="I47" s="331">
        <f>VLOOKUP(A47, 'Look-up Values'!$F$6:$J$11, 5, FALSE)</f>
        <v>100</v>
      </c>
      <c r="J47" s="187">
        <f>IF(AND(COUNTIFS('Spray Adhesives'!$B$20:$B$44, A47, 'Spray Adhesives'!$E$20:$E$44, H47)=1, SUMIFS('Spray Adhesives'!$F$20:$F$44, 'Spray Adhesives'!$B$20:$B$44, A47, 'Spray Adhesives'!$E$20:$E$44, H47)&gt;0), SUMIFS('Spray Adhesives'!$F$20:$F$44, 'Spray Adhesives'!$B$20:$B$44, A47, 'Spray Adhesives'!$E$20:$E$44, H47), "-")</f>
        <v>0.23343373493975902</v>
      </c>
      <c r="K47" s="188">
        <f t="shared" si="0"/>
        <v>2.3343373493975901</v>
      </c>
      <c r="L47" s="188">
        <f t="shared" si="1"/>
        <v>5.8358433734939759</v>
      </c>
      <c r="M47" s="188">
        <f t="shared" si="2"/>
        <v>11.671686746987952</v>
      </c>
      <c r="N47" s="188">
        <f t="shared" si="3"/>
        <v>233.43373493975903</v>
      </c>
      <c r="O47" s="188">
        <f t="shared" si="4"/>
        <v>2334.3373493975901</v>
      </c>
      <c r="P47" s="194">
        <f>IF(AND(COUNTIFS('Spray Adhesives'!$B$20:$B$44, A47, 'Spray Adhesives'!$E$20:$E$44, H47)=1, SUMIFS('Spray Adhesives'!$P$20:$P$44, 'Spray Adhesives'!$B$20:$B$44, A47, 'Spray Adhesives'!$E$20:$E$44, H47)&gt;0), SUMIFS('Spray Adhesives'!$P$20:$P$44, 'Spray Adhesives'!$B$20:$B$44, A47, 'Spray Adhesives'!$E$20:$E$44, H47), "-")</f>
        <v>1.7405951712521057</v>
      </c>
      <c r="Q47" s="188">
        <f t="shared" si="5"/>
        <v>17.405951712521059</v>
      </c>
      <c r="R47" s="188">
        <f t="shared" si="6"/>
        <v>43.51487928130264</v>
      </c>
      <c r="S47" s="188">
        <f t="shared" si="7"/>
        <v>87.029758562605281</v>
      </c>
      <c r="T47" s="188">
        <f t="shared" si="8"/>
        <v>1740.5951712521057</v>
      </c>
      <c r="U47" s="189">
        <f t="shared" si="9"/>
        <v>17405.951712521059</v>
      </c>
    </row>
    <row r="48" spans="1:21" ht="15" customHeight="1" x14ac:dyDescent="0.25">
      <c r="A48" s="337" t="s">
        <v>51</v>
      </c>
      <c r="B48" s="591"/>
      <c r="C48" s="584"/>
      <c r="D48" s="617"/>
      <c r="E48" s="600"/>
      <c r="F48" s="602" t="s">
        <v>186</v>
      </c>
      <c r="G48" s="593"/>
      <c r="H48" s="334" t="s">
        <v>38</v>
      </c>
      <c r="I48" s="327">
        <f>VLOOKUP(A48, 'Look-up Values'!$F$6:$J$14, 5, FALSE)</f>
        <v>100</v>
      </c>
      <c r="J48" s="187">
        <f>IF(AND(COUNTIFS('Spray Adhesives'!$B$20:$B$44, A48, 'Spray Adhesives'!$E$20:$E$44, H48)=1, SUMIFS('Spray Adhesives'!$F$20:$F$44, 'Spray Adhesives'!$B$20:$B$44, A48, 'Spray Adhesives'!$E$20:$E$44, H48)&gt;0), SUMIFS('Spray Adhesives'!$F$20:$F$44, 'Spray Adhesives'!$B$20:$B$44, A48, 'Spray Adhesives'!$E$20:$E$44, H48), "-")</f>
        <v>6.7039987380708266E-2</v>
      </c>
      <c r="K48" s="188">
        <f t="shared" si="0"/>
        <v>0.67039987380708266</v>
      </c>
      <c r="L48" s="188">
        <f t="shared" si="1"/>
        <v>1.6759996845177065</v>
      </c>
      <c r="M48" s="188">
        <f t="shared" si="2"/>
        <v>3.3519993690354131</v>
      </c>
      <c r="N48" s="188">
        <f t="shared" si="3"/>
        <v>67.039987380708268</v>
      </c>
      <c r="O48" s="188">
        <f t="shared" si="4"/>
        <v>670.39987380708271</v>
      </c>
      <c r="P48" s="194">
        <f>IF(AND(COUNTIFS('Spray Adhesives'!$B$20:$B$44, A48, 'Spray Adhesives'!$E$20:$E$44, H48)=1, SUMIFS('Spray Adhesives'!$P$20:$P$44, 'Spray Adhesives'!$B$20:$B$44, A48, 'Spray Adhesives'!$E$20:$E$44, H48)&gt;0), SUMIFS('Spray Adhesives'!$P$20:$P$44, 'Spray Adhesives'!$B$20:$B$44, A48, 'Spray Adhesives'!$E$20:$E$44, H48), "-")</f>
        <v>0.40572792362768545</v>
      </c>
      <c r="Q48" s="188">
        <f t="shared" si="5"/>
        <v>4.0572792362768544</v>
      </c>
      <c r="R48" s="188">
        <f t="shared" si="6"/>
        <v>10.143198090692136</v>
      </c>
      <c r="S48" s="188">
        <f t="shared" si="7"/>
        <v>20.286396181384273</v>
      </c>
      <c r="T48" s="188">
        <f t="shared" si="8"/>
        <v>405.72792362768547</v>
      </c>
      <c r="U48" s="189">
        <f t="shared" si="9"/>
        <v>4057.2792362768546</v>
      </c>
    </row>
    <row r="49" spans="1:21" ht="15" customHeight="1" x14ac:dyDescent="0.25">
      <c r="A49" s="337" t="s">
        <v>51</v>
      </c>
      <c r="B49" s="591"/>
      <c r="C49" s="584"/>
      <c r="D49" s="617"/>
      <c r="E49" s="601"/>
      <c r="F49" s="603"/>
      <c r="G49" s="593"/>
      <c r="H49" s="334" t="s">
        <v>40</v>
      </c>
      <c r="I49" s="327">
        <f>VLOOKUP(A49, 'Look-up Values'!$F$6:$J$14, 5, FALSE)</f>
        <v>100</v>
      </c>
      <c r="J49" s="187">
        <f>IF(AND(COUNTIFS('Spray Adhesives'!$B$20:$B$44, A49, 'Spray Adhesives'!$E$20:$E$44, H49)=1, SUMIFS('Spray Adhesives'!$F$20:$F$44, 'Spray Adhesives'!$B$20:$B$44, A49, 'Spray Adhesives'!$E$20:$E$44, H49)&gt;0), SUMIFS('Spray Adhesives'!$F$20:$F$44, 'Spray Adhesives'!$B$20:$B$44, A49, 'Spray Adhesives'!$E$20:$E$44, H49), "-")</f>
        <v>0.12801204819277107</v>
      </c>
      <c r="K49" s="188">
        <f t="shared" si="0"/>
        <v>1.2801204819277108</v>
      </c>
      <c r="L49" s="188">
        <f t="shared" si="1"/>
        <v>3.2003012048192767</v>
      </c>
      <c r="M49" s="188">
        <f t="shared" si="2"/>
        <v>6.4006024096385534</v>
      </c>
      <c r="N49" s="188">
        <f t="shared" si="3"/>
        <v>128.01204819277106</v>
      </c>
      <c r="O49" s="188">
        <f t="shared" si="4"/>
        <v>1280.1204819277107</v>
      </c>
      <c r="P49" s="194">
        <f>IF(AND(COUNTIFS('Spray Adhesives'!$B$20:$B$44, A49, 'Spray Adhesives'!$E$20:$E$44, H49)=1, SUMIFS('Spray Adhesives'!$P$20:$P$44, 'Spray Adhesives'!$B$20:$B$44, A49, 'Spray Adhesives'!$E$20:$E$44, H49)&gt;0), SUMIFS('Spray Adhesives'!$P$20:$P$44, 'Spray Adhesives'!$B$20:$B$44, A49, 'Spray Adhesives'!$E$20:$E$44, H49), "-")</f>
        <v>0.95451993262212242</v>
      </c>
      <c r="Q49" s="188">
        <f t="shared" si="5"/>
        <v>9.5451993262212245</v>
      </c>
      <c r="R49" s="188">
        <f t="shared" si="6"/>
        <v>23.86299831555306</v>
      </c>
      <c r="S49" s="188">
        <f t="shared" si="7"/>
        <v>47.725996631106121</v>
      </c>
      <c r="T49" s="188">
        <f t="shared" si="8"/>
        <v>954.51993262212238</v>
      </c>
      <c r="U49" s="189">
        <f t="shared" si="9"/>
        <v>9545.1993262212236</v>
      </c>
    </row>
    <row r="50" spans="1:21" x14ac:dyDescent="0.25">
      <c r="A50" s="337" t="s">
        <v>59</v>
      </c>
      <c r="B50" s="591"/>
      <c r="C50" s="584"/>
      <c r="D50" s="617"/>
      <c r="E50" s="598" t="s">
        <v>187</v>
      </c>
      <c r="F50" s="596" t="s">
        <v>188</v>
      </c>
      <c r="G50" s="593"/>
      <c r="H50" s="334" t="s">
        <v>38</v>
      </c>
      <c r="I50" s="331">
        <f>VLOOKUP(A50, 'Look-up Values'!$F$6:$J$11, 5, FALSE)</f>
        <v>100</v>
      </c>
      <c r="J50" s="187">
        <f>IF(AND(COUNTIFS('Spray Adhesives'!$B$20:$B$44, A50, 'Spray Adhesives'!$E$20:$E$44, H50)=1, SUMIFS('Spray Adhesives'!$F$20:$F$44, 'Spray Adhesives'!$B$20:$B$44, A50, 'Spray Adhesives'!$E$20:$E$44, H50)&gt;0), SUMIFS('Spray Adhesives'!$F$20:$F$44, 'Spray Adhesives'!$B$20:$B$44, A50, 'Spray Adhesives'!$E$20:$E$44, H50), "-")</f>
        <v>0.59152930041801399</v>
      </c>
      <c r="K50" s="188">
        <f t="shared" si="0"/>
        <v>5.9152930041801399</v>
      </c>
      <c r="L50" s="188">
        <f t="shared" si="1"/>
        <v>14.788232510450349</v>
      </c>
      <c r="M50" s="188">
        <f t="shared" si="2"/>
        <v>29.576465020900699</v>
      </c>
      <c r="N50" s="188">
        <f t="shared" si="3"/>
        <v>591.52930041801403</v>
      </c>
      <c r="O50" s="188">
        <f t="shared" si="4"/>
        <v>5915.2930041801401</v>
      </c>
      <c r="P50" s="194">
        <f>IF(AND(COUNTIFS('Spray Adhesives'!$B$20:$B$44, A50, 'Spray Adhesives'!$E$20:$E$44, H50)=1, SUMIFS('Spray Adhesives'!$P$20:$P$44, 'Spray Adhesives'!$B$20:$B$44, A50, 'Spray Adhesives'!$E$20:$E$44, H50)&gt;0), SUMIFS('Spray Adhesives'!$P$20:$P$44, 'Spray Adhesives'!$B$20:$B$44, A50, 'Spray Adhesives'!$E$20:$E$44, H50), "-")</f>
        <v>3.5799522673031068</v>
      </c>
      <c r="Q50" s="188">
        <f t="shared" si="5"/>
        <v>35.79952267303107</v>
      </c>
      <c r="R50" s="188">
        <f t="shared" si="6"/>
        <v>89.498806682577666</v>
      </c>
      <c r="S50" s="188">
        <f t="shared" si="7"/>
        <v>178.99761336515533</v>
      </c>
      <c r="T50" s="188">
        <f t="shared" si="8"/>
        <v>3579.952267303107</v>
      </c>
      <c r="U50" s="189">
        <f t="shared" si="9"/>
        <v>35799.522673031068</v>
      </c>
    </row>
    <row r="51" spans="1:21" x14ac:dyDescent="0.25">
      <c r="A51" s="337" t="s">
        <v>59</v>
      </c>
      <c r="B51" s="591"/>
      <c r="C51" s="584"/>
      <c r="D51" s="617"/>
      <c r="E51" s="598"/>
      <c r="F51" s="596"/>
      <c r="G51" s="593"/>
      <c r="H51" s="334" t="s">
        <v>40</v>
      </c>
      <c r="I51" s="331">
        <f>VLOOKUP(A51, 'Look-up Values'!$F$6:$J$11, 5, FALSE)</f>
        <v>100</v>
      </c>
      <c r="J51" s="187">
        <f>IF(AND(COUNTIFS('Spray Adhesives'!$B$20:$B$44, A51, 'Spray Adhesives'!$E$20:$E$44, H51)=1, SUMIFS('Spray Adhesives'!$F$20:$F$44, 'Spray Adhesives'!$B$20:$B$44, A51, 'Spray Adhesives'!$E$20:$E$44, H51)&gt;0), SUMIFS('Spray Adhesives'!$F$20:$F$44, 'Spray Adhesives'!$B$20:$B$44, A51, 'Spray Adhesives'!$E$20:$E$44, H51), "-")</f>
        <v>1.1295180722891565</v>
      </c>
      <c r="K51" s="188">
        <f t="shared" si="0"/>
        <v>11.295180722891565</v>
      </c>
      <c r="L51" s="188">
        <f t="shared" si="1"/>
        <v>28.23795180722891</v>
      </c>
      <c r="M51" s="188">
        <f t="shared" si="2"/>
        <v>56.47590361445782</v>
      </c>
      <c r="N51" s="188">
        <f t="shared" si="3"/>
        <v>1129.5180722891564</v>
      </c>
      <c r="O51" s="188">
        <f t="shared" si="4"/>
        <v>11295.180722891564</v>
      </c>
      <c r="P51" s="194">
        <f>IF(AND(COUNTIFS('Spray Adhesives'!$B$20:$B$44, A51, 'Spray Adhesives'!$E$20:$E$44, H51)=1, SUMIFS('Spray Adhesives'!$P$20:$P$44, 'Spray Adhesives'!$B$20:$B$44, A51, 'Spray Adhesives'!$E$20:$E$44, H51)&gt;0), SUMIFS('Spray Adhesives'!$P$20:$P$44, 'Spray Adhesives'!$B$20:$B$44, A51, 'Spray Adhesives'!$E$20:$E$44, H51), "-")</f>
        <v>8.4222346996069621</v>
      </c>
      <c r="Q51" s="188">
        <f t="shared" si="5"/>
        <v>84.222346996069618</v>
      </c>
      <c r="R51" s="188">
        <f t="shared" si="6"/>
        <v>210.55586749017405</v>
      </c>
      <c r="S51" s="188">
        <f t="shared" si="7"/>
        <v>421.1117349803481</v>
      </c>
      <c r="T51" s="188">
        <f t="shared" si="8"/>
        <v>8422.2346996069627</v>
      </c>
      <c r="U51" s="189">
        <f t="shared" si="9"/>
        <v>84222.346996069624</v>
      </c>
    </row>
    <row r="52" spans="1:21" x14ac:dyDescent="0.25">
      <c r="A52" s="337" t="s">
        <v>61</v>
      </c>
      <c r="B52" s="591"/>
      <c r="C52" s="584"/>
      <c r="D52" s="617"/>
      <c r="E52" s="598"/>
      <c r="F52" s="596" t="s">
        <v>189</v>
      </c>
      <c r="G52" s="593"/>
      <c r="H52" s="334" t="s">
        <v>38</v>
      </c>
      <c r="I52" s="331">
        <f>VLOOKUP(A52, 'Look-up Values'!$F$6:$J$11, 5, FALSE)</f>
        <v>100</v>
      </c>
      <c r="J52" s="187">
        <f>IF(AND(COUNTIFS('Spray Adhesives'!$B$20:$B$44, A52, 'Spray Adhesives'!$E$20:$E$44, H52)=1, SUMIFS('Spray Adhesives'!$F$20:$F$44, 'Spray Adhesives'!$B$20:$B$44, A52, 'Spray Adhesives'!$E$20:$E$44, H52)&gt;0), SUMIFS('Spray Adhesives'!$F$20:$F$44, 'Spray Adhesives'!$B$20:$B$44, A52, 'Spray Adhesives'!$E$20:$E$44, H52), "-")</f>
        <v>0.70983516050161677</v>
      </c>
      <c r="K52" s="188">
        <f t="shared" si="0"/>
        <v>7.0983516050161679</v>
      </c>
      <c r="L52" s="188">
        <f t="shared" si="1"/>
        <v>17.745879012540421</v>
      </c>
      <c r="M52" s="188">
        <f t="shared" si="2"/>
        <v>35.491758025080841</v>
      </c>
      <c r="N52" s="188">
        <f t="shared" si="3"/>
        <v>709.83516050161677</v>
      </c>
      <c r="O52" s="188">
        <f t="shared" si="4"/>
        <v>7098.3516050161679</v>
      </c>
      <c r="P52" s="194">
        <f>IF(AND(COUNTIFS('Spray Adhesives'!$B$20:$B$44, A52, 'Spray Adhesives'!$E$20:$E$44, H52)=1, SUMIFS('Spray Adhesives'!$P$20:$P$44, 'Spray Adhesives'!$B$20:$B$44, A52, 'Spray Adhesives'!$E$20:$E$44, H52)&gt;0), SUMIFS('Spray Adhesives'!$P$20:$P$44, 'Spray Adhesives'!$B$20:$B$44, A52, 'Spray Adhesives'!$E$20:$E$44, H52), "-")</f>
        <v>4.295942720763728</v>
      </c>
      <c r="Q52" s="188">
        <f t="shared" si="5"/>
        <v>42.959427207637276</v>
      </c>
      <c r="R52" s="188">
        <f t="shared" si="6"/>
        <v>107.3985680190932</v>
      </c>
      <c r="S52" s="188">
        <f t="shared" si="7"/>
        <v>214.79713603818641</v>
      </c>
      <c r="T52" s="188">
        <f t="shared" si="8"/>
        <v>4295.9427207637282</v>
      </c>
      <c r="U52" s="189">
        <f t="shared" si="9"/>
        <v>42959.42720763728</v>
      </c>
    </row>
    <row r="53" spans="1:21" x14ac:dyDescent="0.25">
      <c r="A53" s="337" t="s">
        <v>61</v>
      </c>
      <c r="B53" s="591"/>
      <c r="C53" s="584"/>
      <c r="D53" s="617"/>
      <c r="E53" s="598"/>
      <c r="F53" s="596"/>
      <c r="G53" s="593"/>
      <c r="H53" s="334" t="s">
        <v>40</v>
      </c>
      <c r="I53" s="331">
        <f>VLOOKUP(A53, 'Look-up Values'!$F$6:$J$11, 5, FALSE)</f>
        <v>100</v>
      </c>
      <c r="J53" s="187">
        <f>IF(AND(COUNTIFS('Spray Adhesives'!$B$20:$B$44, A53, 'Spray Adhesives'!$E$20:$E$44, H53)=1, SUMIFS('Spray Adhesives'!$F$20:$F$44, 'Spray Adhesives'!$B$20:$B$44, A53, 'Spray Adhesives'!$E$20:$E$44, H53)&gt;0), SUMIFS('Spray Adhesives'!$F$20:$F$44, 'Spray Adhesives'!$B$20:$B$44, A53, 'Spray Adhesives'!$E$20:$E$44, H53), "-")</f>
        <v>1.3554216867469879</v>
      </c>
      <c r="K53" s="188">
        <f t="shared" si="0"/>
        <v>13.554216867469879</v>
      </c>
      <c r="L53" s="188">
        <f t="shared" si="1"/>
        <v>33.885542168674696</v>
      </c>
      <c r="M53" s="188">
        <f t="shared" si="2"/>
        <v>67.771084337349393</v>
      </c>
      <c r="N53" s="188">
        <f t="shared" si="3"/>
        <v>1355.4216867469879</v>
      </c>
      <c r="O53" s="188">
        <f t="shared" si="4"/>
        <v>13554.216867469879</v>
      </c>
      <c r="P53" s="194">
        <f>IF(AND(COUNTIFS('Spray Adhesives'!$B$20:$B$44, A53, 'Spray Adhesives'!$E$20:$E$44, H53)=1, SUMIFS('Spray Adhesives'!$P$20:$P$44, 'Spray Adhesives'!$B$20:$B$44, A53, 'Spray Adhesives'!$E$20:$E$44, H53)&gt;0), SUMIFS('Spray Adhesives'!$P$20:$P$44, 'Spray Adhesives'!$B$20:$B$44, A53, 'Spray Adhesives'!$E$20:$E$44, H53), "-")</f>
        <v>10.106681639528356</v>
      </c>
      <c r="Q53" s="188">
        <f t="shared" si="5"/>
        <v>101.06681639528355</v>
      </c>
      <c r="R53" s="188">
        <f t="shared" si="6"/>
        <v>252.6670409882089</v>
      </c>
      <c r="S53" s="188">
        <f t="shared" si="7"/>
        <v>505.33408197641779</v>
      </c>
      <c r="T53" s="188">
        <f t="shared" si="8"/>
        <v>10106.681639528355</v>
      </c>
      <c r="U53" s="189">
        <f t="shared" si="9"/>
        <v>101066.81639528356</v>
      </c>
    </row>
    <row r="54" spans="1:21" x14ac:dyDescent="0.25">
      <c r="A54" s="337" t="s">
        <v>63</v>
      </c>
      <c r="B54" s="591"/>
      <c r="C54" s="584"/>
      <c r="D54" s="617"/>
      <c r="E54" s="598"/>
      <c r="F54" s="596" t="s">
        <v>190</v>
      </c>
      <c r="G54" s="593" t="s">
        <v>191</v>
      </c>
      <c r="H54" s="334" t="s">
        <v>38</v>
      </c>
      <c r="I54" s="331">
        <f>VLOOKUP(A54, 'Look-up Values'!$F$6:$J$11, 5, FALSE)</f>
        <v>100</v>
      </c>
      <c r="J54" s="187">
        <f>IF(AND(COUNTIFS('Spray Adhesives'!$B$20:$B$44, A54, 'Spray Adhesives'!$E$20:$E$44, H54)=1, SUMIFS('Spray Adhesives'!$F$20:$F$44, 'Spray Adhesives'!$B$20:$B$44, A54, 'Spray Adhesives'!$E$20:$E$44, H54)&gt;0), SUMIFS('Spray Adhesives'!$F$20:$F$44, 'Spray Adhesives'!$B$20:$B$44, A54, 'Spray Adhesives'!$E$20:$E$44, H54), "-")</f>
        <v>0.20900701948103162</v>
      </c>
      <c r="K54" s="188">
        <f t="shared" si="0"/>
        <v>2.0900701948103162</v>
      </c>
      <c r="L54" s="188">
        <f t="shared" si="1"/>
        <v>5.2251754870257905</v>
      </c>
      <c r="M54" s="188">
        <f t="shared" si="2"/>
        <v>10.450350974051581</v>
      </c>
      <c r="N54" s="188">
        <f t="shared" si="3"/>
        <v>209.00701948103162</v>
      </c>
      <c r="O54" s="188">
        <f t="shared" si="4"/>
        <v>2090.070194810316</v>
      </c>
      <c r="P54" s="194">
        <f>IF(AND(COUNTIFS('Spray Adhesives'!$B$20:$B$44, A54, 'Spray Adhesives'!$E$20:$E$44, H54)=1, SUMIFS('Spray Adhesives'!$P$20:$P$44, 'Spray Adhesives'!$B$20:$B$44, A54, 'Spray Adhesives'!$E$20:$E$44, H54)&gt;0), SUMIFS('Spray Adhesives'!$P$20:$P$44, 'Spray Adhesives'!$B$20:$B$44, A54, 'Spray Adhesives'!$E$20:$E$44, H54), "-")</f>
        <v>1.2649164677804312</v>
      </c>
      <c r="Q54" s="188">
        <f t="shared" si="5"/>
        <v>12.649164677804311</v>
      </c>
      <c r="R54" s="188">
        <f t="shared" si="6"/>
        <v>31.62291169451078</v>
      </c>
      <c r="S54" s="188">
        <f t="shared" si="7"/>
        <v>63.24582338902156</v>
      </c>
      <c r="T54" s="188">
        <f t="shared" si="8"/>
        <v>1264.9164677804313</v>
      </c>
      <c r="U54" s="189">
        <f t="shared" si="9"/>
        <v>12649.164677804312</v>
      </c>
    </row>
    <row r="55" spans="1:21" x14ac:dyDescent="0.25">
      <c r="A55" s="337" t="s">
        <v>63</v>
      </c>
      <c r="B55" s="591"/>
      <c r="C55" s="584"/>
      <c r="D55" s="617"/>
      <c r="E55" s="598"/>
      <c r="F55" s="596"/>
      <c r="G55" s="593"/>
      <c r="H55" s="334" t="s">
        <v>40</v>
      </c>
      <c r="I55" s="331">
        <f>VLOOKUP(A55, 'Look-up Values'!$F$6:$J$11, 5, FALSE)</f>
        <v>100</v>
      </c>
      <c r="J55" s="187">
        <f>IF(AND(COUNTIFS('Spray Adhesives'!$B$20:$B$44, A55, 'Spray Adhesives'!$E$20:$E$44, H55)=1, SUMIFS('Spray Adhesives'!$F$20:$F$44, 'Spray Adhesives'!$B$20:$B$44, A55, 'Spray Adhesives'!$E$20:$E$44, H55)&gt;0), SUMIFS('Spray Adhesives'!$F$20:$F$44, 'Spray Adhesives'!$B$20:$B$44, A55, 'Spray Adhesives'!$E$20:$E$44, H55), "-")</f>
        <v>0.39909638554216864</v>
      </c>
      <c r="K55" s="188">
        <f t="shared" si="0"/>
        <v>3.9909638554216862</v>
      </c>
      <c r="L55" s="188">
        <f t="shared" si="1"/>
        <v>9.9774096385542155</v>
      </c>
      <c r="M55" s="188">
        <f t="shared" si="2"/>
        <v>19.954819277108431</v>
      </c>
      <c r="N55" s="188">
        <f t="shared" si="3"/>
        <v>399.09638554216866</v>
      </c>
      <c r="O55" s="188">
        <f t="shared" si="4"/>
        <v>3990.9638554216863</v>
      </c>
      <c r="P55" s="194">
        <f>IF(AND(COUNTIFS('Spray Adhesives'!$B$20:$B$44, A55, 'Spray Adhesives'!$E$20:$E$44, H55)=1, SUMIFS('Spray Adhesives'!$P$20:$P$44, 'Spray Adhesives'!$B$20:$B$44, A55, 'Spray Adhesives'!$E$20:$E$44, H55)&gt;0), SUMIFS('Spray Adhesives'!$P$20:$P$44, 'Spray Adhesives'!$B$20:$B$44, A55, 'Spray Adhesives'!$E$20:$E$44, H55), "-")</f>
        <v>2.9758562605277934</v>
      </c>
      <c r="Q55" s="188">
        <f t="shared" si="5"/>
        <v>29.758562605277934</v>
      </c>
      <c r="R55" s="188">
        <f t="shared" si="6"/>
        <v>74.396406513194833</v>
      </c>
      <c r="S55" s="188">
        <f t="shared" si="7"/>
        <v>148.79281302638967</v>
      </c>
      <c r="T55" s="188">
        <f t="shared" si="8"/>
        <v>2975.8562605277934</v>
      </c>
      <c r="U55" s="189">
        <f t="shared" si="9"/>
        <v>29758.562605277933</v>
      </c>
    </row>
    <row r="56" spans="1:21" x14ac:dyDescent="0.25">
      <c r="A56" s="337" t="s">
        <v>65</v>
      </c>
      <c r="B56" s="591"/>
      <c r="C56" s="584"/>
      <c r="D56" s="617"/>
      <c r="E56" s="598"/>
      <c r="F56" s="596" t="s">
        <v>184</v>
      </c>
      <c r="G56" s="606" t="s">
        <v>185</v>
      </c>
      <c r="H56" s="334" t="s">
        <v>38</v>
      </c>
      <c r="I56" s="331">
        <f>VLOOKUP(A56, 'Look-up Values'!$F$6:$J$11, 5, FALSE)</f>
        <v>100</v>
      </c>
      <c r="J56" s="187">
        <f>IF(AND(COUNTIFS('Spray Adhesives'!$B$20:$B$44, A56, 'Spray Adhesives'!$E$20:$E$44, H56)=1, SUMIFS('Spray Adhesives'!$F$20:$F$44, 'Spray Adhesives'!$B$20:$B$44, A56, 'Spray Adhesives'!$E$20:$E$44, H56)&gt;0), SUMIFS('Spray Adhesives'!$F$20:$F$44, 'Spray Adhesives'!$B$20:$B$44, A56, 'Spray Adhesives'!$E$20:$E$44, H56), "-")</f>
        <v>0.17161933421102127</v>
      </c>
      <c r="K56" s="188">
        <f t="shared" si="0"/>
        <v>1.7161933421102127</v>
      </c>
      <c r="L56" s="188">
        <f t="shared" si="1"/>
        <v>4.2904833552755317</v>
      </c>
      <c r="M56" s="188">
        <f t="shared" si="2"/>
        <v>8.5809667105510634</v>
      </c>
      <c r="N56" s="188">
        <f t="shared" si="3"/>
        <v>171.61933421102128</v>
      </c>
      <c r="O56" s="188">
        <f t="shared" si="4"/>
        <v>1716.1933421102126</v>
      </c>
      <c r="P56" s="194">
        <f>IF(AND(COUNTIFS('Spray Adhesives'!$B$20:$B$44, A56, 'Spray Adhesives'!$E$20:$E$44, H56)=1, SUMIFS('Spray Adhesives'!$P$20:$P$44, 'Spray Adhesives'!$B$20:$B$44, A56, 'Spray Adhesives'!$E$20:$E$44, H56)&gt;0), SUMIFS('Spray Adhesives'!$P$20:$P$44, 'Spray Adhesives'!$B$20:$B$44, A56, 'Spray Adhesives'!$E$20:$E$44, H56), "-")</f>
        <v>1.0386451257572988</v>
      </c>
      <c r="Q56" s="188">
        <f t="shared" si="5"/>
        <v>10.386451257572988</v>
      </c>
      <c r="R56" s="188">
        <f t="shared" si="6"/>
        <v>25.966128143932472</v>
      </c>
      <c r="S56" s="188">
        <f t="shared" si="7"/>
        <v>51.932256287864945</v>
      </c>
      <c r="T56" s="188">
        <f t="shared" si="8"/>
        <v>1038.6451257572987</v>
      </c>
      <c r="U56" s="189">
        <f t="shared" si="9"/>
        <v>10386.451257572988</v>
      </c>
    </row>
    <row r="57" spans="1:21" x14ac:dyDescent="0.25">
      <c r="A57" s="337" t="s">
        <v>65</v>
      </c>
      <c r="B57" s="591"/>
      <c r="C57" s="584"/>
      <c r="D57" s="617"/>
      <c r="E57" s="598"/>
      <c r="F57" s="596"/>
      <c r="G57" s="607"/>
      <c r="H57" s="334" t="s">
        <v>40</v>
      </c>
      <c r="I57" s="331">
        <f>VLOOKUP(A57, 'Look-up Values'!$F$6:$J$11, 5, FALSE)</f>
        <v>100</v>
      </c>
      <c r="J57" s="187">
        <f>IF(AND(COUNTIFS('Spray Adhesives'!$B$20:$B$44, A57, 'Spray Adhesives'!$E$20:$E$44, H57)=1, SUMIFS('Spray Adhesives'!$F$20:$F$44, 'Spray Adhesives'!$B$20:$B$44, A57, 'Spray Adhesives'!$E$20:$E$44, H57)&gt;0), SUMIFS('Spray Adhesives'!$F$20:$F$44, 'Spray Adhesives'!$B$20:$B$44, A57, 'Spray Adhesives'!$E$20:$E$44, H57), "-")</f>
        <v>0.32770505097312325</v>
      </c>
      <c r="K57" s="188">
        <f t="shared" si="0"/>
        <v>3.2770505097312324</v>
      </c>
      <c r="L57" s="188">
        <f t="shared" si="1"/>
        <v>8.1926262743280809</v>
      </c>
      <c r="M57" s="188">
        <f t="shared" si="2"/>
        <v>16.385252548656162</v>
      </c>
      <c r="N57" s="188">
        <f t="shared" si="3"/>
        <v>327.70505097312326</v>
      </c>
      <c r="O57" s="188">
        <f t="shared" si="4"/>
        <v>3277.0505097312325</v>
      </c>
      <c r="P57" s="194">
        <f>IF(AND(COUNTIFS('Spray Adhesives'!$B$20:$B$44, A57, 'Spray Adhesives'!$E$20:$E$44, H57)=1, SUMIFS('Spray Adhesives'!$P$20:$P$44, 'Spray Adhesives'!$B$20:$B$44, A57, 'Spray Adhesives'!$E$20:$E$44, H57)&gt;0), SUMIFS('Spray Adhesives'!$P$20:$P$44, 'Spray Adhesives'!$B$20:$B$44, A57, 'Spray Adhesives'!$E$20:$E$44, H57), "-")</f>
        <v>2.4435278365654565</v>
      </c>
      <c r="Q57" s="188">
        <f t="shared" si="5"/>
        <v>24.435278365654565</v>
      </c>
      <c r="R57" s="188">
        <f t="shared" si="6"/>
        <v>61.088195914136413</v>
      </c>
      <c r="S57" s="188">
        <f t="shared" si="7"/>
        <v>122.17639182827283</v>
      </c>
      <c r="T57" s="188">
        <f t="shared" si="8"/>
        <v>2443.5278365654563</v>
      </c>
      <c r="U57" s="189">
        <f t="shared" si="9"/>
        <v>24435.278365654565</v>
      </c>
    </row>
    <row r="58" spans="1:21" x14ac:dyDescent="0.25">
      <c r="A58" s="337" t="s">
        <v>66</v>
      </c>
      <c r="B58" s="591"/>
      <c r="C58" s="584"/>
      <c r="D58" s="617"/>
      <c r="E58" s="598"/>
      <c r="F58" s="602" t="s">
        <v>186</v>
      </c>
      <c r="G58" s="607"/>
      <c r="H58" s="334" t="s">
        <v>38</v>
      </c>
      <c r="I58" s="327">
        <f>VLOOKUP(A58, 'Look-up Values'!$F$6:$J$14, 5, FALSE)</f>
        <v>100</v>
      </c>
      <c r="J58" s="187">
        <f>IF(AND(COUNTIFS('Spray Adhesives'!$B$20:$B$44, A58, 'Spray Adhesives'!$E$20:$E$44, H58)=1, SUMIFS('Spray Adhesives'!$F$20:$F$44, 'Spray Adhesives'!$B$20:$B$44, A58, 'Spray Adhesives'!$E$20:$E$44, H58)&gt;0), SUMIFS('Spray Adhesives'!$F$20:$F$44, 'Spray Adhesives'!$B$20:$B$44, A58, 'Spray Adhesives'!$E$20:$E$44, H58), "-")</f>
        <v>9.4113828438301975E-2</v>
      </c>
      <c r="K58" s="188">
        <f t="shared" si="0"/>
        <v>0.94113828438301972</v>
      </c>
      <c r="L58" s="188">
        <f t="shared" si="1"/>
        <v>2.3528457109575496</v>
      </c>
      <c r="M58" s="188">
        <f t="shared" si="2"/>
        <v>4.7056914219150991</v>
      </c>
      <c r="N58" s="188">
        <f t="shared" si="3"/>
        <v>94.113828438301979</v>
      </c>
      <c r="O58" s="188">
        <f t="shared" si="4"/>
        <v>941.13828438301971</v>
      </c>
      <c r="P58" s="194">
        <f>IF(AND(COUNTIFS('Spray Adhesives'!$B$20:$B$44, A58, 'Spray Adhesives'!$E$20:$E$44, H58)=1, SUMIFS('Spray Adhesives'!$P$20:$P$44, 'Spray Adhesives'!$B$20:$B$44, A58, 'Spray Adhesives'!$E$20:$E$44, H58)&gt;0), SUMIFS('Spray Adhesives'!$P$20:$P$44, 'Spray Adhesives'!$B$20:$B$44, A58, 'Spray Adhesives'!$E$20:$E$44, H58), "-")</f>
        <v>0.56957958509271223</v>
      </c>
      <c r="Q58" s="188">
        <f t="shared" si="5"/>
        <v>5.695795850927122</v>
      </c>
      <c r="R58" s="188">
        <f t="shared" si="6"/>
        <v>14.239489627317806</v>
      </c>
      <c r="S58" s="188">
        <f t="shared" si="7"/>
        <v>28.478979254635611</v>
      </c>
      <c r="T58" s="188">
        <f t="shared" si="8"/>
        <v>569.57958509271225</v>
      </c>
      <c r="U58" s="189">
        <f t="shared" si="9"/>
        <v>5695.795850927122</v>
      </c>
    </row>
    <row r="59" spans="1:21" x14ac:dyDescent="0.25">
      <c r="A59" s="337" t="s">
        <v>66</v>
      </c>
      <c r="B59" s="591"/>
      <c r="C59" s="584"/>
      <c r="D59" s="617"/>
      <c r="E59" s="598"/>
      <c r="F59" s="603"/>
      <c r="G59" s="608"/>
      <c r="H59" s="334" t="s">
        <v>40</v>
      </c>
      <c r="I59" s="327">
        <f>VLOOKUP(A59, 'Look-up Values'!$F$6:$J$14, 5, FALSE)</f>
        <v>100</v>
      </c>
      <c r="J59" s="187">
        <f>IF(AND(COUNTIFS('Spray Adhesives'!$B$20:$B$44, A59, 'Spray Adhesives'!$E$20:$E$44, H59)=1, SUMIFS('Spray Adhesives'!$F$20:$F$44, 'Spray Adhesives'!$B$20:$B$44, A59, 'Spray Adhesives'!$E$20:$E$44, H59)&gt;0), SUMIFS('Spray Adhesives'!$F$20:$F$44, 'Spray Adhesives'!$B$20:$B$44, A59, 'Spray Adhesives'!$E$20:$E$44, H59), "-")</f>
        <v>0.17970922150139015</v>
      </c>
      <c r="K59" s="188">
        <f t="shared" si="0"/>
        <v>1.7970922150139015</v>
      </c>
      <c r="L59" s="188">
        <f t="shared" si="1"/>
        <v>4.4927305375347535</v>
      </c>
      <c r="M59" s="188">
        <f t="shared" si="2"/>
        <v>8.985461075069507</v>
      </c>
      <c r="N59" s="188">
        <f t="shared" si="3"/>
        <v>179.70922150139015</v>
      </c>
      <c r="O59" s="188">
        <f t="shared" si="4"/>
        <v>1797.0922150139015</v>
      </c>
      <c r="P59" s="194">
        <f>IF(AND(COUNTIFS('Spray Adhesives'!$B$20:$B$44, A59, 'Spray Adhesives'!$E$20:$E$44, H59)=1, SUMIFS('Spray Adhesives'!$P$20:$P$44, 'Spray Adhesives'!$B$20:$B$44, A59, 'Spray Adhesives'!$E$20:$E$44, H59)&gt;0), SUMIFS('Spray Adhesives'!$P$20:$P$44, 'Spray Adhesives'!$B$20:$B$44, A59, 'Spray Adhesives'!$E$20:$E$44, H59), "-")</f>
        <v>1.3399991361810566</v>
      </c>
      <c r="Q59" s="188">
        <f t="shared" si="5"/>
        <v>13.399991361810565</v>
      </c>
      <c r="R59" s="188">
        <f t="shared" si="6"/>
        <v>33.499978404526416</v>
      </c>
      <c r="S59" s="188">
        <f t="shared" si="7"/>
        <v>66.999956809052833</v>
      </c>
      <c r="T59" s="188">
        <f t="shared" si="8"/>
        <v>1339.9991361810567</v>
      </c>
      <c r="U59" s="189">
        <f t="shared" si="9"/>
        <v>13399.991361810566</v>
      </c>
    </row>
    <row r="60" spans="1:21" x14ac:dyDescent="0.25">
      <c r="A60" s="337" t="s">
        <v>67</v>
      </c>
      <c r="B60" s="591"/>
      <c r="C60" s="584"/>
      <c r="D60" s="617"/>
      <c r="E60" s="598"/>
      <c r="F60" s="596" t="s">
        <v>192</v>
      </c>
      <c r="G60" s="593" t="s">
        <v>193</v>
      </c>
      <c r="H60" s="334" t="s">
        <v>38</v>
      </c>
      <c r="I60" s="331">
        <f>VLOOKUP(A60, 'Look-up Values'!$F$6:$J$11, 5, FALSE)</f>
        <v>100</v>
      </c>
      <c r="J60" s="187">
        <f>IF(AND(COUNTIFS('Spray Adhesives'!$B$20:$B$44, A60, 'Spray Adhesives'!$E$20:$E$44, H60)=1, SUMIFS('Spray Adhesives'!$F$20:$F$44, 'Spray Adhesives'!$B$20:$B$44, A60, 'Spray Adhesives'!$E$20:$E$44, H60)&gt;0), SUMIFS('Spray Adhesives'!$F$20:$F$44, 'Spray Adhesives'!$B$20:$B$44, A60, 'Spray Adhesives'!$E$20:$E$44, H60), "-")</f>
        <v>9.8588216736335665E-2</v>
      </c>
      <c r="K60" s="188">
        <f t="shared" si="0"/>
        <v>0.98588216736335665</v>
      </c>
      <c r="L60" s="188">
        <f t="shared" si="1"/>
        <v>2.4647054184083919</v>
      </c>
      <c r="M60" s="188">
        <f t="shared" si="2"/>
        <v>4.9294108368167837</v>
      </c>
      <c r="N60" s="188">
        <f t="shared" si="3"/>
        <v>98.588216736335667</v>
      </c>
      <c r="O60" s="188">
        <f t="shared" si="4"/>
        <v>985.88216736335664</v>
      </c>
      <c r="P60" s="194">
        <f>IF(AND(COUNTIFS('Spray Adhesives'!$B$20:$B$44, A60, 'Spray Adhesives'!$E$20:$E$44, H60)=1, SUMIFS('Spray Adhesives'!$P$20:$P$44, 'Spray Adhesives'!$B$20:$B$44, A60, 'Spray Adhesives'!$E$20:$E$44, H60)&gt;0), SUMIFS('Spray Adhesives'!$P$20:$P$44, 'Spray Adhesives'!$B$20:$B$44, A60, 'Spray Adhesives'!$E$20:$E$44, H60), "-")</f>
        <v>0.5966587112171845</v>
      </c>
      <c r="Q60" s="188">
        <f t="shared" si="5"/>
        <v>5.9665871121718448</v>
      </c>
      <c r="R60" s="188">
        <f t="shared" si="6"/>
        <v>14.916467780429613</v>
      </c>
      <c r="S60" s="188">
        <f t="shared" si="7"/>
        <v>29.832935560859227</v>
      </c>
      <c r="T60" s="188">
        <f t="shared" si="8"/>
        <v>596.65871121718453</v>
      </c>
      <c r="U60" s="189">
        <f t="shared" si="9"/>
        <v>5966.5871121718446</v>
      </c>
    </row>
    <row r="61" spans="1:21" x14ac:dyDescent="0.25">
      <c r="A61" s="337" t="s">
        <v>67</v>
      </c>
      <c r="B61" s="591"/>
      <c r="C61" s="584"/>
      <c r="D61" s="617"/>
      <c r="E61" s="598"/>
      <c r="F61" s="596"/>
      <c r="G61" s="593"/>
      <c r="H61" s="334" t="s">
        <v>40</v>
      </c>
      <c r="I61" s="331">
        <f>VLOOKUP(A61, 'Look-up Values'!$F$6:$J$11, 5, FALSE)</f>
        <v>100</v>
      </c>
      <c r="J61" s="187">
        <f>IF(AND(COUNTIFS('Spray Adhesives'!$B$20:$B$44, A61, 'Spray Adhesives'!$E$20:$E$44, H61)=1, SUMIFS('Spray Adhesives'!$F$20:$F$44, 'Spray Adhesives'!$B$20:$B$44, A61, 'Spray Adhesives'!$E$20:$E$44, H61)&gt;0), SUMIFS('Spray Adhesives'!$F$20:$F$44, 'Spray Adhesives'!$B$20:$B$44, A61, 'Spray Adhesives'!$E$20:$E$44, H61), "-")</f>
        <v>0.18825301204819275</v>
      </c>
      <c r="K61" s="188">
        <f t="shared" si="0"/>
        <v>1.8825301204819276</v>
      </c>
      <c r="L61" s="188">
        <f t="shared" si="1"/>
        <v>4.706325301204819</v>
      </c>
      <c r="M61" s="188">
        <f t="shared" si="2"/>
        <v>9.4126506024096379</v>
      </c>
      <c r="N61" s="188">
        <f t="shared" si="3"/>
        <v>188.25301204819274</v>
      </c>
      <c r="O61" s="188">
        <f t="shared" si="4"/>
        <v>1882.5301204819275</v>
      </c>
      <c r="P61" s="194">
        <f>IF(AND(COUNTIFS('Spray Adhesives'!$B$20:$B$44, A61, 'Spray Adhesives'!$E$20:$E$44, H61)=1, SUMIFS('Spray Adhesives'!$P$20:$P$44, 'Spray Adhesives'!$B$20:$B$44, A61, 'Spray Adhesives'!$E$20:$E$44, H61)&gt;0), SUMIFS('Spray Adhesives'!$P$20:$P$44, 'Spray Adhesives'!$B$20:$B$44, A61, 'Spray Adhesives'!$E$20:$E$44, H61), "-")</f>
        <v>1.4037057832678272</v>
      </c>
      <c r="Q61" s="188">
        <f t="shared" si="5"/>
        <v>14.037057832678272</v>
      </c>
      <c r="R61" s="188">
        <f t="shared" si="6"/>
        <v>35.09264458169568</v>
      </c>
      <c r="S61" s="188">
        <f t="shared" si="7"/>
        <v>70.18528916339136</v>
      </c>
      <c r="T61" s="188">
        <f t="shared" si="8"/>
        <v>1403.7057832678272</v>
      </c>
      <c r="U61" s="189">
        <f t="shared" si="9"/>
        <v>14037.057832678272</v>
      </c>
    </row>
    <row r="62" spans="1:21" x14ac:dyDescent="0.25">
      <c r="A62" s="338" t="s">
        <v>76</v>
      </c>
      <c r="B62" s="591"/>
      <c r="C62" s="584"/>
      <c r="D62" s="617"/>
      <c r="E62" s="598" t="s">
        <v>194</v>
      </c>
      <c r="F62" s="596" t="s">
        <v>195</v>
      </c>
      <c r="G62" s="593"/>
      <c r="H62" s="334" t="s">
        <v>38</v>
      </c>
      <c r="I62" s="332">
        <f>0.0001</f>
        <v>1E-4</v>
      </c>
      <c r="J62" s="187">
        <f>IF(AND(COUNTIFS('Spray Adhesives'!$B$20:$B$44, A62, 'Spray Adhesives'!$E$20:$E$44, H62)=1, SUMIFS('Spray Adhesives'!$F$20:$F$44, 'Spray Adhesives'!$B$20:$B$44, A62, 'Spray Adhesives'!$E$20:$E$44, H62)&gt;0), SUMIFS('Spray Adhesives'!$F$20:$F$44, 'Spray Adhesives'!$B$20:$B$44, A62, 'Spray Adhesives'!$E$20:$E$44, H62), "-")</f>
        <v>0.52016410256410262</v>
      </c>
      <c r="K62" s="188">
        <f t="shared" si="0"/>
        <v>5.201641025641026E-2</v>
      </c>
      <c r="L62" s="188">
        <f t="shared" si="1"/>
        <v>2.0806564102564106E-2</v>
      </c>
      <c r="M62" s="188">
        <f t="shared" si="2"/>
        <v>1.0403282051282053E-2</v>
      </c>
      <c r="N62" s="188">
        <f t="shared" si="3"/>
        <v>5.2016410256410265E-4</v>
      </c>
      <c r="O62" s="188">
        <f t="shared" si="4"/>
        <v>5.2016410256410263E-5</v>
      </c>
      <c r="P62" s="194">
        <f>IF(AND(COUNTIFS('Spray Adhesives'!$B$20:$B$44, A62, 'Spray Adhesives'!$E$20:$E$44, H62)=1, SUMIFS('Spray Adhesives'!$P$20:$P$44, 'Spray Adhesives'!$B$20:$B$44, A62, 'Spray Adhesives'!$E$20:$E$44, H62)&gt;0), SUMIFS('Spray Adhesives'!$P$20:$P$44, 'Spray Adhesives'!$B$20:$B$44, A62, 'Spray Adhesives'!$E$20:$E$44, H62), "-")</f>
        <v>8.5948717948717848E-2</v>
      </c>
      <c r="Q62" s="188">
        <f t="shared" si="5"/>
        <v>8.5948717948717852E-3</v>
      </c>
      <c r="R62" s="188">
        <f t="shared" si="6"/>
        <v>3.4379487179487141E-3</v>
      </c>
      <c r="S62" s="188">
        <f t="shared" si="7"/>
        <v>1.718974358974357E-3</v>
      </c>
      <c r="T62" s="188">
        <f t="shared" si="8"/>
        <v>8.5948717948717849E-5</v>
      </c>
      <c r="U62" s="189">
        <f t="shared" si="9"/>
        <v>8.5948717948717846E-6</v>
      </c>
    </row>
    <row r="63" spans="1:21" ht="13.5" thickBot="1" x14ac:dyDescent="0.3">
      <c r="A63" s="339" t="s">
        <v>76</v>
      </c>
      <c r="B63" s="592"/>
      <c r="C63" s="585"/>
      <c r="D63" s="618"/>
      <c r="E63" s="604"/>
      <c r="F63" s="605"/>
      <c r="G63" s="594"/>
      <c r="H63" s="342" t="s">
        <v>40</v>
      </c>
      <c r="I63" s="333">
        <f>0.0001</f>
        <v>1E-4</v>
      </c>
      <c r="J63" s="190">
        <f>IF(AND(COUNTIFS('Spray Adhesives'!$B$20:$B$44, A63, 'Spray Adhesives'!$E$20:$E$44, H63)=1, SUMIFS('Spray Adhesives'!$F$20:$F$44, 'Spray Adhesives'!$B$20:$B$44, A63, 'Spray Adhesives'!$E$20:$E$44, H63)&gt;0), SUMIFS('Spray Adhesives'!$F$20:$F$44, 'Spray Adhesives'!$B$20:$B$44, A63, 'Spray Adhesives'!$E$20:$E$44, H63), "-")</f>
        <v>0.2111179487179487</v>
      </c>
      <c r="K63" s="191">
        <f t="shared" si="0"/>
        <v>2.1111794871794869E-2</v>
      </c>
      <c r="L63" s="191">
        <f t="shared" si="1"/>
        <v>8.4447179487179488E-3</v>
      </c>
      <c r="M63" s="191">
        <f t="shared" si="2"/>
        <v>4.2223589743589744E-3</v>
      </c>
      <c r="N63" s="191">
        <f t="shared" si="3"/>
        <v>2.1111794871794869E-4</v>
      </c>
      <c r="O63" s="191">
        <f t="shared" si="4"/>
        <v>2.1111794871794872E-5</v>
      </c>
      <c r="P63" s="344">
        <f>IF(AND(COUNTIFS('Spray Adhesives'!$B$20:$B$44, A63, 'Spray Adhesives'!$E$20:$E$44, H63)=1, SUMIFS('Spray Adhesives'!$P$20:$P$44, 'Spray Adhesives'!$B$20:$B$44, A63, 'Spray Adhesives'!$E$20:$E$44, H63)&gt;0), SUMIFS('Spray Adhesives'!$P$20:$P$44, 'Spray Adhesives'!$B$20:$B$44, A63, 'Spray Adhesives'!$E$20:$E$44, H63), "-")</f>
        <v>2.8313333333333329E-2</v>
      </c>
      <c r="Q63" s="191">
        <f t="shared" si="5"/>
        <v>2.8313333333333328E-3</v>
      </c>
      <c r="R63" s="191">
        <f t="shared" si="6"/>
        <v>1.1325333333333332E-3</v>
      </c>
      <c r="S63" s="191">
        <f t="shared" si="7"/>
        <v>5.6626666666666659E-4</v>
      </c>
      <c r="T63" s="191">
        <f t="shared" si="8"/>
        <v>2.8313333333333329E-5</v>
      </c>
      <c r="U63" s="192">
        <f t="shared" si="9"/>
        <v>2.8313333333333329E-6</v>
      </c>
    </row>
    <row r="64" spans="1:21" ht="12.75" customHeight="1" x14ac:dyDescent="0.25">
      <c r="A64" s="337" t="s">
        <v>49</v>
      </c>
      <c r="B64" s="590" t="s">
        <v>9</v>
      </c>
      <c r="C64" s="583" t="s">
        <v>80</v>
      </c>
      <c r="D64" s="616" t="s">
        <v>84</v>
      </c>
      <c r="E64" s="599" t="s">
        <v>183</v>
      </c>
      <c r="F64" s="595" t="s">
        <v>184</v>
      </c>
      <c r="G64" s="597" t="s">
        <v>185</v>
      </c>
      <c r="H64" s="340" t="s">
        <v>38</v>
      </c>
      <c r="I64" s="330">
        <f>VLOOKUP(A64, 'Look-up Values'!$F$6:$J$11, 5, FALSE)</f>
        <v>100</v>
      </c>
      <c r="J64" s="184">
        <f>IF(AND(COUNTIFS('Spray Adhesives'!$B$20:$B$44, A64, 'Spray Adhesives'!$E$20:$E$44, H64)=1, SUMIFS('Spray Adhesives'!$G$20:$G$44, 'Spray Adhesives'!$B$20:$B$44, A64, 'Spray Adhesives'!$E$20:$E$44, H64)&gt;0), SUMIFS('Spray Adhesives'!$G$20:$G$44, 'Spray Adhesives'!$B$20:$B$44, A64, 'Spray Adhesives'!$E$20:$E$44, H64), "-")</f>
        <v>0.14702395067583587</v>
      </c>
      <c r="K64" s="185">
        <f t="shared" si="0"/>
        <v>1.4702395067583587</v>
      </c>
      <c r="L64" s="185">
        <f t="shared" si="1"/>
        <v>3.6755987668958969</v>
      </c>
      <c r="M64" s="185">
        <f t="shared" si="2"/>
        <v>7.3511975337917939</v>
      </c>
      <c r="N64" s="185">
        <f t="shared" si="3"/>
        <v>147.02395067583586</v>
      </c>
      <c r="O64" s="185">
        <f t="shared" si="4"/>
        <v>1470.2395067583586</v>
      </c>
      <c r="P64" s="185">
        <f>IF(AND(COUNTIFS('Spray Adhesives'!$B$20:$B$44, A64, 'Spray Adhesives'!$E$20:$E$44, H64)=1, SUMIFS('Spray Adhesives'!$Q$20:$Q$44, 'Spray Adhesives'!$B$20:$B$44, A64, 'Spray Adhesives'!$E$20:$E$44, H64)&gt;0), SUMIFS('Spray Adhesives'!$Q$20:$Q$44, 'Spray Adhesives'!$B$20:$B$44, A64, 'Spray Adhesives'!$E$20:$E$44, H64), "-")</f>
        <v>1.0748959778085994</v>
      </c>
      <c r="Q64" s="185">
        <f t="shared" si="5"/>
        <v>10.748959778085993</v>
      </c>
      <c r="R64" s="185">
        <f t="shared" si="6"/>
        <v>26.872399445214985</v>
      </c>
      <c r="S64" s="185">
        <f t="shared" si="7"/>
        <v>53.744798890429969</v>
      </c>
      <c r="T64" s="185">
        <f t="shared" si="8"/>
        <v>1074.8959778085994</v>
      </c>
      <c r="U64" s="186">
        <f t="shared" si="9"/>
        <v>10748.959778085993</v>
      </c>
    </row>
    <row r="65" spans="1:21" ht="15" customHeight="1" x14ac:dyDescent="0.25">
      <c r="A65" s="337" t="s">
        <v>49</v>
      </c>
      <c r="B65" s="591"/>
      <c r="C65" s="584"/>
      <c r="D65" s="617"/>
      <c r="E65" s="600"/>
      <c r="F65" s="596"/>
      <c r="G65" s="593"/>
      <c r="H65" s="334" t="s">
        <v>40</v>
      </c>
      <c r="I65" s="331">
        <f>VLOOKUP(A65, 'Look-up Values'!$F$6:$J$11, 5, FALSE)</f>
        <v>100</v>
      </c>
      <c r="J65" s="193">
        <f>IF(AND(COUNTIFS('Spray Adhesives'!$B$20:$B$44, A65, 'Spray Adhesives'!$E$20:$E$44, H65)=1, SUMIFS('Spray Adhesives'!$G$20:$G$44, 'Spray Adhesives'!$B$20:$B$44, A65, 'Spray Adhesives'!$E$20:$E$44, H65)&gt;0), SUMIFS('Spray Adhesives'!$G$20:$G$44, 'Spray Adhesives'!$B$20:$B$44, A65, 'Spray Adhesives'!$E$20:$E$44, H65), "-")</f>
        <v>0.24371069182389937</v>
      </c>
      <c r="K65" s="188">
        <f t="shared" si="0"/>
        <v>2.4371069182389937</v>
      </c>
      <c r="L65" s="188">
        <f t="shared" si="1"/>
        <v>6.0927672955974845</v>
      </c>
      <c r="M65" s="188">
        <f t="shared" si="2"/>
        <v>12.185534591194969</v>
      </c>
      <c r="N65" s="188">
        <f t="shared" si="3"/>
        <v>243.71069182389937</v>
      </c>
      <c r="O65" s="188">
        <f t="shared" si="4"/>
        <v>2437.1069182389938</v>
      </c>
      <c r="P65" s="194">
        <f>IF(AND(COUNTIFS('Spray Adhesives'!$B$20:$B$44, A65, 'Spray Adhesives'!$E$20:$E$44, H65)=1, SUMIFS('Spray Adhesives'!$Q$20:$Q$44, 'Spray Adhesives'!$B$20:$B$44, A65, 'Spray Adhesives'!$E$20:$E$44, H65)&gt;0), SUMIFS('Spray Adhesives'!$Q$20:$Q$44, 'Spray Adhesives'!$B$20:$B$44, A65, 'Spray Adhesives'!$E$20:$E$44, H65), "-")</f>
        <v>1.7222222222222223</v>
      </c>
      <c r="Q65" s="188">
        <f t="shared" si="5"/>
        <v>17.222222222222221</v>
      </c>
      <c r="R65" s="188">
        <f t="shared" si="6"/>
        <v>43.055555555555557</v>
      </c>
      <c r="S65" s="188">
        <f t="shared" si="7"/>
        <v>86.111111111111114</v>
      </c>
      <c r="T65" s="188">
        <f t="shared" si="8"/>
        <v>1722.2222222222224</v>
      </c>
      <c r="U65" s="189">
        <f t="shared" si="9"/>
        <v>17222.222222222223</v>
      </c>
    </row>
    <row r="66" spans="1:21" ht="15" customHeight="1" x14ac:dyDescent="0.25">
      <c r="A66" s="337" t="s">
        <v>51</v>
      </c>
      <c r="B66" s="591"/>
      <c r="C66" s="584"/>
      <c r="D66" s="617"/>
      <c r="E66" s="600"/>
      <c r="F66" s="602" t="s">
        <v>186</v>
      </c>
      <c r="G66" s="593"/>
      <c r="H66" s="334" t="s">
        <v>38</v>
      </c>
      <c r="I66" s="327">
        <f>VLOOKUP(A66, 'Look-up Values'!$F$6:$J$14, 5, FALSE)</f>
        <v>100</v>
      </c>
      <c r="J66" s="193">
        <f>IF(AND(COUNTIFS('Spray Adhesives'!$B$20:$B$44, A66, 'Spray Adhesives'!$E$20:$E$44, H66)=1, SUMIFS('Spray Adhesives'!$G$20:$G$44, 'Spray Adhesives'!$B$20:$B$44, A66, 'Spray Adhesives'!$E$20:$E$44, H66)&gt;0), SUMIFS('Spray Adhesives'!$G$20:$G$44, 'Spray Adhesives'!$B$20:$B$44, A66, 'Spray Adhesives'!$E$20:$E$44, H66), "-")</f>
        <v>8.0626037467393871E-2</v>
      </c>
      <c r="K66" s="188">
        <f t="shared" si="0"/>
        <v>0.80626037467393874</v>
      </c>
      <c r="L66" s="188">
        <f t="shared" si="1"/>
        <v>2.015650936684847</v>
      </c>
      <c r="M66" s="188">
        <f t="shared" si="2"/>
        <v>4.0313018733696939</v>
      </c>
      <c r="N66" s="188">
        <f t="shared" si="3"/>
        <v>80.626037467393871</v>
      </c>
      <c r="O66" s="188">
        <f t="shared" si="4"/>
        <v>806.26037467393871</v>
      </c>
      <c r="P66" s="194">
        <f>IF(AND(COUNTIFS('Spray Adhesives'!$B$20:$B$44, A66, 'Spray Adhesives'!$E$20:$E$44, H66)=1, SUMIFS('Spray Adhesives'!$Q$20:$Q$44, 'Spray Adhesives'!$B$20:$B$44, A66, 'Spray Adhesives'!$E$20:$E$44, H66)&gt;0), SUMIFS('Spray Adhesives'!$Q$20:$Q$44, 'Spray Adhesives'!$B$20:$B$44, A66, 'Spray Adhesives'!$E$20:$E$44, H66), "-")</f>
        <v>0.58945908460471574</v>
      </c>
      <c r="Q66" s="188">
        <f t="shared" si="5"/>
        <v>5.8945908460471577</v>
      </c>
      <c r="R66" s="188">
        <f t="shared" si="6"/>
        <v>14.736477115117893</v>
      </c>
      <c r="S66" s="188">
        <f t="shared" si="7"/>
        <v>29.472954230235786</v>
      </c>
      <c r="T66" s="188">
        <f t="shared" si="8"/>
        <v>589.45908460471571</v>
      </c>
      <c r="U66" s="189">
        <f t="shared" si="9"/>
        <v>5894.5908460471574</v>
      </c>
    </row>
    <row r="67" spans="1:21" ht="15" customHeight="1" x14ac:dyDescent="0.25">
      <c r="A67" s="337" t="s">
        <v>51</v>
      </c>
      <c r="B67" s="591"/>
      <c r="C67" s="584"/>
      <c r="D67" s="617"/>
      <c r="E67" s="601"/>
      <c r="F67" s="603"/>
      <c r="G67" s="593"/>
      <c r="H67" s="334" t="s">
        <v>40</v>
      </c>
      <c r="I67" s="327">
        <f>VLOOKUP(A67, 'Look-up Values'!$F$6:$J$14, 5, FALSE)</f>
        <v>100</v>
      </c>
      <c r="J67" s="193">
        <f>IF(AND(COUNTIFS('Spray Adhesives'!$B$20:$B$44, A67, 'Spray Adhesives'!$E$20:$E$44, H67)=1, SUMIFS('Spray Adhesives'!$G$20:$G$44, 'Spray Adhesives'!$B$20:$B$44, A67, 'Spray Adhesives'!$E$20:$E$44, H67)&gt;0), SUMIFS('Spray Adhesives'!$G$20:$G$44, 'Spray Adhesives'!$B$20:$B$44, A67, 'Spray Adhesives'!$E$20:$E$44, H67), "-")</f>
        <v>0.13364779874213836</v>
      </c>
      <c r="K67" s="188">
        <f t="shared" si="0"/>
        <v>1.3364779874213837</v>
      </c>
      <c r="L67" s="188">
        <f t="shared" si="1"/>
        <v>3.341194968553459</v>
      </c>
      <c r="M67" s="188">
        <f t="shared" si="2"/>
        <v>6.682389937106918</v>
      </c>
      <c r="N67" s="188">
        <f t="shared" si="3"/>
        <v>133.64779874213835</v>
      </c>
      <c r="O67" s="188">
        <f t="shared" si="4"/>
        <v>1336.4779874213837</v>
      </c>
      <c r="P67" s="194">
        <f>IF(AND(COUNTIFS('Spray Adhesives'!$B$20:$B$44, A67, 'Spray Adhesives'!$E$20:$E$44, H67)=1, SUMIFS('Spray Adhesives'!$Q$20:$Q$44, 'Spray Adhesives'!$B$20:$B$44, A67, 'Spray Adhesives'!$E$20:$E$44, H67)&gt;0), SUMIFS('Spray Adhesives'!$Q$20:$Q$44, 'Spray Adhesives'!$B$20:$B$44, A67, 'Spray Adhesives'!$E$20:$E$44, H67), "-")</f>
        <v>0.94444444444444442</v>
      </c>
      <c r="Q67" s="188">
        <f t="shared" si="5"/>
        <v>9.4444444444444446</v>
      </c>
      <c r="R67" s="188">
        <f t="shared" si="6"/>
        <v>23.611111111111111</v>
      </c>
      <c r="S67" s="188">
        <f t="shared" si="7"/>
        <v>47.222222222222221</v>
      </c>
      <c r="T67" s="188">
        <f t="shared" si="8"/>
        <v>944.44444444444446</v>
      </c>
      <c r="U67" s="189">
        <f t="shared" si="9"/>
        <v>9444.4444444444434</v>
      </c>
    </row>
    <row r="68" spans="1:21" x14ac:dyDescent="0.25">
      <c r="A68" s="337" t="s">
        <v>59</v>
      </c>
      <c r="B68" s="591"/>
      <c r="C68" s="584"/>
      <c r="D68" s="617"/>
      <c r="E68" s="598" t="s">
        <v>187</v>
      </c>
      <c r="F68" s="596" t="s">
        <v>188</v>
      </c>
      <c r="G68" s="593"/>
      <c r="H68" s="334" t="s">
        <v>38</v>
      </c>
      <c r="I68" s="331">
        <f>VLOOKUP(A68, 'Look-up Values'!$F$6:$J$11, 5, FALSE)</f>
        <v>100</v>
      </c>
      <c r="J68" s="193">
        <f>IF(AND(COUNTIFS('Spray Adhesives'!$B$20:$B$44, A68, 'Spray Adhesives'!$E$20:$E$44, H68)=1, SUMIFS('Spray Adhesives'!$G$20:$G$44, 'Spray Adhesives'!$B$20:$B$44, A68, 'Spray Adhesives'!$E$20:$E$44, H68)&gt;0), SUMIFS('Spray Adhesives'!$G$20:$G$44, 'Spray Adhesives'!$B$20:$B$44, A68, 'Spray Adhesives'!$E$20:$E$44, H68), "-")</f>
        <v>0.71140621294759288</v>
      </c>
      <c r="K68" s="188">
        <f t="shared" si="0"/>
        <v>7.1140621294759292</v>
      </c>
      <c r="L68" s="188">
        <f t="shared" si="1"/>
        <v>17.785155323689821</v>
      </c>
      <c r="M68" s="188">
        <f t="shared" si="2"/>
        <v>35.570310647379642</v>
      </c>
      <c r="N68" s="188">
        <f t="shared" si="3"/>
        <v>711.40621294759285</v>
      </c>
      <c r="O68" s="188">
        <f t="shared" si="4"/>
        <v>7114.0621294759285</v>
      </c>
      <c r="P68" s="194">
        <f>IF(AND(COUNTIFS('Spray Adhesives'!$B$20:$B$44, A68, 'Spray Adhesives'!$E$20:$E$44, H68)=1, SUMIFS('Spray Adhesives'!$Q$20:$Q$44, 'Spray Adhesives'!$B$20:$B$44, A68, 'Spray Adhesives'!$E$20:$E$44, H68)&gt;0), SUMIFS('Spray Adhesives'!$Q$20:$Q$44, 'Spray Adhesives'!$B$20:$B$44, A68, 'Spray Adhesives'!$E$20:$E$44, H68), "-")</f>
        <v>5.2011095700416101</v>
      </c>
      <c r="Q68" s="188">
        <f t="shared" si="5"/>
        <v>52.011095700416099</v>
      </c>
      <c r="R68" s="188">
        <f t="shared" si="6"/>
        <v>130.02773925104026</v>
      </c>
      <c r="S68" s="188">
        <f t="shared" si="7"/>
        <v>260.05547850208052</v>
      </c>
      <c r="T68" s="188">
        <f t="shared" si="8"/>
        <v>5201.1095700416099</v>
      </c>
      <c r="U68" s="189">
        <f t="shared" si="9"/>
        <v>52011.095700416103</v>
      </c>
    </row>
    <row r="69" spans="1:21" x14ac:dyDescent="0.25">
      <c r="A69" s="337" t="s">
        <v>59</v>
      </c>
      <c r="B69" s="591"/>
      <c r="C69" s="584"/>
      <c r="D69" s="617"/>
      <c r="E69" s="598"/>
      <c r="F69" s="596"/>
      <c r="G69" s="593"/>
      <c r="H69" s="334" t="s">
        <v>40</v>
      </c>
      <c r="I69" s="331">
        <f>VLOOKUP(A69, 'Look-up Values'!$F$6:$J$11, 5, FALSE)</f>
        <v>100</v>
      </c>
      <c r="J69" s="193">
        <f>IF(AND(COUNTIFS('Spray Adhesives'!$B$20:$B$44, A69, 'Spray Adhesives'!$E$20:$E$44, H69)=1, SUMIFS('Spray Adhesives'!$G$20:$G$44, 'Spray Adhesives'!$B$20:$B$44, A69, 'Spray Adhesives'!$E$20:$E$44, H69)&gt;0), SUMIFS('Spray Adhesives'!$G$20:$G$44, 'Spray Adhesives'!$B$20:$B$44, A69, 'Spray Adhesives'!$E$20:$E$44, H69), "-")</f>
        <v>1.179245283018868</v>
      </c>
      <c r="K69" s="188">
        <f t="shared" si="0"/>
        <v>11.79245283018868</v>
      </c>
      <c r="L69" s="188">
        <f t="shared" si="1"/>
        <v>29.481132075471699</v>
      </c>
      <c r="M69" s="188">
        <f t="shared" si="2"/>
        <v>58.962264150943398</v>
      </c>
      <c r="N69" s="188">
        <f t="shared" si="3"/>
        <v>1179.2452830188679</v>
      </c>
      <c r="O69" s="188">
        <f t="shared" si="4"/>
        <v>11792.45283018868</v>
      </c>
      <c r="P69" s="194">
        <f>IF(AND(COUNTIFS('Spray Adhesives'!$B$20:$B$44, A69, 'Spray Adhesives'!$E$20:$E$44, H69)=1, SUMIFS('Spray Adhesives'!$Q$20:$Q$44, 'Spray Adhesives'!$B$20:$B$44, A69, 'Spray Adhesives'!$E$20:$E$44, H69)&gt;0), SUMIFS('Spray Adhesives'!$Q$20:$Q$44, 'Spray Adhesives'!$B$20:$B$44, A69, 'Spray Adhesives'!$E$20:$E$44, H69), "-")</f>
        <v>8.3333333333333339</v>
      </c>
      <c r="Q69" s="188">
        <f t="shared" si="5"/>
        <v>83.333333333333343</v>
      </c>
      <c r="R69" s="188">
        <f t="shared" si="6"/>
        <v>208.33333333333334</v>
      </c>
      <c r="S69" s="188">
        <f t="shared" si="7"/>
        <v>416.66666666666669</v>
      </c>
      <c r="T69" s="188">
        <f t="shared" si="8"/>
        <v>8333.3333333333339</v>
      </c>
      <c r="U69" s="189">
        <f t="shared" si="9"/>
        <v>83333.333333333343</v>
      </c>
    </row>
    <row r="70" spans="1:21" x14ac:dyDescent="0.25">
      <c r="A70" s="337" t="s">
        <v>61</v>
      </c>
      <c r="B70" s="591"/>
      <c r="C70" s="584"/>
      <c r="D70" s="617"/>
      <c r="E70" s="598"/>
      <c r="F70" s="596" t="s">
        <v>189</v>
      </c>
      <c r="G70" s="593"/>
      <c r="H70" s="334" t="s">
        <v>38</v>
      </c>
      <c r="I70" s="331">
        <f>VLOOKUP(A70, 'Look-up Values'!$F$6:$J$11, 5, FALSE)</f>
        <v>100</v>
      </c>
      <c r="J70" s="193">
        <f>IF(AND(COUNTIFS('Spray Adhesives'!$B$20:$B$44, A70, 'Spray Adhesives'!$E$20:$E$44, H70)=1, SUMIFS('Spray Adhesives'!$G$20:$G$44, 'Spray Adhesives'!$B$20:$B$44, A70, 'Spray Adhesives'!$E$20:$E$44, H70)&gt;0), SUMIFS('Spray Adhesives'!$G$20:$G$44, 'Spray Adhesives'!$B$20:$B$44, A70, 'Spray Adhesives'!$E$20:$E$44, H70), "-")</f>
        <v>0.85368745553711145</v>
      </c>
      <c r="K70" s="188">
        <f t="shared" si="0"/>
        <v>8.5368745553711136</v>
      </c>
      <c r="L70" s="188">
        <f t="shared" si="1"/>
        <v>21.342186388427788</v>
      </c>
      <c r="M70" s="188">
        <f t="shared" si="2"/>
        <v>42.684372776855575</v>
      </c>
      <c r="N70" s="188">
        <f t="shared" si="3"/>
        <v>853.68745553711142</v>
      </c>
      <c r="O70" s="188">
        <f t="shared" si="4"/>
        <v>8536.8745553711142</v>
      </c>
      <c r="P70" s="194">
        <f>IF(AND(COUNTIFS('Spray Adhesives'!$B$20:$B$44, A70, 'Spray Adhesives'!$E$20:$E$44, H70)=1, SUMIFS('Spray Adhesives'!$Q$20:$Q$44, 'Spray Adhesives'!$B$20:$B$44, A70, 'Spray Adhesives'!$E$20:$E$44, H70)&gt;0), SUMIFS('Spray Adhesives'!$Q$20:$Q$44, 'Spray Adhesives'!$B$20:$B$44, A70, 'Spray Adhesives'!$E$20:$E$44, H70), "-")</f>
        <v>6.2413314840499323</v>
      </c>
      <c r="Q70" s="188">
        <f t="shared" si="5"/>
        <v>62.413314840499325</v>
      </c>
      <c r="R70" s="188">
        <f t="shared" si="6"/>
        <v>156.03328710124831</v>
      </c>
      <c r="S70" s="188">
        <f t="shared" si="7"/>
        <v>312.06657420249661</v>
      </c>
      <c r="T70" s="188">
        <f t="shared" si="8"/>
        <v>6241.3314840499324</v>
      </c>
      <c r="U70" s="189">
        <f t="shared" si="9"/>
        <v>62413.314840499326</v>
      </c>
    </row>
    <row r="71" spans="1:21" x14ac:dyDescent="0.25">
      <c r="A71" s="337" t="s">
        <v>61</v>
      </c>
      <c r="B71" s="591"/>
      <c r="C71" s="584"/>
      <c r="D71" s="617"/>
      <c r="E71" s="598"/>
      <c r="F71" s="596"/>
      <c r="G71" s="593"/>
      <c r="H71" s="334" t="s">
        <v>40</v>
      </c>
      <c r="I71" s="331">
        <f>VLOOKUP(A71, 'Look-up Values'!$F$6:$J$11, 5, FALSE)</f>
        <v>100</v>
      </c>
      <c r="J71" s="193">
        <f>IF(AND(COUNTIFS('Spray Adhesives'!$B$20:$B$44, A71, 'Spray Adhesives'!$E$20:$E$44, H71)=1, SUMIFS('Spray Adhesives'!$G$20:$G$44, 'Spray Adhesives'!$B$20:$B$44, A71, 'Spray Adhesives'!$E$20:$E$44, H71)&gt;0), SUMIFS('Spray Adhesives'!$G$20:$G$44, 'Spray Adhesives'!$B$20:$B$44, A71, 'Spray Adhesives'!$E$20:$E$44, H71), "-")</f>
        <v>1.4150943396226414</v>
      </c>
      <c r="K71" s="188">
        <f t="shared" si="0"/>
        <v>14.150943396226413</v>
      </c>
      <c r="L71" s="188">
        <f t="shared" si="1"/>
        <v>35.377358490566039</v>
      </c>
      <c r="M71" s="188">
        <f t="shared" si="2"/>
        <v>70.754716981132077</v>
      </c>
      <c r="N71" s="188">
        <f t="shared" si="3"/>
        <v>1415.0943396226414</v>
      </c>
      <c r="O71" s="188">
        <f t="shared" si="4"/>
        <v>14150.943396226414</v>
      </c>
      <c r="P71" s="194">
        <f>IF(AND(COUNTIFS('Spray Adhesives'!$B$20:$B$44, A71, 'Spray Adhesives'!$E$20:$E$44, H71)=1, SUMIFS('Spray Adhesives'!$Q$20:$Q$44, 'Spray Adhesives'!$B$20:$B$44, A71, 'Spray Adhesives'!$E$20:$E$44, H71)&gt;0), SUMIFS('Spray Adhesives'!$Q$20:$Q$44, 'Spray Adhesives'!$B$20:$B$44, A71, 'Spray Adhesives'!$E$20:$E$44, H71), "-")</f>
        <v>10</v>
      </c>
      <c r="Q71" s="188">
        <f t="shared" si="5"/>
        <v>100</v>
      </c>
      <c r="R71" s="188">
        <f t="shared" si="6"/>
        <v>250</v>
      </c>
      <c r="S71" s="188">
        <f t="shared" si="7"/>
        <v>500</v>
      </c>
      <c r="T71" s="188">
        <f t="shared" si="8"/>
        <v>10000</v>
      </c>
      <c r="U71" s="189">
        <f t="shared" si="9"/>
        <v>100000</v>
      </c>
    </row>
    <row r="72" spans="1:21" x14ac:dyDescent="0.25">
      <c r="A72" s="337" t="s">
        <v>63</v>
      </c>
      <c r="B72" s="591"/>
      <c r="C72" s="584"/>
      <c r="D72" s="617"/>
      <c r="E72" s="598"/>
      <c r="F72" s="596" t="s">
        <v>190</v>
      </c>
      <c r="G72" s="593" t="s">
        <v>191</v>
      </c>
      <c r="H72" s="334" t="s">
        <v>38</v>
      </c>
      <c r="I72" s="331">
        <f>VLOOKUP(A72, 'Look-up Values'!$F$6:$J$11, 5, FALSE)</f>
        <v>100</v>
      </c>
      <c r="J72" s="193">
        <f>IF(AND(COUNTIFS('Spray Adhesives'!$B$20:$B$44, A72, 'Spray Adhesives'!$E$20:$E$44, H72)=1, SUMIFS('Spray Adhesives'!$G$20:$G$44, 'Spray Adhesives'!$B$20:$B$44, A72, 'Spray Adhesives'!$E$20:$E$44, H72)&gt;0), SUMIFS('Spray Adhesives'!$G$20:$G$44, 'Spray Adhesives'!$B$20:$B$44, A72, 'Spray Adhesives'!$E$20:$E$44, H72), "-")</f>
        <v>0.25136352857481614</v>
      </c>
      <c r="K72" s="188">
        <f t="shared" si="0"/>
        <v>2.5136352857481614</v>
      </c>
      <c r="L72" s="188">
        <f t="shared" si="1"/>
        <v>6.2840882143704038</v>
      </c>
      <c r="M72" s="188">
        <f t="shared" si="2"/>
        <v>12.568176428740808</v>
      </c>
      <c r="N72" s="188">
        <f t="shared" si="3"/>
        <v>251.36352857481614</v>
      </c>
      <c r="O72" s="188">
        <f t="shared" si="4"/>
        <v>2513.6352857481616</v>
      </c>
      <c r="P72" s="194">
        <f>IF(AND(COUNTIFS('Spray Adhesives'!$B$20:$B$44, A72, 'Spray Adhesives'!$E$20:$E$44, H72)=1, SUMIFS('Spray Adhesives'!$Q$20:$Q$44, 'Spray Adhesives'!$B$20:$B$44, A72, 'Spray Adhesives'!$E$20:$E$44, H72)&gt;0), SUMIFS('Spray Adhesives'!$Q$20:$Q$44, 'Spray Adhesives'!$B$20:$B$44, A72, 'Spray Adhesives'!$E$20:$E$44, H72), "-")</f>
        <v>1.8377253814147023</v>
      </c>
      <c r="Q72" s="188">
        <f t="shared" si="5"/>
        <v>18.377253814147025</v>
      </c>
      <c r="R72" s="188">
        <f t="shared" si="6"/>
        <v>45.943134535367555</v>
      </c>
      <c r="S72" s="188">
        <f t="shared" si="7"/>
        <v>91.886269070735111</v>
      </c>
      <c r="T72" s="188">
        <f t="shared" si="8"/>
        <v>1837.7253814147023</v>
      </c>
      <c r="U72" s="189">
        <f t="shared" si="9"/>
        <v>18377.253814147025</v>
      </c>
    </row>
    <row r="73" spans="1:21" x14ac:dyDescent="0.25">
      <c r="A73" s="337" t="s">
        <v>63</v>
      </c>
      <c r="B73" s="591"/>
      <c r="C73" s="584"/>
      <c r="D73" s="617"/>
      <c r="E73" s="598"/>
      <c r="F73" s="596"/>
      <c r="G73" s="593"/>
      <c r="H73" s="334" t="s">
        <v>40</v>
      </c>
      <c r="I73" s="331">
        <f>VLOOKUP(A73, 'Look-up Values'!$F$6:$J$11, 5, FALSE)</f>
        <v>100</v>
      </c>
      <c r="J73" s="193">
        <f>IF(AND(COUNTIFS('Spray Adhesives'!$B$20:$B$44, A73, 'Spray Adhesives'!$E$20:$E$44, H73)=1, SUMIFS('Spray Adhesives'!$G$20:$G$44, 'Spray Adhesives'!$B$20:$B$44, A73, 'Spray Adhesives'!$E$20:$E$44, H73)&gt;0), SUMIFS('Spray Adhesives'!$G$20:$G$44, 'Spray Adhesives'!$B$20:$B$44, A73, 'Spray Adhesives'!$E$20:$E$44, H73), "-")</f>
        <v>0.41666666666666663</v>
      </c>
      <c r="K73" s="188">
        <f t="shared" si="0"/>
        <v>4.1666666666666661</v>
      </c>
      <c r="L73" s="188">
        <f t="shared" si="1"/>
        <v>10.416666666666666</v>
      </c>
      <c r="M73" s="188">
        <f t="shared" si="2"/>
        <v>20.833333333333332</v>
      </c>
      <c r="N73" s="188">
        <f t="shared" si="3"/>
        <v>416.66666666666663</v>
      </c>
      <c r="O73" s="188">
        <f t="shared" si="4"/>
        <v>4166.6666666666661</v>
      </c>
      <c r="P73" s="194">
        <f>IF(AND(COUNTIFS('Spray Adhesives'!$B$20:$B$44, A73, 'Spray Adhesives'!$E$20:$E$44, H73)=1, SUMIFS('Spray Adhesives'!$Q$20:$Q$44, 'Spray Adhesives'!$B$20:$B$44, A73, 'Spray Adhesives'!$E$20:$E$44, H73)&gt;0), SUMIFS('Spray Adhesives'!$Q$20:$Q$44, 'Spray Adhesives'!$B$20:$B$44, A73, 'Spray Adhesives'!$E$20:$E$44, H73), "-")</f>
        <v>2.9444444444444446</v>
      </c>
      <c r="Q73" s="188">
        <f t="shared" si="5"/>
        <v>29.444444444444446</v>
      </c>
      <c r="R73" s="188">
        <f t="shared" si="6"/>
        <v>73.611111111111114</v>
      </c>
      <c r="S73" s="188">
        <f t="shared" si="7"/>
        <v>147.22222222222223</v>
      </c>
      <c r="T73" s="188">
        <f t="shared" si="8"/>
        <v>2944.4444444444448</v>
      </c>
      <c r="U73" s="189">
        <f t="shared" si="9"/>
        <v>29444.444444444445</v>
      </c>
    </row>
    <row r="74" spans="1:21" x14ac:dyDescent="0.25">
      <c r="A74" s="337" t="s">
        <v>65</v>
      </c>
      <c r="B74" s="591"/>
      <c r="C74" s="584"/>
      <c r="D74" s="617"/>
      <c r="E74" s="598"/>
      <c r="F74" s="596" t="s">
        <v>184</v>
      </c>
      <c r="G74" s="606" t="s">
        <v>185</v>
      </c>
      <c r="H74" s="334" t="s">
        <v>38</v>
      </c>
      <c r="I74" s="331">
        <f>VLOOKUP(A74, 'Look-up Values'!$F$6:$J$11, 5, FALSE)</f>
        <v>100</v>
      </c>
      <c r="J74" s="193">
        <f>IF(AND(COUNTIFS('Spray Adhesives'!$B$20:$B$44, A74, 'Spray Adhesives'!$E$20:$E$44, H74)=1, SUMIFS('Spray Adhesives'!$G$20:$G$44, 'Spray Adhesives'!$B$20:$B$44, A74, 'Spray Adhesives'!$E$20:$E$44, H74)&gt;0), SUMIFS('Spray Adhesives'!$G$20:$G$44, 'Spray Adhesives'!$B$20:$B$44, A74, 'Spray Adhesives'!$E$20:$E$44, H74), "-")</f>
        <v>0.20639900767953881</v>
      </c>
      <c r="K74" s="188">
        <f t="shared" si="0"/>
        <v>2.0639900767953883</v>
      </c>
      <c r="L74" s="188">
        <f t="shared" si="1"/>
        <v>5.1599751919884707</v>
      </c>
      <c r="M74" s="188">
        <f t="shared" si="2"/>
        <v>10.319950383976941</v>
      </c>
      <c r="N74" s="188">
        <f t="shared" si="3"/>
        <v>206.39900767953881</v>
      </c>
      <c r="O74" s="188">
        <f t="shared" si="4"/>
        <v>2063.9900767953882</v>
      </c>
      <c r="P74" s="194">
        <f>IF(AND(COUNTIFS('Spray Adhesives'!$B$20:$B$44, A74, 'Spray Adhesives'!$E$20:$E$44, H74)=1, SUMIFS('Spray Adhesives'!$Q$20:$Q$44, 'Spray Adhesives'!$B$20:$B$44, A74, 'Spray Adhesives'!$E$20:$E$44, H74)&gt;0), SUMIFS('Spray Adhesives'!$Q$20:$Q$44, 'Spray Adhesives'!$B$20:$B$44, A74, 'Spray Adhesives'!$E$20:$E$44, H74), "-")</f>
        <v>1.5089885842313031</v>
      </c>
      <c r="Q74" s="188">
        <f t="shared" si="5"/>
        <v>15.089885842313031</v>
      </c>
      <c r="R74" s="188">
        <f t="shared" si="6"/>
        <v>37.72471460578258</v>
      </c>
      <c r="S74" s="188">
        <f t="shared" si="7"/>
        <v>75.44942921156516</v>
      </c>
      <c r="T74" s="188">
        <f t="shared" si="8"/>
        <v>1508.9885842313031</v>
      </c>
      <c r="U74" s="189">
        <f t="shared" si="9"/>
        <v>15089.885842313031</v>
      </c>
    </row>
    <row r="75" spans="1:21" x14ac:dyDescent="0.25">
      <c r="A75" s="337" t="s">
        <v>65</v>
      </c>
      <c r="B75" s="591"/>
      <c r="C75" s="584"/>
      <c r="D75" s="617"/>
      <c r="E75" s="598"/>
      <c r="F75" s="596"/>
      <c r="G75" s="607"/>
      <c r="H75" s="334" t="s">
        <v>40</v>
      </c>
      <c r="I75" s="331">
        <f>VLOOKUP(A75, 'Look-up Values'!$F$6:$J$11, 5, FALSE)</f>
        <v>100</v>
      </c>
      <c r="J75" s="193">
        <f>IF(AND(COUNTIFS('Spray Adhesives'!$B$20:$B$44, A75, 'Spray Adhesives'!$E$20:$E$44, H75)=1, SUMIFS('Spray Adhesives'!$G$20:$G$44, 'Spray Adhesives'!$B$20:$B$44, A75, 'Spray Adhesives'!$E$20:$E$44, H75)&gt;0), SUMIFS('Spray Adhesives'!$G$20:$G$44, 'Spray Adhesives'!$B$20:$B$44, A75, 'Spray Adhesives'!$E$20:$E$44, H75), "-")</f>
        <v>0.34213231736816641</v>
      </c>
      <c r="K75" s="188">
        <f t="shared" si="0"/>
        <v>3.4213231736816638</v>
      </c>
      <c r="L75" s="188">
        <f t="shared" si="1"/>
        <v>8.5533079342041596</v>
      </c>
      <c r="M75" s="188">
        <f t="shared" si="2"/>
        <v>17.106615868408319</v>
      </c>
      <c r="N75" s="188">
        <f t="shared" si="3"/>
        <v>342.13231736816641</v>
      </c>
      <c r="O75" s="188">
        <f t="shared" si="4"/>
        <v>3421.3231736816642</v>
      </c>
      <c r="P75" s="194">
        <f>IF(AND(COUNTIFS('Spray Adhesives'!$B$20:$B$44, A75, 'Spray Adhesives'!$E$20:$E$44, H75)=1, SUMIFS('Spray Adhesives'!$Q$20:$Q$44, 'Spray Adhesives'!$B$20:$B$44, A75, 'Spray Adhesives'!$E$20:$E$44, H75)&gt;0), SUMIFS('Spray Adhesives'!$Q$20:$Q$44, 'Spray Adhesives'!$B$20:$B$44, A75, 'Spray Adhesives'!$E$20:$E$44, H75), "-")</f>
        <v>2.4177350427350426</v>
      </c>
      <c r="Q75" s="188">
        <f t="shared" si="5"/>
        <v>24.177350427350426</v>
      </c>
      <c r="R75" s="188">
        <f t="shared" si="6"/>
        <v>60.443376068376068</v>
      </c>
      <c r="S75" s="188">
        <f t="shared" si="7"/>
        <v>120.88675213675214</v>
      </c>
      <c r="T75" s="188">
        <f t="shared" si="8"/>
        <v>2417.7350427350425</v>
      </c>
      <c r="U75" s="189">
        <f t="shared" si="9"/>
        <v>24177.350427350426</v>
      </c>
    </row>
    <row r="76" spans="1:21" x14ac:dyDescent="0.25">
      <c r="A76" s="337" t="s">
        <v>66</v>
      </c>
      <c r="B76" s="591"/>
      <c r="C76" s="584"/>
      <c r="D76" s="617"/>
      <c r="E76" s="598"/>
      <c r="F76" s="602" t="s">
        <v>186</v>
      </c>
      <c r="G76" s="607"/>
      <c r="H76" s="334" t="s">
        <v>38</v>
      </c>
      <c r="I76" s="327">
        <f>VLOOKUP(A76, 'Look-up Values'!$F$6:$J$14, 5, FALSE)</f>
        <v>100</v>
      </c>
      <c r="J76" s="193">
        <f>IF(AND(COUNTIFS('Spray Adhesives'!$B$20:$B$44, A76, 'Spray Adhesives'!$E$20:$E$44, H76)=1, SUMIFS('Spray Adhesives'!$G$20:$G$44, 'Spray Adhesives'!$B$20:$B$44, A76, 'Spray Adhesives'!$E$20:$E$44, H76)&gt;0), SUMIFS('Spray Adhesives'!$G$20:$G$44, 'Spray Adhesives'!$B$20:$B$44, A76, 'Spray Adhesives'!$E$20:$E$44, H76), "-")</f>
        <v>0.11318655259845677</v>
      </c>
      <c r="K76" s="188">
        <f t="shared" si="0"/>
        <v>1.1318655259845676</v>
      </c>
      <c r="L76" s="188">
        <f t="shared" si="1"/>
        <v>2.8296638149614193</v>
      </c>
      <c r="M76" s="188">
        <f t="shared" si="2"/>
        <v>5.6593276299228386</v>
      </c>
      <c r="N76" s="188">
        <f t="shared" si="3"/>
        <v>113.18655259845677</v>
      </c>
      <c r="O76" s="188">
        <f t="shared" si="4"/>
        <v>1131.8655259845677</v>
      </c>
      <c r="P76" s="194">
        <f>IF(AND(COUNTIFS('Spray Adhesives'!$B$20:$B$44, A76, 'Spray Adhesives'!$E$20:$E$44, H76)=1, SUMIFS('Spray Adhesives'!$Q$20:$Q$44, 'Spray Adhesives'!$B$20:$B$44, A76, 'Spray Adhesives'!$E$20:$E$44, H76)&gt;0), SUMIFS('Spray Adhesives'!$Q$20:$Q$44, 'Spray Adhesives'!$B$20:$B$44, A76, 'Spray Adhesives'!$E$20:$E$44, H76), "-")</f>
        <v>0.82750986877200494</v>
      </c>
      <c r="Q76" s="188">
        <f t="shared" si="5"/>
        <v>8.2750986877200496</v>
      </c>
      <c r="R76" s="188">
        <f t="shared" si="6"/>
        <v>20.687746719300122</v>
      </c>
      <c r="S76" s="188">
        <f t="shared" si="7"/>
        <v>41.375493438600245</v>
      </c>
      <c r="T76" s="188">
        <f t="shared" si="8"/>
        <v>827.50986877200489</v>
      </c>
      <c r="U76" s="189">
        <f t="shared" si="9"/>
        <v>8275.0986877200503</v>
      </c>
    </row>
    <row r="77" spans="1:21" x14ac:dyDescent="0.25">
      <c r="A77" s="337" t="s">
        <v>66</v>
      </c>
      <c r="B77" s="591"/>
      <c r="C77" s="584"/>
      <c r="D77" s="617"/>
      <c r="E77" s="598"/>
      <c r="F77" s="603"/>
      <c r="G77" s="608"/>
      <c r="H77" s="334" t="s">
        <v>40</v>
      </c>
      <c r="I77" s="327">
        <f>VLOOKUP(A77, 'Look-up Values'!$F$6:$J$14, 5, FALSE)</f>
        <v>100</v>
      </c>
      <c r="J77" s="193">
        <f>IF(AND(COUNTIFS('Spray Adhesives'!$B$20:$B$44, A77, 'Spray Adhesives'!$E$20:$E$44, H77)=1, SUMIFS('Spray Adhesives'!$G$20:$G$44, 'Spray Adhesives'!$B$20:$B$44, A77, 'Spray Adhesives'!$E$20:$E$44, H77)&gt;0), SUMIFS('Spray Adhesives'!$G$20:$G$44, 'Spray Adhesives'!$B$20:$B$44, A77, 'Spray Adhesives'!$E$20:$E$44, H77), "-")</f>
        <v>0.18762094823415579</v>
      </c>
      <c r="K77" s="188">
        <f t="shared" si="0"/>
        <v>1.8762094823415578</v>
      </c>
      <c r="L77" s="188">
        <f t="shared" si="1"/>
        <v>4.6905237058538951</v>
      </c>
      <c r="M77" s="188">
        <f t="shared" si="2"/>
        <v>9.3810474117077902</v>
      </c>
      <c r="N77" s="188">
        <f t="shared" si="3"/>
        <v>187.62094823415578</v>
      </c>
      <c r="O77" s="188">
        <f t="shared" si="4"/>
        <v>1876.209482341558</v>
      </c>
      <c r="P77" s="194">
        <f>IF(AND(COUNTIFS('Spray Adhesives'!$B$20:$B$44, A77, 'Spray Adhesives'!$E$20:$E$44, H77)=1, SUMIFS('Spray Adhesives'!$Q$20:$Q$44, 'Spray Adhesives'!$B$20:$B$44, A77, 'Spray Adhesives'!$E$20:$E$44, H77)&gt;0), SUMIFS('Spray Adhesives'!$Q$20:$Q$44, 'Spray Adhesives'!$B$20:$B$44, A77, 'Spray Adhesives'!$E$20:$E$44, H77), "-")</f>
        <v>1.3258547008547008</v>
      </c>
      <c r="Q77" s="188">
        <f t="shared" si="5"/>
        <v>13.258547008547009</v>
      </c>
      <c r="R77" s="188">
        <f t="shared" si="6"/>
        <v>33.146367521367523</v>
      </c>
      <c r="S77" s="188">
        <f t="shared" si="7"/>
        <v>66.292735042735046</v>
      </c>
      <c r="T77" s="188">
        <f t="shared" si="8"/>
        <v>1325.8547008547007</v>
      </c>
      <c r="U77" s="189">
        <f t="shared" si="9"/>
        <v>13258.547008547008</v>
      </c>
    </row>
    <row r="78" spans="1:21" x14ac:dyDescent="0.25">
      <c r="A78" s="337" t="s">
        <v>67</v>
      </c>
      <c r="B78" s="591"/>
      <c r="C78" s="584"/>
      <c r="D78" s="617"/>
      <c r="E78" s="598"/>
      <c r="F78" s="596" t="s">
        <v>192</v>
      </c>
      <c r="G78" s="593" t="s">
        <v>193</v>
      </c>
      <c r="H78" s="334" t="s">
        <v>38</v>
      </c>
      <c r="I78" s="331">
        <f>VLOOKUP(A78, 'Look-up Values'!$F$6:$J$11, 5, FALSE)</f>
        <v>100</v>
      </c>
      <c r="J78" s="193">
        <f>IF(AND(COUNTIFS('Spray Adhesives'!$B$20:$B$44, A78, 'Spray Adhesives'!$E$20:$E$44, H78)=1, SUMIFS('Spray Adhesives'!$G$20:$G$44, 'Spray Adhesives'!$B$20:$B$44, A78, 'Spray Adhesives'!$E$20:$E$44, H78)&gt;0), SUMIFS('Spray Adhesives'!$G$20:$G$44, 'Spray Adhesives'!$B$20:$B$44, A78, 'Spray Adhesives'!$E$20:$E$44, H78), "-")</f>
        <v>0.11856770215793215</v>
      </c>
      <c r="K78" s="188">
        <f t="shared" si="0"/>
        <v>1.1856770215793215</v>
      </c>
      <c r="L78" s="188">
        <f t="shared" si="1"/>
        <v>2.9641925539483038</v>
      </c>
      <c r="M78" s="188">
        <f t="shared" si="2"/>
        <v>5.9283851078966077</v>
      </c>
      <c r="N78" s="188">
        <f t="shared" si="3"/>
        <v>118.56770215793215</v>
      </c>
      <c r="O78" s="188">
        <f t="shared" si="4"/>
        <v>1185.6770215793215</v>
      </c>
      <c r="P78" s="194">
        <f>IF(AND(COUNTIFS('Spray Adhesives'!$B$20:$B$44, A78, 'Spray Adhesives'!$E$20:$E$44, H78)=1, SUMIFS('Spray Adhesives'!$Q$20:$Q$44, 'Spray Adhesives'!$B$20:$B$44, A78, 'Spray Adhesives'!$E$20:$E$44, H78)&gt;0), SUMIFS('Spray Adhesives'!$Q$20:$Q$44, 'Spray Adhesives'!$B$20:$B$44, A78, 'Spray Adhesives'!$E$20:$E$44, H78), "-")</f>
        <v>0.86685159500693498</v>
      </c>
      <c r="Q78" s="188">
        <f t="shared" si="5"/>
        <v>8.6685159500693505</v>
      </c>
      <c r="R78" s="188">
        <f t="shared" si="6"/>
        <v>21.671289875173375</v>
      </c>
      <c r="S78" s="188">
        <f t="shared" si="7"/>
        <v>43.342579750346751</v>
      </c>
      <c r="T78" s="188">
        <f t="shared" si="8"/>
        <v>866.85159500693499</v>
      </c>
      <c r="U78" s="189">
        <f t="shared" si="9"/>
        <v>8668.5159500693499</v>
      </c>
    </row>
    <row r="79" spans="1:21" x14ac:dyDescent="0.25">
      <c r="A79" s="337" t="s">
        <v>67</v>
      </c>
      <c r="B79" s="591"/>
      <c r="C79" s="584"/>
      <c r="D79" s="617"/>
      <c r="E79" s="598"/>
      <c r="F79" s="596"/>
      <c r="G79" s="593"/>
      <c r="H79" s="334" t="s">
        <v>40</v>
      </c>
      <c r="I79" s="331">
        <f>VLOOKUP(A79, 'Look-up Values'!$F$6:$J$11, 5, FALSE)</f>
        <v>100</v>
      </c>
      <c r="J79" s="193">
        <f>IF(AND(COUNTIFS('Spray Adhesives'!$B$20:$B$44, A79, 'Spray Adhesives'!$E$20:$E$44, H79)=1, SUMIFS('Spray Adhesives'!$G$20:$G$44, 'Spray Adhesives'!$B$20:$B$44, A79, 'Spray Adhesives'!$E$20:$E$44, H79)&gt;0), SUMIFS('Spray Adhesives'!$G$20:$G$44, 'Spray Adhesives'!$B$20:$B$44, A79, 'Spray Adhesives'!$E$20:$E$44, H79), "-")</f>
        <v>0.19654088050314464</v>
      </c>
      <c r="K79" s="188">
        <f t="shared" si="0"/>
        <v>1.9654088050314464</v>
      </c>
      <c r="L79" s="188">
        <f t="shared" si="1"/>
        <v>4.9135220125786159</v>
      </c>
      <c r="M79" s="188">
        <f t="shared" si="2"/>
        <v>9.8270440251572317</v>
      </c>
      <c r="N79" s="188">
        <f t="shared" si="3"/>
        <v>196.54088050314465</v>
      </c>
      <c r="O79" s="188">
        <f t="shared" si="4"/>
        <v>1965.4088050314465</v>
      </c>
      <c r="P79" s="194">
        <f>IF(AND(COUNTIFS('Spray Adhesives'!$B$20:$B$44, A79, 'Spray Adhesives'!$E$20:$E$44, H79)=1, SUMIFS('Spray Adhesives'!$Q$20:$Q$44, 'Spray Adhesives'!$B$20:$B$44, A79, 'Spray Adhesives'!$E$20:$E$44, H79)&gt;0), SUMIFS('Spray Adhesives'!$Q$20:$Q$44, 'Spray Adhesives'!$B$20:$B$44, A79, 'Spray Adhesives'!$E$20:$E$44, H79), "-")</f>
        <v>1.3888888888888888</v>
      </c>
      <c r="Q79" s="188">
        <f t="shared" si="5"/>
        <v>13.888888888888889</v>
      </c>
      <c r="R79" s="188">
        <f t="shared" si="6"/>
        <v>34.722222222222221</v>
      </c>
      <c r="S79" s="188">
        <f t="shared" si="7"/>
        <v>69.444444444444443</v>
      </c>
      <c r="T79" s="188">
        <f t="shared" si="8"/>
        <v>1388.8888888888889</v>
      </c>
      <c r="U79" s="189">
        <f t="shared" si="9"/>
        <v>13888.888888888889</v>
      </c>
    </row>
    <row r="80" spans="1:21" x14ac:dyDescent="0.25">
      <c r="A80" s="338" t="s">
        <v>76</v>
      </c>
      <c r="B80" s="591"/>
      <c r="C80" s="584"/>
      <c r="D80" s="617"/>
      <c r="E80" s="598" t="s">
        <v>194</v>
      </c>
      <c r="F80" s="596" t="s">
        <v>195</v>
      </c>
      <c r="G80" s="593"/>
      <c r="H80" s="334" t="s">
        <v>38</v>
      </c>
      <c r="I80" s="332">
        <f>0.0001</f>
        <v>1E-4</v>
      </c>
      <c r="J80" s="193">
        <f>IF(AND(COUNTIFS('Spray Adhesives'!$B$20:$B$44, A80, 'Spray Adhesives'!$E$20:$E$44, H80)=1, SUMIFS('Spray Adhesives'!$G$20:$G$44, 'Spray Adhesives'!$B$20:$B$44, A80, 'Spray Adhesives'!$E$20:$E$44, H80)&gt;0), SUMIFS('Spray Adhesives'!$G$20:$G$44, 'Spray Adhesives'!$B$20:$B$44, A80, 'Spray Adhesives'!$E$20:$E$44, H80), "-")</f>
        <v>0.43251282051282064</v>
      </c>
      <c r="K80" s="188">
        <f t="shared" si="0"/>
        <v>4.3251282051282064E-2</v>
      </c>
      <c r="L80" s="188">
        <f t="shared" si="1"/>
        <v>1.7300512820512825E-2</v>
      </c>
      <c r="M80" s="188">
        <f t="shared" si="2"/>
        <v>8.6502564102564124E-3</v>
      </c>
      <c r="N80" s="188">
        <f t="shared" si="3"/>
        <v>4.3251282051282063E-4</v>
      </c>
      <c r="O80" s="188">
        <f t="shared" si="4"/>
        <v>4.3251282051282066E-5</v>
      </c>
      <c r="P80" s="194">
        <f>IF(AND(COUNTIFS('Spray Adhesives'!$B$20:$B$44, A80, 'Spray Adhesives'!$E$20:$E$44, H80)=1, SUMIFS('Spray Adhesives'!$Q$20:$Q$44, 'Spray Adhesives'!$B$20:$B$44, A80, 'Spray Adhesives'!$E$20:$E$44, H80)&gt;0), SUMIFS('Spray Adhesives'!$Q$20:$Q$44, 'Spray Adhesives'!$B$20:$B$44, A80, 'Spray Adhesives'!$E$20:$E$44, H80), "-")</f>
        <v>5.9158974358974346E-2</v>
      </c>
      <c r="Q80" s="188">
        <f t="shared" si="5"/>
        <v>5.9158974358974343E-3</v>
      </c>
      <c r="R80" s="188">
        <f t="shared" si="6"/>
        <v>2.366358974358974E-3</v>
      </c>
      <c r="S80" s="188">
        <f t="shared" si="7"/>
        <v>1.183179487179487E-3</v>
      </c>
      <c r="T80" s="188">
        <f t="shared" si="8"/>
        <v>5.9158974358974348E-5</v>
      </c>
      <c r="U80" s="189">
        <f t="shared" si="9"/>
        <v>5.9158974358974345E-6</v>
      </c>
    </row>
    <row r="81" spans="1:21" ht="13.5" thickBot="1" x14ac:dyDescent="0.3">
      <c r="A81" s="338" t="s">
        <v>76</v>
      </c>
      <c r="B81" s="592"/>
      <c r="C81" s="585"/>
      <c r="D81" s="618"/>
      <c r="E81" s="604"/>
      <c r="F81" s="605"/>
      <c r="G81" s="594"/>
      <c r="H81" s="342" t="s">
        <v>40</v>
      </c>
      <c r="I81" s="333">
        <f>0.0001</f>
        <v>1E-4</v>
      </c>
      <c r="J81" s="345">
        <f>IF(AND(COUNTIFS('Spray Adhesives'!$B$20:$B$44, A81, 'Spray Adhesives'!$E$20:$E$44, H81)=1, SUMIFS('Spray Adhesives'!$G$20:$G$44, 'Spray Adhesives'!$B$20:$B$44, A81, 'Spray Adhesives'!$E$20:$E$44, H81)&gt;0), SUMIFS('Spray Adhesives'!$G$20:$G$44, 'Spray Adhesives'!$B$20:$B$44, A81, 'Spray Adhesives'!$E$20:$E$44, H81), "-")</f>
        <v>0.2022153846153846</v>
      </c>
      <c r="K81" s="191">
        <f t="shared" si="0"/>
        <v>2.0221538461538461E-2</v>
      </c>
      <c r="L81" s="191">
        <f t="shared" si="1"/>
        <v>8.0886153846153833E-3</v>
      </c>
      <c r="M81" s="191">
        <f t="shared" si="2"/>
        <v>4.0443076923076917E-3</v>
      </c>
      <c r="N81" s="191">
        <f t="shared" si="3"/>
        <v>2.022153846153846E-4</v>
      </c>
      <c r="O81" s="191">
        <f t="shared" si="4"/>
        <v>2.0221538461538461E-5</v>
      </c>
      <c r="P81" s="344">
        <f>IF(AND(COUNTIFS('Spray Adhesives'!$B$20:$B$44, A81, 'Spray Adhesives'!$E$20:$E$44, H81)=1, SUMIFS('Spray Adhesives'!$Q$20:$Q$44, 'Spray Adhesives'!$B$20:$B$44, A81, 'Spray Adhesives'!$E$20:$E$44, H81)&gt;0), SUMIFS('Spray Adhesives'!$Q$20:$Q$44, 'Spray Adhesives'!$B$20:$B$44, A81, 'Spray Adhesives'!$E$20:$E$44, H81), "-")</f>
        <v>2.8615384615384619E-2</v>
      </c>
      <c r="Q81" s="191">
        <f t="shared" si="5"/>
        <v>2.8615384615384618E-3</v>
      </c>
      <c r="R81" s="191">
        <f t="shared" si="6"/>
        <v>1.1446153846153848E-3</v>
      </c>
      <c r="S81" s="191">
        <f t="shared" si="7"/>
        <v>5.7230769230769238E-4</v>
      </c>
      <c r="T81" s="191">
        <f t="shared" si="8"/>
        <v>2.8615384615384618E-5</v>
      </c>
      <c r="U81" s="192">
        <f t="shared" si="9"/>
        <v>2.8615384615384619E-6</v>
      </c>
    </row>
    <row r="82" spans="1:21" ht="12.75" customHeight="1" x14ac:dyDescent="0.25">
      <c r="A82" s="336" t="s">
        <v>49</v>
      </c>
      <c r="B82" s="590" t="s">
        <v>9</v>
      </c>
      <c r="C82" s="583" t="s">
        <v>80</v>
      </c>
      <c r="D82" s="609" t="s">
        <v>196</v>
      </c>
      <c r="E82" s="599" t="s">
        <v>183</v>
      </c>
      <c r="F82" s="595" t="s">
        <v>184</v>
      </c>
      <c r="G82" s="597" t="s">
        <v>185</v>
      </c>
      <c r="H82" s="340" t="s">
        <v>38</v>
      </c>
      <c r="I82" s="330">
        <f>VLOOKUP(A82, 'Look-up Values'!$F$6:$J$11, 5, FALSE)</f>
        <v>100</v>
      </c>
      <c r="J82" s="184">
        <f>IF(AND(COUNTIFS('Spray Adhesives'!$B$20:$B$44, A82, 'Spray Adhesives'!$E$20:$E$44, H82)=1, SUMIFS('Spray Adhesives'!$H$20:$H$44, 'Spray Adhesives'!$B$20:$B$44, A82, 'Spray Adhesives'!$E$20:$E$44, H82)&gt;0), SUMIFS('Spray Adhesives'!$H$20:$H$44, 'Spray Adhesives'!$B$20:$B$44, A82, 'Spray Adhesives'!$E$20:$E$44, H82), "-")</f>
        <v>0.24094512669050205</v>
      </c>
      <c r="K82" s="185">
        <f t="shared" si="0"/>
        <v>2.4094512669050205</v>
      </c>
      <c r="L82" s="185">
        <f t="shared" si="1"/>
        <v>6.0236281672625509</v>
      </c>
      <c r="M82" s="185">
        <f t="shared" si="2"/>
        <v>12.047256334525102</v>
      </c>
      <c r="N82" s="185">
        <f t="shared" si="3"/>
        <v>240.94512669050206</v>
      </c>
      <c r="O82" s="185">
        <f t="shared" si="4"/>
        <v>2409.4512669050205</v>
      </c>
      <c r="P82" s="185">
        <f>IF(AND(COUNTIFS('Spray Adhesives'!$B$20:$B$44, A82, 'Spray Adhesives'!$E$20:$E$44, H82)=1, SUMIFS('Spray Adhesives'!$R$20:$R$44, 'Spray Adhesives'!$B$20:$B$44, A82, 'Spray Adhesives'!$E$20:$E$44, H82)&gt;0), SUMIFS('Spray Adhesives'!$R$20:$R$44, 'Spray Adhesives'!$B$20:$B$44, A82, 'Spray Adhesives'!$E$20:$E$44, H82), "-")</f>
        <v>5.6569343065693438</v>
      </c>
      <c r="Q82" s="185">
        <f t="shared" si="5"/>
        <v>56.569343065693438</v>
      </c>
      <c r="R82" s="185">
        <f t="shared" si="6"/>
        <v>141.42335766423361</v>
      </c>
      <c r="S82" s="185">
        <f t="shared" si="7"/>
        <v>282.84671532846721</v>
      </c>
      <c r="T82" s="185">
        <f t="shared" si="8"/>
        <v>5656.9343065693438</v>
      </c>
      <c r="U82" s="186">
        <f t="shared" si="9"/>
        <v>56569.343065693436</v>
      </c>
    </row>
    <row r="83" spans="1:21" ht="15" customHeight="1" x14ac:dyDescent="0.25">
      <c r="A83" s="337" t="s">
        <v>49</v>
      </c>
      <c r="B83" s="591"/>
      <c r="C83" s="584"/>
      <c r="D83" s="598"/>
      <c r="E83" s="600"/>
      <c r="F83" s="596"/>
      <c r="G83" s="593"/>
      <c r="H83" s="334" t="s">
        <v>40</v>
      </c>
      <c r="I83" s="331">
        <f>VLOOKUP(A83, 'Look-up Values'!$F$6:$J$11, 5, FALSE)</f>
        <v>100</v>
      </c>
      <c r="J83" s="187">
        <f>IF(AND(COUNTIFS('Spray Adhesives'!$B$20:$B$44, A83, 'Spray Adhesives'!$E$20:$E$44, H83)=1, SUMIFS('Spray Adhesives'!$H$20:$H$44, 'Spray Adhesives'!$B$20:$B$44, A83, 'Spray Adhesives'!$E$20:$E$44, H83)&gt;0), SUMIFS('Spray Adhesives'!$H$20:$H$44, 'Spray Adhesives'!$B$20:$B$44, A83, 'Spray Adhesives'!$E$20:$E$44, H83), "-")</f>
        <v>10.333333333333334</v>
      </c>
      <c r="K83" s="188">
        <f t="shared" si="0"/>
        <v>103.33333333333334</v>
      </c>
      <c r="L83" s="188">
        <f t="shared" si="1"/>
        <v>258.33333333333337</v>
      </c>
      <c r="M83" s="188">
        <f t="shared" si="2"/>
        <v>516.66666666666674</v>
      </c>
      <c r="N83" s="188">
        <f t="shared" si="3"/>
        <v>10333.333333333334</v>
      </c>
      <c r="O83" s="188">
        <f t="shared" si="4"/>
        <v>103333.33333333334</v>
      </c>
      <c r="P83" s="188">
        <f>IF(AND(COUNTIFS('Spray Adhesives'!$B$20:$B$44, A83, 'Spray Adhesives'!$E$20:$E$44, H83)=1, SUMIFS('Spray Adhesives'!$R$20:$R$44, 'Spray Adhesives'!$B$20:$B$44, A83, 'Spray Adhesives'!$E$20:$E$44, H83)&gt;0), SUMIFS('Spray Adhesives'!$R$20:$R$44, 'Spray Adhesives'!$B$20:$B$44, A83, 'Spray Adhesives'!$E$20:$E$44, H83), "-")</f>
        <v>15.5</v>
      </c>
      <c r="Q83" s="188">
        <f t="shared" si="5"/>
        <v>155</v>
      </c>
      <c r="R83" s="188">
        <f t="shared" si="6"/>
        <v>387.5</v>
      </c>
      <c r="S83" s="188">
        <f t="shared" si="7"/>
        <v>775</v>
      </c>
      <c r="T83" s="188">
        <f t="shared" si="8"/>
        <v>15500</v>
      </c>
      <c r="U83" s="189">
        <f t="shared" si="9"/>
        <v>155000</v>
      </c>
    </row>
    <row r="84" spans="1:21" ht="15" customHeight="1" x14ac:dyDescent="0.25">
      <c r="A84" s="337" t="s">
        <v>51</v>
      </c>
      <c r="B84" s="591"/>
      <c r="C84" s="584"/>
      <c r="D84" s="598"/>
      <c r="E84" s="600"/>
      <c r="F84" s="602" t="s">
        <v>186</v>
      </c>
      <c r="G84" s="593"/>
      <c r="H84" s="334" t="s">
        <v>38</v>
      </c>
      <c r="I84" s="327">
        <f>VLOOKUP(A84, 'Look-up Values'!$F$6:$J$14, 5, FALSE)</f>
        <v>100</v>
      </c>
      <c r="J84" s="187">
        <f>IF(AND(COUNTIFS('Spray Adhesives'!$B$20:$B$44, A84, 'Spray Adhesives'!$E$20:$E$44, H84)=1, SUMIFS('Spray Adhesives'!$H$20:$H$44, 'Spray Adhesives'!$B$20:$B$44, A84, 'Spray Adhesives'!$E$20:$E$44, H84)&gt;0), SUMIFS('Spray Adhesives'!$H$20:$H$44, 'Spray Adhesives'!$B$20:$B$44, A84, 'Spray Adhesives'!$E$20:$E$44, H84), "-")</f>
        <v>0.13213119850769467</v>
      </c>
      <c r="K84" s="188">
        <f t="shared" si="0"/>
        <v>1.3213119850769468</v>
      </c>
      <c r="L84" s="188">
        <f t="shared" si="1"/>
        <v>3.3032799626923666</v>
      </c>
      <c r="M84" s="188">
        <f t="shared" si="2"/>
        <v>6.6065599253847331</v>
      </c>
      <c r="N84" s="188">
        <f t="shared" si="3"/>
        <v>132.13119850769468</v>
      </c>
      <c r="O84" s="188">
        <f t="shared" si="4"/>
        <v>1321.3119850769467</v>
      </c>
      <c r="P84" s="188">
        <f>IF(AND(COUNTIFS('Spray Adhesives'!$B$20:$B$44, A84, 'Spray Adhesives'!$E$20:$E$44, H84)=1, SUMIFS('Spray Adhesives'!$R$20:$R$44, 'Spray Adhesives'!$B$20:$B$44, A84, 'Spray Adhesives'!$E$20:$E$44, H84)&gt;0), SUMIFS('Spray Adhesives'!$R$20:$R$44, 'Spray Adhesives'!$B$20:$B$44, A84, 'Spray Adhesives'!$E$20:$E$44, H84), "-")</f>
        <v>3.1021897810218979</v>
      </c>
      <c r="Q84" s="188">
        <f t="shared" si="5"/>
        <v>31.021897810218981</v>
      </c>
      <c r="R84" s="188">
        <f t="shared" si="6"/>
        <v>77.554744525547449</v>
      </c>
      <c r="S84" s="188">
        <f t="shared" si="7"/>
        <v>155.1094890510949</v>
      </c>
      <c r="T84" s="188">
        <f t="shared" si="8"/>
        <v>3102.1897810218979</v>
      </c>
      <c r="U84" s="189">
        <f t="shared" si="9"/>
        <v>31021.897810218979</v>
      </c>
    </row>
    <row r="85" spans="1:21" ht="15" customHeight="1" x14ac:dyDescent="0.25">
      <c r="A85" s="337" t="s">
        <v>51</v>
      </c>
      <c r="B85" s="591"/>
      <c r="C85" s="584"/>
      <c r="D85" s="598"/>
      <c r="E85" s="601"/>
      <c r="F85" s="603"/>
      <c r="G85" s="593"/>
      <c r="H85" s="334" t="s">
        <v>40</v>
      </c>
      <c r="I85" s="327">
        <f>VLOOKUP(A85, 'Look-up Values'!$F$6:$J$14, 5, FALSE)</f>
        <v>100</v>
      </c>
      <c r="J85" s="187">
        <f>IF(AND(COUNTIFS('Spray Adhesives'!$B$20:$B$44, A85, 'Spray Adhesives'!$E$20:$E$44, H85)=1, SUMIFS('Spray Adhesives'!$H$20:$H$44, 'Spray Adhesives'!$B$20:$B$44, A85, 'Spray Adhesives'!$E$20:$E$44, H85)&gt;0), SUMIFS('Spray Adhesives'!$H$20:$H$44, 'Spray Adhesives'!$B$20:$B$44, A85, 'Spray Adhesives'!$E$20:$E$44, H85), "-")</f>
        <v>5.666666666666667</v>
      </c>
      <c r="K85" s="188">
        <f t="shared" si="0"/>
        <v>56.666666666666671</v>
      </c>
      <c r="L85" s="188">
        <f t="shared" si="1"/>
        <v>141.66666666666669</v>
      </c>
      <c r="M85" s="188">
        <f t="shared" si="2"/>
        <v>283.33333333333337</v>
      </c>
      <c r="N85" s="188">
        <f t="shared" si="3"/>
        <v>5666.666666666667</v>
      </c>
      <c r="O85" s="188">
        <f t="shared" si="4"/>
        <v>56666.666666666672</v>
      </c>
      <c r="P85" s="188">
        <f>IF(AND(COUNTIFS('Spray Adhesives'!$B$20:$B$44, A85, 'Spray Adhesives'!$E$20:$E$44, H85)=1, SUMIFS('Spray Adhesives'!$R$20:$R$44, 'Spray Adhesives'!$B$20:$B$44, A85, 'Spray Adhesives'!$E$20:$E$44, H85)&gt;0), SUMIFS('Spray Adhesives'!$R$20:$R$44, 'Spray Adhesives'!$B$20:$B$44, A85, 'Spray Adhesives'!$E$20:$E$44, H85), "-")</f>
        <v>8.5</v>
      </c>
      <c r="Q85" s="188">
        <f t="shared" si="5"/>
        <v>85</v>
      </c>
      <c r="R85" s="188">
        <f t="shared" si="6"/>
        <v>212.5</v>
      </c>
      <c r="S85" s="188">
        <f t="shared" si="7"/>
        <v>425</v>
      </c>
      <c r="T85" s="188">
        <f t="shared" si="8"/>
        <v>8500</v>
      </c>
      <c r="U85" s="189">
        <f t="shared" si="9"/>
        <v>85000</v>
      </c>
    </row>
    <row r="86" spans="1:21" x14ac:dyDescent="0.25">
      <c r="A86" s="337" t="s">
        <v>59</v>
      </c>
      <c r="B86" s="591"/>
      <c r="C86" s="584"/>
      <c r="D86" s="598"/>
      <c r="E86" s="598" t="s">
        <v>187</v>
      </c>
      <c r="F86" s="596" t="s">
        <v>188</v>
      </c>
      <c r="G86" s="593"/>
      <c r="H86" s="334" t="s">
        <v>38</v>
      </c>
      <c r="I86" s="331">
        <f>VLOOKUP(A86, 'Look-up Values'!$F$6:$J$11, 5, FALSE)</f>
        <v>100</v>
      </c>
      <c r="J86" s="187">
        <f>IF(AND(COUNTIFS('Spray Adhesives'!$B$20:$B$44, A86, 'Spray Adhesives'!$E$20:$E$44, H86)=1, SUMIFS('Spray Adhesives'!$H$20:$H$44, 'Spray Adhesives'!$B$20:$B$44, A86, 'Spray Adhesives'!$E$20:$E$44, H86)&gt;0), SUMIFS('Spray Adhesives'!$H$20:$H$44, 'Spray Adhesives'!$B$20:$B$44, A86, 'Spray Adhesives'!$E$20:$E$44, H86), "-")</f>
        <v>1.1658635162443647</v>
      </c>
      <c r="K86" s="188">
        <f t="shared" si="0"/>
        <v>11.658635162443646</v>
      </c>
      <c r="L86" s="188">
        <f t="shared" si="1"/>
        <v>29.146587906109119</v>
      </c>
      <c r="M86" s="188">
        <f t="shared" si="2"/>
        <v>58.293175812218237</v>
      </c>
      <c r="N86" s="188">
        <f t="shared" si="3"/>
        <v>1165.8635162443647</v>
      </c>
      <c r="O86" s="188">
        <f t="shared" si="4"/>
        <v>11658.635162443647</v>
      </c>
      <c r="P86" s="188">
        <f>IF(AND(COUNTIFS('Spray Adhesives'!$B$20:$B$44, A86, 'Spray Adhesives'!$E$20:$E$44, H86)=1, SUMIFS('Spray Adhesives'!$R$20:$R$44, 'Spray Adhesives'!$B$20:$B$44, A86, 'Spray Adhesives'!$E$20:$E$44, H86)&gt;0), SUMIFS('Spray Adhesives'!$R$20:$R$44, 'Spray Adhesives'!$B$20:$B$44, A86, 'Spray Adhesives'!$E$20:$E$44, H86), "-")</f>
        <v>27.372262773722625</v>
      </c>
      <c r="Q86" s="188">
        <f t="shared" si="5"/>
        <v>273.72262773722628</v>
      </c>
      <c r="R86" s="188">
        <f t="shared" si="6"/>
        <v>684.30656934306558</v>
      </c>
      <c r="S86" s="188">
        <f t="shared" si="7"/>
        <v>1368.6131386861312</v>
      </c>
      <c r="T86" s="188">
        <f t="shared" si="8"/>
        <v>27372.262773722625</v>
      </c>
      <c r="U86" s="189">
        <f t="shared" si="9"/>
        <v>273722.62773722626</v>
      </c>
    </row>
    <row r="87" spans="1:21" x14ac:dyDescent="0.25">
      <c r="A87" s="337" t="s">
        <v>59</v>
      </c>
      <c r="B87" s="591"/>
      <c r="C87" s="584"/>
      <c r="D87" s="598"/>
      <c r="E87" s="598"/>
      <c r="F87" s="596"/>
      <c r="G87" s="593"/>
      <c r="H87" s="334" t="s">
        <v>40</v>
      </c>
      <c r="I87" s="331">
        <f>VLOOKUP(A87, 'Look-up Values'!$F$6:$J$11, 5, FALSE)</f>
        <v>100</v>
      </c>
      <c r="J87" s="187">
        <f>IF(AND(COUNTIFS('Spray Adhesives'!$B$20:$B$44, A87, 'Spray Adhesives'!$E$20:$E$44, H87)=1, SUMIFS('Spray Adhesives'!$H$20:$H$44, 'Spray Adhesives'!$B$20:$B$44, A87, 'Spray Adhesives'!$E$20:$E$44, H87)&gt;0), SUMIFS('Spray Adhesives'!$H$20:$H$44, 'Spray Adhesives'!$B$20:$B$44, A87, 'Spray Adhesives'!$E$20:$E$44, H87), "-")</f>
        <v>50</v>
      </c>
      <c r="K87" s="188">
        <f t="shared" si="0"/>
        <v>500</v>
      </c>
      <c r="L87" s="188">
        <f t="shared" si="1"/>
        <v>1250</v>
      </c>
      <c r="M87" s="188">
        <f t="shared" si="2"/>
        <v>2500</v>
      </c>
      <c r="N87" s="188">
        <f t="shared" si="3"/>
        <v>50000</v>
      </c>
      <c r="O87" s="188">
        <f t="shared" si="4"/>
        <v>500000</v>
      </c>
      <c r="P87" s="188">
        <f>IF(AND(COUNTIFS('Spray Adhesives'!$B$20:$B$44, A87, 'Spray Adhesives'!$E$20:$E$44, H87)=1, SUMIFS('Spray Adhesives'!$R$20:$R$44, 'Spray Adhesives'!$B$20:$B$44, A87, 'Spray Adhesives'!$E$20:$E$44, H87)&gt;0), SUMIFS('Spray Adhesives'!$R$20:$R$44, 'Spray Adhesives'!$B$20:$B$44, A87, 'Spray Adhesives'!$E$20:$E$44, H87), "-")</f>
        <v>75</v>
      </c>
      <c r="Q87" s="188">
        <f t="shared" si="5"/>
        <v>750</v>
      </c>
      <c r="R87" s="188">
        <f t="shared" si="6"/>
        <v>1875</v>
      </c>
      <c r="S87" s="188">
        <f t="shared" si="7"/>
        <v>3750</v>
      </c>
      <c r="T87" s="188">
        <f t="shared" si="8"/>
        <v>75000</v>
      </c>
      <c r="U87" s="189">
        <f t="shared" si="9"/>
        <v>750000</v>
      </c>
    </row>
    <row r="88" spans="1:21" x14ac:dyDescent="0.25">
      <c r="A88" s="337" t="s">
        <v>61</v>
      </c>
      <c r="B88" s="591"/>
      <c r="C88" s="584"/>
      <c r="D88" s="598"/>
      <c r="E88" s="598"/>
      <c r="F88" s="596" t="s">
        <v>189</v>
      </c>
      <c r="G88" s="593"/>
      <c r="H88" s="334" t="s">
        <v>38</v>
      </c>
      <c r="I88" s="331">
        <f>VLOOKUP(A88, 'Look-up Values'!$F$6:$J$11, 5, FALSE)</f>
        <v>100</v>
      </c>
      <c r="J88" s="187">
        <f>IF(AND(COUNTIFS('Spray Adhesives'!$B$20:$B$44, A88, 'Spray Adhesives'!$E$20:$E$44, H88)=1, SUMIFS('Spray Adhesives'!$H$20:$H$44, 'Spray Adhesives'!$B$20:$B$44, A88, 'Spray Adhesives'!$E$20:$E$44, H88)&gt;0), SUMIFS('Spray Adhesives'!$H$20:$H$44, 'Spray Adhesives'!$B$20:$B$44, A88, 'Spray Adhesives'!$E$20:$E$44, H88), "-")</f>
        <v>1.3990362194932378</v>
      </c>
      <c r="K88" s="188">
        <f t="shared" si="0"/>
        <v>13.990362194932377</v>
      </c>
      <c r="L88" s="188">
        <f t="shared" si="1"/>
        <v>34.975905487330941</v>
      </c>
      <c r="M88" s="188">
        <f t="shared" si="2"/>
        <v>69.951810974661882</v>
      </c>
      <c r="N88" s="188">
        <f t="shared" si="3"/>
        <v>1399.0362194932377</v>
      </c>
      <c r="O88" s="188">
        <f t="shared" si="4"/>
        <v>13990.362194932377</v>
      </c>
      <c r="P88" s="188">
        <f>IF(AND(COUNTIFS('Spray Adhesives'!$B$20:$B$44, A88, 'Spray Adhesives'!$E$20:$E$44, H88)=1, SUMIFS('Spray Adhesives'!$R$20:$R$44, 'Spray Adhesives'!$B$20:$B$44, A88, 'Spray Adhesives'!$E$20:$E$44, H88)&gt;0), SUMIFS('Spray Adhesives'!$R$20:$R$44, 'Spray Adhesives'!$B$20:$B$44, A88, 'Spray Adhesives'!$E$20:$E$44, H88), "-")</f>
        <v>32.846715328467148</v>
      </c>
      <c r="Q88" s="188">
        <f t="shared" si="5"/>
        <v>328.4671532846715</v>
      </c>
      <c r="R88" s="188">
        <f t="shared" si="6"/>
        <v>821.16788321167871</v>
      </c>
      <c r="S88" s="188">
        <f t="shared" si="7"/>
        <v>1642.3357664233574</v>
      </c>
      <c r="T88" s="188">
        <f t="shared" si="8"/>
        <v>32846.715328467151</v>
      </c>
      <c r="U88" s="189">
        <f t="shared" si="9"/>
        <v>328467.15328467148</v>
      </c>
    </row>
    <row r="89" spans="1:21" x14ac:dyDescent="0.25">
      <c r="A89" s="337" t="s">
        <v>61</v>
      </c>
      <c r="B89" s="591"/>
      <c r="C89" s="584"/>
      <c r="D89" s="598"/>
      <c r="E89" s="598"/>
      <c r="F89" s="596"/>
      <c r="G89" s="593"/>
      <c r="H89" s="334" t="s">
        <v>40</v>
      </c>
      <c r="I89" s="331">
        <f>VLOOKUP(A89, 'Look-up Values'!$F$6:$J$11, 5, FALSE)</f>
        <v>100</v>
      </c>
      <c r="J89" s="187">
        <f>IF(AND(COUNTIFS('Spray Adhesives'!$B$20:$B$44, A89, 'Spray Adhesives'!$E$20:$E$44, H89)=1, SUMIFS('Spray Adhesives'!$H$20:$H$44, 'Spray Adhesives'!$B$20:$B$44, A89, 'Spray Adhesives'!$E$20:$E$44, H89)&gt;0), SUMIFS('Spray Adhesives'!$H$20:$H$44, 'Spray Adhesives'!$B$20:$B$44, A89, 'Spray Adhesives'!$E$20:$E$44, H89), "-")</f>
        <v>60</v>
      </c>
      <c r="K89" s="188">
        <f t="shared" si="0"/>
        <v>600</v>
      </c>
      <c r="L89" s="188">
        <f t="shared" si="1"/>
        <v>1500</v>
      </c>
      <c r="M89" s="188">
        <f t="shared" si="2"/>
        <v>3000</v>
      </c>
      <c r="N89" s="188">
        <f t="shared" si="3"/>
        <v>60000</v>
      </c>
      <c r="O89" s="188">
        <f t="shared" si="4"/>
        <v>600000</v>
      </c>
      <c r="P89" s="188">
        <f>IF(AND(COUNTIFS('Spray Adhesives'!$B$20:$B$44, A89, 'Spray Adhesives'!$E$20:$E$44, H89)=1, SUMIFS('Spray Adhesives'!$R$20:$R$44, 'Spray Adhesives'!$B$20:$B$44, A89, 'Spray Adhesives'!$E$20:$E$44, H89)&gt;0), SUMIFS('Spray Adhesives'!$R$20:$R$44, 'Spray Adhesives'!$B$20:$B$44, A89, 'Spray Adhesives'!$E$20:$E$44, H89), "-")</f>
        <v>90</v>
      </c>
      <c r="Q89" s="188">
        <f t="shared" si="5"/>
        <v>900</v>
      </c>
      <c r="R89" s="188">
        <f t="shared" si="6"/>
        <v>2250</v>
      </c>
      <c r="S89" s="188">
        <f t="shared" si="7"/>
        <v>4500</v>
      </c>
      <c r="T89" s="188">
        <f t="shared" si="8"/>
        <v>90000</v>
      </c>
      <c r="U89" s="189">
        <f t="shared" si="9"/>
        <v>900000</v>
      </c>
    </row>
    <row r="90" spans="1:21" x14ac:dyDescent="0.25">
      <c r="A90" s="337" t="s">
        <v>63</v>
      </c>
      <c r="B90" s="591"/>
      <c r="C90" s="584"/>
      <c r="D90" s="598"/>
      <c r="E90" s="598"/>
      <c r="F90" s="596" t="s">
        <v>190</v>
      </c>
      <c r="G90" s="593" t="s">
        <v>191</v>
      </c>
      <c r="H90" s="334" t="s">
        <v>38</v>
      </c>
      <c r="I90" s="331">
        <f>VLOOKUP(A90, 'Look-up Values'!$F$6:$J$11, 5, FALSE)</f>
        <v>100</v>
      </c>
      <c r="J90" s="187">
        <f>IF(AND(COUNTIFS('Spray Adhesives'!$B$20:$B$44, A90, 'Spray Adhesives'!$E$20:$E$44, H90)=1, SUMIFS('Spray Adhesives'!$H$20:$H$44, 'Spray Adhesives'!$B$20:$B$44, A90, 'Spray Adhesives'!$E$20:$E$44, H90)&gt;0), SUMIFS('Spray Adhesives'!$H$20:$H$44, 'Spray Adhesives'!$B$20:$B$44, A90, 'Spray Adhesives'!$E$20:$E$44, H90), "-")</f>
        <v>0.4119384424063422</v>
      </c>
      <c r="K90" s="188">
        <f t="shared" si="0"/>
        <v>4.1193844240634219</v>
      </c>
      <c r="L90" s="188">
        <f t="shared" si="1"/>
        <v>10.298461060158555</v>
      </c>
      <c r="M90" s="188">
        <f t="shared" si="2"/>
        <v>20.59692212031711</v>
      </c>
      <c r="N90" s="188">
        <f t="shared" si="3"/>
        <v>411.93844240634218</v>
      </c>
      <c r="O90" s="188">
        <f t="shared" si="4"/>
        <v>4119.3844240634216</v>
      </c>
      <c r="P90" s="188">
        <f>IF(AND(COUNTIFS('Spray Adhesives'!$B$20:$B$44, A90, 'Spray Adhesives'!$E$20:$E$44, H90)=1, SUMIFS('Spray Adhesives'!$R$20:$R$44, 'Spray Adhesives'!$B$20:$B$44, A90, 'Spray Adhesives'!$E$20:$E$44, H90)&gt;0), SUMIFS('Spray Adhesives'!$R$20:$R$44, 'Spray Adhesives'!$B$20:$B$44, A90, 'Spray Adhesives'!$E$20:$E$44, H90), "-")</f>
        <v>9.6715328467153281</v>
      </c>
      <c r="Q90" s="188">
        <f t="shared" si="5"/>
        <v>96.715328467153284</v>
      </c>
      <c r="R90" s="188">
        <f t="shared" si="6"/>
        <v>241.7883211678832</v>
      </c>
      <c r="S90" s="188">
        <f t="shared" si="7"/>
        <v>483.57664233576639</v>
      </c>
      <c r="T90" s="188">
        <f t="shared" si="8"/>
        <v>9671.5328467153286</v>
      </c>
      <c r="U90" s="189">
        <f t="shared" si="9"/>
        <v>96715.328467153275</v>
      </c>
    </row>
    <row r="91" spans="1:21" x14ac:dyDescent="0.25">
      <c r="A91" s="337" t="s">
        <v>63</v>
      </c>
      <c r="B91" s="591"/>
      <c r="C91" s="584"/>
      <c r="D91" s="598"/>
      <c r="E91" s="598"/>
      <c r="F91" s="596"/>
      <c r="G91" s="593"/>
      <c r="H91" s="334" t="s">
        <v>40</v>
      </c>
      <c r="I91" s="331">
        <f>VLOOKUP(A91, 'Look-up Values'!$F$6:$J$11, 5, FALSE)</f>
        <v>100</v>
      </c>
      <c r="J91" s="187">
        <f>IF(AND(COUNTIFS('Spray Adhesives'!$B$20:$B$44, A91, 'Spray Adhesives'!$E$20:$E$44, H91)=1, SUMIFS('Spray Adhesives'!$H$20:$H$44, 'Spray Adhesives'!$B$20:$B$44, A91, 'Spray Adhesives'!$E$20:$E$44, H91)&gt;0), SUMIFS('Spray Adhesives'!$H$20:$H$44, 'Spray Adhesives'!$B$20:$B$44, A91, 'Spray Adhesives'!$E$20:$E$44, H91), "-")</f>
        <v>17.666666666666668</v>
      </c>
      <c r="K91" s="188">
        <f t="shared" si="0"/>
        <v>176.66666666666669</v>
      </c>
      <c r="L91" s="188">
        <f t="shared" si="1"/>
        <v>441.66666666666669</v>
      </c>
      <c r="M91" s="188">
        <f t="shared" si="2"/>
        <v>883.33333333333337</v>
      </c>
      <c r="N91" s="188">
        <f t="shared" si="3"/>
        <v>17666.666666666668</v>
      </c>
      <c r="O91" s="188">
        <f t="shared" si="4"/>
        <v>176666.66666666669</v>
      </c>
      <c r="P91" s="188">
        <f>IF(AND(COUNTIFS('Spray Adhesives'!$B$20:$B$44, A91, 'Spray Adhesives'!$E$20:$E$44, H91)=1, SUMIFS('Spray Adhesives'!$R$20:$R$44, 'Spray Adhesives'!$B$20:$B$44, A91, 'Spray Adhesives'!$E$20:$E$44, H91)&gt;0), SUMIFS('Spray Adhesives'!$R$20:$R$44, 'Spray Adhesives'!$B$20:$B$44, A91, 'Spray Adhesives'!$E$20:$E$44, H91), "-")</f>
        <v>26.5</v>
      </c>
      <c r="Q91" s="188">
        <f t="shared" si="5"/>
        <v>265</v>
      </c>
      <c r="R91" s="188">
        <f t="shared" si="6"/>
        <v>662.5</v>
      </c>
      <c r="S91" s="188">
        <f t="shared" si="7"/>
        <v>1325</v>
      </c>
      <c r="T91" s="188">
        <f t="shared" si="8"/>
        <v>26500</v>
      </c>
      <c r="U91" s="189">
        <f t="shared" si="9"/>
        <v>265000</v>
      </c>
    </row>
    <row r="92" spans="1:21" x14ac:dyDescent="0.25">
      <c r="A92" s="337" t="s">
        <v>65</v>
      </c>
      <c r="B92" s="591"/>
      <c r="C92" s="584"/>
      <c r="D92" s="598"/>
      <c r="E92" s="598"/>
      <c r="F92" s="596" t="s">
        <v>184</v>
      </c>
      <c r="G92" s="606" t="s">
        <v>185</v>
      </c>
      <c r="H92" s="334" t="s">
        <v>38</v>
      </c>
      <c r="I92" s="331">
        <f>VLOOKUP(A92, 'Look-up Values'!$F$6:$J$11, 5, FALSE)</f>
        <v>100</v>
      </c>
      <c r="J92" s="187">
        <f>IF(AND(COUNTIFS('Spray Adhesives'!$B$20:$B$44, A92, 'Spray Adhesives'!$E$20:$E$44, H92)=1, SUMIFS('Spray Adhesives'!$H$20:$H$44, 'Spray Adhesives'!$B$20:$B$44, A92, 'Spray Adhesives'!$E$20:$E$44, H92)&gt;0), SUMIFS('Spray Adhesives'!$H$20:$H$44, 'Spray Adhesives'!$B$20:$B$44, A92, 'Spray Adhesives'!$E$20:$E$44, H92), "-")</f>
        <v>0.33824988939243561</v>
      </c>
      <c r="K92" s="188">
        <f t="shared" si="0"/>
        <v>3.3824988939243559</v>
      </c>
      <c r="L92" s="188">
        <f t="shared" si="1"/>
        <v>8.4562472348108901</v>
      </c>
      <c r="M92" s="188">
        <f t="shared" si="2"/>
        <v>16.91249446962178</v>
      </c>
      <c r="N92" s="188">
        <f t="shared" si="3"/>
        <v>338.24988939243559</v>
      </c>
      <c r="O92" s="188">
        <f t="shared" si="4"/>
        <v>3382.4988939243563</v>
      </c>
      <c r="P92" s="188">
        <f>IF(AND(COUNTIFS('Spray Adhesives'!$B$20:$B$44, A92, 'Spray Adhesives'!$E$20:$E$44, H92)=1, SUMIFS('Spray Adhesives'!$R$20:$R$44, 'Spray Adhesives'!$B$20:$B$44, A92, 'Spray Adhesives'!$E$20:$E$44, H92)&gt;0), SUMIFS('Spray Adhesives'!$R$20:$R$44, 'Spray Adhesives'!$B$20:$B$44, A92, 'Spray Adhesives'!$E$20:$E$44, H92), "-")</f>
        <v>7.9414654688377304</v>
      </c>
      <c r="Q92" s="188">
        <f t="shared" si="5"/>
        <v>79.414654688377311</v>
      </c>
      <c r="R92" s="188">
        <f t="shared" si="6"/>
        <v>198.53663672094325</v>
      </c>
      <c r="S92" s="188">
        <f t="shared" si="7"/>
        <v>397.0732734418865</v>
      </c>
      <c r="T92" s="188">
        <f t="shared" si="8"/>
        <v>7941.4654688377304</v>
      </c>
      <c r="U92" s="189">
        <f t="shared" si="9"/>
        <v>79414.654688377297</v>
      </c>
    </row>
    <row r="93" spans="1:21" x14ac:dyDescent="0.25">
      <c r="A93" s="337" t="s">
        <v>65</v>
      </c>
      <c r="B93" s="591"/>
      <c r="C93" s="584"/>
      <c r="D93" s="598"/>
      <c r="E93" s="598"/>
      <c r="F93" s="596"/>
      <c r="G93" s="607"/>
      <c r="H93" s="334" t="s">
        <v>40</v>
      </c>
      <c r="I93" s="331">
        <f>VLOOKUP(A93, 'Look-up Values'!$F$6:$J$11, 5, FALSE)</f>
        <v>100</v>
      </c>
      <c r="J93" s="187">
        <f>IF(AND(COUNTIFS('Spray Adhesives'!$B$20:$B$44, A93, 'Spray Adhesives'!$E$20:$E$44, H93)=1, SUMIFS('Spray Adhesives'!$H$20:$H$44, 'Spray Adhesives'!$B$20:$B$44, A93, 'Spray Adhesives'!$E$20:$E$44, H93)&gt;0), SUMIFS('Spray Adhesives'!$H$20:$H$44, 'Spray Adhesives'!$B$20:$B$44, A93, 'Spray Adhesives'!$E$20:$E$44, H93), "-")</f>
        <v>14.506410256410255</v>
      </c>
      <c r="K93" s="188">
        <f t="shared" ref="K93:K95" si="10">IFERROR(IF(A93="Tox07", J93/$K$8, J93*$K$8), "-")</f>
        <v>145.06410256410254</v>
      </c>
      <c r="L93" s="188">
        <f t="shared" ref="L93:L96" si="11">IFERROR(IF(A93="Tox07", J93/$L$8, J93*$L$8), "-")</f>
        <v>362.66025641025641</v>
      </c>
      <c r="M93" s="188">
        <f t="shared" ref="M93:M95" si="12">IFERROR(IF(A93="Tox07", J93/$M$8, J93*$M$8), "-")</f>
        <v>725.32051282051282</v>
      </c>
      <c r="N93" s="188">
        <f t="shared" ref="N93:N95" si="13">IFERROR(IF(A93="Tox07", J93/$N$8, J93*$N$8), "-")</f>
        <v>14506.410256410256</v>
      </c>
      <c r="O93" s="188">
        <f t="shared" ref="O93:O95" si="14">IFERROR(IF(A93="Tox07", J93/$O$8, J93*$O$8), "-")</f>
        <v>145064.10256410256</v>
      </c>
      <c r="P93" s="188">
        <f>IF(AND(COUNTIFS('Spray Adhesives'!$B$20:$B$44, A93, 'Spray Adhesives'!$E$20:$E$44, H93)=1, SUMIFS('Spray Adhesives'!$R$20:$R$44, 'Spray Adhesives'!$B$20:$B$44, A93, 'Spray Adhesives'!$E$20:$E$44, H93)&gt;0), SUMIFS('Spray Adhesives'!$R$20:$R$44, 'Spray Adhesives'!$B$20:$B$44, A93, 'Spray Adhesives'!$E$20:$E$44, H93), "-")</f>
        <v>21.759615384615387</v>
      </c>
      <c r="Q93" s="188">
        <f t="shared" ref="Q93:Q95" si="15">IFERROR(IF(A93="Tox07", P93/$Q$8, P93*$Q$8), "-")</f>
        <v>217.59615384615387</v>
      </c>
      <c r="R93" s="188">
        <f t="shared" ref="R93:R95" si="16">IFERROR(IF(A93="Tox07", P93/$R$8, P93*$R$8), "-")</f>
        <v>543.99038461538464</v>
      </c>
      <c r="S93" s="188">
        <f t="shared" ref="S93:S95" si="17">IFERROR(IF(A93="Tox07", P93/$S$8, P93*$S$8), "-")</f>
        <v>1087.9807692307693</v>
      </c>
      <c r="T93" s="188">
        <f t="shared" ref="T93:T95" si="18">IFERROR(IF(A93="Tox07", P93/$T$8, P93*$T$8), "-")</f>
        <v>21759.615384615387</v>
      </c>
      <c r="U93" s="189">
        <f t="shared" ref="U93:U95" si="19">IFERROR(IF(A93="Tox07", P93/$U$8, P93*$U$8), "-")</f>
        <v>217596.15384615387</v>
      </c>
    </row>
    <row r="94" spans="1:21" x14ac:dyDescent="0.25">
      <c r="A94" s="337" t="s">
        <v>66</v>
      </c>
      <c r="B94" s="591"/>
      <c r="C94" s="584"/>
      <c r="D94" s="598"/>
      <c r="E94" s="598"/>
      <c r="F94" s="602" t="s">
        <v>186</v>
      </c>
      <c r="G94" s="607"/>
      <c r="H94" s="334" t="s">
        <v>38</v>
      </c>
      <c r="I94" s="327">
        <f>VLOOKUP(A94, 'Look-up Values'!$F$6:$J$14, 5, FALSE)</f>
        <v>100</v>
      </c>
      <c r="J94" s="187">
        <f>IF(AND(COUNTIFS('Spray Adhesives'!$B$20:$B$44, A94, 'Spray Adhesives'!$E$20:$E$44, H94)=1, SUMIFS('Spray Adhesives'!$H$20:$H$44, 'Spray Adhesives'!$B$20:$B$44, A94, 'Spray Adhesives'!$E$20:$E$44, H94)&gt;0), SUMIFS('Spray Adhesives'!$H$20:$H$44, 'Spray Adhesives'!$B$20:$B$44, A94, 'Spray Adhesives'!$E$20:$E$44, H94), "-")</f>
        <v>0.18549187482810986</v>
      </c>
      <c r="K94" s="188">
        <f t="shared" si="10"/>
        <v>1.8549187482810985</v>
      </c>
      <c r="L94" s="188">
        <f t="shared" si="11"/>
        <v>4.6372968707027464</v>
      </c>
      <c r="M94" s="188">
        <f t="shared" si="12"/>
        <v>9.2745937414054929</v>
      </c>
      <c r="N94" s="188">
        <f t="shared" si="13"/>
        <v>185.49187482810987</v>
      </c>
      <c r="O94" s="188">
        <f t="shared" si="14"/>
        <v>1854.9187482810985</v>
      </c>
      <c r="P94" s="188">
        <f>IF(AND(COUNTIFS('Spray Adhesives'!$B$20:$B$44, A94, 'Spray Adhesives'!$E$20:$E$44, H94)=1, SUMIFS('Spray Adhesives'!$R$20:$R$44, 'Spray Adhesives'!$B$20:$B$44, A94, 'Spray Adhesives'!$E$20:$E$44, H94)&gt;0), SUMIFS('Spray Adhesives'!$R$20:$R$44, 'Spray Adhesives'!$B$20:$B$44, A94, 'Spray Adhesives'!$E$20:$E$44, H94), "-")</f>
        <v>4.3549971925884323</v>
      </c>
      <c r="Q94" s="188">
        <f t="shared" si="15"/>
        <v>43.549971925884321</v>
      </c>
      <c r="R94" s="188">
        <f t="shared" si="16"/>
        <v>108.87492981471081</v>
      </c>
      <c r="S94" s="188">
        <f t="shared" si="17"/>
        <v>217.74985962942162</v>
      </c>
      <c r="T94" s="188">
        <f t="shared" si="18"/>
        <v>4354.997192588432</v>
      </c>
      <c r="U94" s="189">
        <f t="shared" si="19"/>
        <v>43549.971925884325</v>
      </c>
    </row>
    <row r="95" spans="1:21" x14ac:dyDescent="0.25">
      <c r="A95" s="337" t="s">
        <v>66</v>
      </c>
      <c r="B95" s="591"/>
      <c r="C95" s="584"/>
      <c r="D95" s="598"/>
      <c r="E95" s="598"/>
      <c r="F95" s="603"/>
      <c r="G95" s="608"/>
      <c r="H95" s="334" t="s">
        <v>40</v>
      </c>
      <c r="I95" s="327">
        <f>VLOOKUP(A95, 'Look-up Values'!$F$6:$J$14, 5, FALSE)</f>
        <v>100</v>
      </c>
      <c r="J95" s="187">
        <f>IF(AND(COUNTIFS('Spray Adhesives'!$B$20:$B$44, A95, 'Spray Adhesives'!$E$20:$E$44, H95)=1, SUMIFS('Spray Adhesives'!$H$20:$H$44, 'Spray Adhesives'!$B$20:$B$44, A95, 'Spray Adhesives'!$E$20:$E$44, H95)&gt;0), SUMIFS('Spray Adhesives'!$H$20:$H$44, 'Spray Adhesives'!$B$20:$B$44, A95, 'Spray Adhesives'!$E$20:$E$44, H95), "-")</f>
        <v>7.9551282051282044</v>
      </c>
      <c r="K95" s="188">
        <f t="shared" si="10"/>
        <v>79.551282051282044</v>
      </c>
      <c r="L95" s="188">
        <f t="shared" si="11"/>
        <v>198.87820512820511</v>
      </c>
      <c r="M95" s="188">
        <f t="shared" si="12"/>
        <v>397.75641025641022</v>
      </c>
      <c r="N95" s="188">
        <f t="shared" si="13"/>
        <v>7955.1282051282042</v>
      </c>
      <c r="O95" s="188">
        <f t="shared" si="14"/>
        <v>79551.282051282047</v>
      </c>
      <c r="P95" s="188">
        <f>IF(AND(COUNTIFS('Spray Adhesives'!$B$20:$B$44, A95, 'Spray Adhesives'!$E$20:$E$44, H95)=1, SUMIFS('Spray Adhesives'!$R$20:$R$44, 'Spray Adhesives'!$B$20:$B$44, A95, 'Spray Adhesives'!$E$20:$E$44, H95)&gt;0), SUMIFS('Spray Adhesives'!$R$20:$R$44, 'Spray Adhesives'!$B$20:$B$44, A95, 'Spray Adhesives'!$E$20:$E$44, H95), "-")</f>
        <v>11.932692307692308</v>
      </c>
      <c r="Q95" s="188">
        <f t="shared" si="15"/>
        <v>119.32692307692308</v>
      </c>
      <c r="R95" s="188">
        <f t="shared" si="16"/>
        <v>298.31730769230774</v>
      </c>
      <c r="S95" s="188">
        <f t="shared" si="17"/>
        <v>596.63461538461547</v>
      </c>
      <c r="T95" s="188">
        <f t="shared" si="18"/>
        <v>11932.692307692309</v>
      </c>
      <c r="U95" s="189">
        <f t="shared" si="19"/>
        <v>119326.92307692308</v>
      </c>
    </row>
    <row r="96" spans="1:21" x14ac:dyDescent="0.25">
      <c r="A96" s="337" t="s">
        <v>67</v>
      </c>
      <c r="B96" s="591"/>
      <c r="C96" s="584"/>
      <c r="D96" s="598"/>
      <c r="E96" s="598"/>
      <c r="F96" s="596" t="s">
        <v>192</v>
      </c>
      <c r="G96" s="593" t="s">
        <v>193</v>
      </c>
      <c r="H96" s="334" t="s">
        <v>38</v>
      </c>
      <c r="I96" s="331">
        <f>VLOOKUP(A96, 'Look-up Values'!$F$6:$J$11, 5, FALSE)</f>
        <v>100</v>
      </c>
      <c r="J96" s="187">
        <f>IF(AND(COUNTIFS('Spray Adhesives'!$B$20:$B$44, A96, 'Spray Adhesives'!$E$20:$E$44, H96)=1, SUMIFS('Spray Adhesives'!$H$20:$H$44, 'Spray Adhesives'!$B$20:$B$44, A96, 'Spray Adhesives'!$E$20:$E$44, H96)&gt;0), SUMIFS('Spray Adhesives'!$H$20:$H$44, 'Spray Adhesives'!$B$20:$B$44, A96, 'Spray Adhesives'!$E$20:$E$44, H96), "-")</f>
        <v>0.19431058604072746</v>
      </c>
      <c r="K96" s="188">
        <f t="shared" ref="K96:K153" si="20">IFERROR(IF(A96="Tox07", J96/$K$8, J96*$K$8), "-")</f>
        <v>1.9431058604072746</v>
      </c>
      <c r="L96" s="188">
        <f t="shared" si="11"/>
        <v>4.8577646510181864</v>
      </c>
      <c r="M96" s="188">
        <f t="shared" ref="M96:M153" si="21">IFERROR(IF(A96="Tox07", J96/$M$8, J96*$M$8), "-")</f>
        <v>9.7155293020363729</v>
      </c>
      <c r="N96" s="188">
        <f t="shared" ref="N96:N153" si="22">IFERROR(IF(A96="Tox07", J96/$N$8, J96*$N$8), "-")</f>
        <v>194.31058604072746</v>
      </c>
      <c r="O96" s="188">
        <f t="shared" ref="O96:O153" si="23">IFERROR(IF(A96="Tox07", J96/$O$8, J96*$O$8), "-")</f>
        <v>1943.1058604072746</v>
      </c>
      <c r="P96" s="188">
        <f>IF(AND(COUNTIFS('Spray Adhesives'!$B$20:$B$44, A96, 'Spray Adhesives'!$E$20:$E$44, H96)=1, SUMIFS('Spray Adhesives'!$R$20:$R$44, 'Spray Adhesives'!$B$20:$B$44, A96, 'Spray Adhesives'!$E$20:$E$44, H96)&gt;0), SUMIFS('Spray Adhesives'!$R$20:$R$44, 'Spray Adhesives'!$B$20:$B$44, A96, 'Spray Adhesives'!$E$20:$E$44, H96), "-")</f>
        <v>4.5620437956204372</v>
      </c>
      <c r="Q96" s="188">
        <f t="shared" ref="Q96:Q153" si="24">IFERROR(IF(A96="Tox07", P96/$Q$8, P96*$Q$8), "-")</f>
        <v>45.62043795620437</v>
      </c>
      <c r="R96" s="188">
        <f t="shared" ref="R96:R153" si="25">IFERROR(IF(A96="Tox07", P96/$R$8, P96*$R$8), "-")</f>
        <v>114.05109489051092</v>
      </c>
      <c r="S96" s="188">
        <f t="shared" ref="S96:S153" si="26">IFERROR(IF(A96="Tox07", P96/$S$8, P96*$S$8), "-")</f>
        <v>228.10218978102185</v>
      </c>
      <c r="T96" s="188">
        <f t="shared" ref="T96:T153" si="27">IFERROR(IF(A96="Tox07", P96/$T$8, P96*$T$8), "-")</f>
        <v>4562.0437956204369</v>
      </c>
      <c r="U96" s="189">
        <f t="shared" ref="U96:U153" si="28">IFERROR(IF(A96="Tox07", P96/$U$8, P96*$U$8), "-")</f>
        <v>45620.437956204369</v>
      </c>
    </row>
    <row r="97" spans="1:21" x14ac:dyDescent="0.25">
      <c r="A97" s="337" t="s">
        <v>67</v>
      </c>
      <c r="B97" s="591"/>
      <c r="C97" s="584"/>
      <c r="D97" s="598"/>
      <c r="E97" s="598"/>
      <c r="F97" s="596"/>
      <c r="G97" s="593"/>
      <c r="H97" s="334" t="s">
        <v>40</v>
      </c>
      <c r="I97" s="331">
        <f>VLOOKUP(A97, 'Look-up Values'!$F$6:$J$11, 5, FALSE)</f>
        <v>100</v>
      </c>
      <c r="J97" s="187">
        <f>IF(AND(COUNTIFS('Spray Adhesives'!$B$20:$B$44, A97, 'Spray Adhesives'!$E$20:$E$44, H97)=1, SUMIFS('Spray Adhesives'!$H$20:$H$44, 'Spray Adhesives'!$B$20:$B$44, A97, 'Spray Adhesives'!$E$20:$E$44, H97)&gt;0), SUMIFS('Spray Adhesives'!$H$20:$H$44, 'Spray Adhesives'!$B$20:$B$44, A97, 'Spray Adhesives'!$E$20:$E$44, H97), "-")</f>
        <v>8.3333333333333339</v>
      </c>
      <c r="K97" s="188">
        <f t="shared" si="20"/>
        <v>83.333333333333343</v>
      </c>
      <c r="L97" s="188">
        <f t="shared" ref="L97:L153" si="29">IFERROR(IF(A97="Tox07", J97/$L$8, J97*$L$8), "-")</f>
        <v>208.33333333333334</v>
      </c>
      <c r="M97" s="188">
        <f t="shared" si="21"/>
        <v>416.66666666666669</v>
      </c>
      <c r="N97" s="188">
        <f t="shared" si="22"/>
        <v>8333.3333333333339</v>
      </c>
      <c r="O97" s="188">
        <f t="shared" si="23"/>
        <v>83333.333333333343</v>
      </c>
      <c r="P97" s="188">
        <f>IF(AND(COUNTIFS('Spray Adhesives'!$B$20:$B$44, A97, 'Spray Adhesives'!$E$20:$E$44, H97)=1, SUMIFS('Spray Adhesives'!$R$20:$R$44, 'Spray Adhesives'!$B$20:$B$44, A97, 'Spray Adhesives'!$E$20:$E$44, H97)&gt;0), SUMIFS('Spray Adhesives'!$R$20:$R$44, 'Spray Adhesives'!$B$20:$B$44, A97, 'Spray Adhesives'!$E$20:$E$44, H97), "-")</f>
        <v>12.5</v>
      </c>
      <c r="Q97" s="188">
        <f t="shared" si="24"/>
        <v>125</v>
      </c>
      <c r="R97" s="188">
        <f t="shared" si="25"/>
        <v>312.5</v>
      </c>
      <c r="S97" s="188">
        <f t="shared" si="26"/>
        <v>625</v>
      </c>
      <c r="T97" s="188">
        <f t="shared" si="27"/>
        <v>12500</v>
      </c>
      <c r="U97" s="189">
        <f t="shared" si="28"/>
        <v>125000</v>
      </c>
    </row>
    <row r="98" spans="1:21" x14ac:dyDescent="0.25">
      <c r="A98" s="338" t="s">
        <v>76</v>
      </c>
      <c r="B98" s="591"/>
      <c r="C98" s="584"/>
      <c r="D98" s="598"/>
      <c r="E98" s="598" t="s">
        <v>194</v>
      </c>
      <c r="F98" s="596" t="s">
        <v>195</v>
      </c>
      <c r="G98" s="593"/>
      <c r="H98" s="334" t="s">
        <v>38</v>
      </c>
      <c r="I98" s="332">
        <f>0.0001</f>
        <v>1E-4</v>
      </c>
      <c r="J98" s="187">
        <f>IF(AND(COUNTIFS('Spray Adhesives'!$B$20:$B$44, A98, 'Spray Adhesives'!$E$20:$E$44, H98)=1, SUMIFS('Spray Adhesives'!$H$20:$H$44, 'Spray Adhesives'!$B$20:$B$44, A98, 'Spray Adhesives'!$E$20:$E$44, H98)&gt;0), SUMIFS('Spray Adhesives'!$H$20:$H$44, 'Spray Adhesives'!$B$20:$B$44, A98, 'Spray Adhesives'!$E$20:$E$44, H98), "-")</f>
        <v>0.26391794871794877</v>
      </c>
      <c r="K98" s="188">
        <f t="shared" si="20"/>
        <v>2.6391794871794876E-2</v>
      </c>
      <c r="L98" s="188">
        <f t="shared" si="29"/>
        <v>1.0556717948717952E-2</v>
      </c>
      <c r="M98" s="188">
        <f t="shared" si="21"/>
        <v>5.2783589743589758E-3</v>
      </c>
      <c r="N98" s="188">
        <f t="shared" si="22"/>
        <v>2.6391794871794878E-4</v>
      </c>
      <c r="O98" s="188">
        <f t="shared" si="23"/>
        <v>2.6391794871794879E-5</v>
      </c>
      <c r="P98" s="188">
        <f>IF(AND(COUNTIFS('Spray Adhesives'!$B$20:$B$44, A98, 'Spray Adhesives'!$E$20:$E$44, H98)=1, SUMIFS('Spray Adhesives'!$R$20:$R$44, 'Spray Adhesives'!$B$20:$B$44, A98, 'Spray Adhesives'!$E$20:$E$44, H98)&gt;0), SUMIFS('Spray Adhesives'!$R$20:$R$44, 'Spray Adhesives'!$B$20:$B$44, A98, 'Spray Adhesives'!$E$20:$E$44, H98), "-")</f>
        <v>1.1241025641025641E-2</v>
      </c>
      <c r="Q98" s="188">
        <f t="shared" si="24"/>
        <v>1.124102564102564E-3</v>
      </c>
      <c r="R98" s="188">
        <f t="shared" si="25"/>
        <v>4.4964102564102563E-4</v>
      </c>
      <c r="S98" s="188">
        <f t="shared" si="26"/>
        <v>2.2482051282051281E-4</v>
      </c>
      <c r="T98" s="188">
        <f t="shared" si="27"/>
        <v>1.124102564102564E-5</v>
      </c>
      <c r="U98" s="189">
        <f t="shared" si="28"/>
        <v>1.124102564102564E-6</v>
      </c>
    </row>
    <row r="99" spans="1:21" ht="13.5" thickBot="1" x14ac:dyDescent="0.3">
      <c r="A99" s="339" t="s">
        <v>76</v>
      </c>
      <c r="B99" s="592"/>
      <c r="C99" s="585"/>
      <c r="D99" s="604"/>
      <c r="E99" s="604"/>
      <c r="F99" s="605"/>
      <c r="G99" s="594"/>
      <c r="H99" s="342" t="s">
        <v>40</v>
      </c>
      <c r="I99" s="333">
        <f>0.0001</f>
        <v>1E-4</v>
      </c>
      <c r="J99" s="190">
        <f>IF(AND(COUNTIFS('Spray Adhesives'!$B$20:$B$44, A99, 'Spray Adhesives'!$E$20:$E$44, H99)=1, SUMIFS('Spray Adhesives'!$H$20:$H$44, 'Spray Adhesives'!$B$20:$B$44, A99, 'Spray Adhesives'!$E$20:$E$44, H99)&gt;0), SUMIFS('Spray Adhesives'!$H$20:$H$44, 'Spray Adhesives'!$B$20:$B$44, A99, 'Spray Adhesives'!$E$20:$E$44, H99), "-")</f>
        <v>4.7692307692307695E-3</v>
      </c>
      <c r="K99" s="191">
        <f t="shared" si="20"/>
        <v>4.7692307692307693E-4</v>
      </c>
      <c r="L99" s="191">
        <f t="shared" si="29"/>
        <v>1.9076923076923079E-4</v>
      </c>
      <c r="M99" s="191">
        <f t="shared" si="21"/>
        <v>9.5384615384615397E-5</v>
      </c>
      <c r="N99" s="191">
        <f t="shared" si="22"/>
        <v>4.7692307692307692E-6</v>
      </c>
      <c r="O99" s="191">
        <f t="shared" si="23"/>
        <v>4.7692307692307692E-7</v>
      </c>
      <c r="P99" s="191">
        <f>IF(AND(COUNTIFS('Spray Adhesives'!$B$20:$B$44, A99, 'Spray Adhesives'!$E$20:$E$44, H99)=1, SUMIFS('Spray Adhesives'!$R$20:$R$44, 'Spray Adhesives'!$B$20:$B$44, A99, 'Spray Adhesives'!$E$20:$E$44, H99)&gt;0), SUMIFS('Spray Adhesives'!$R$20:$R$44, 'Spray Adhesives'!$B$20:$B$44, A99, 'Spray Adhesives'!$E$20:$E$44, H99), "-")</f>
        <v>3.1794871794871794E-3</v>
      </c>
      <c r="Q99" s="191">
        <f t="shared" si="24"/>
        <v>3.1794871794871792E-4</v>
      </c>
      <c r="R99" s="191">
        <f t="shared" si="25"/>
        <v>1.2717948717948718E-4</v>
      </c>
      <c r="S99" s="191">
        <f t="shared" si="26"/>
        <v>6.3589743589743589E-5</v>
      </c>
      <c r="T99" s="191">
        <f t="shared" si="27"/>
        <v>3.1794871794871795E-6</v>
      </c>
      <c r="U99" s="192">
        <f t="shared" si="28"/>
        <v>3.1794871794871795E-7</v>
      </c>
    </row>
    <row r="100" spans="1:21" ht="12.75" customHeight="1" x14ac:dyDescent="0.25">
      <c r="A100" s="336" t="s">
        <v>49</v>
      </c>
      <c r="B100" s="590" t="s">
        <v>95</v>
      </c>
      <c r="C100" s="583" t="s">
        <v>22</v>
      </c>
      <c r="D100" s="610" t="s">
        <v>102</v>
      </c>
      <c r="E100" s="599" t="s">
        <v>183</v>
      </c>
      <c r="F100" s="595" t="s">
        <v>184</v>
      </c>
      <c r="G100" s="597" t="s">
        <v>185</v>
      </c>
      <c r="H100" s="340" t="s">
        <v>38</v>
      </c>
      <c r="I100" s="330">
        <f>VLOOKUP(A100, 'Look-up Values'!$F$6:$J$11, 5, FALSE)</f>
        <v>100</v>
      </c>
      <c r="J100" s="184">
        <f>IF(AND(COUNTIFS('Dry Cleaning Model'!$B$20:$B$44, A100, 'Dry Cleaning Model'!$E$20:$E$44, H100)=1, SUMIFS('Dry Cleaning Model'!$F$20:$F$44, 'Dry Cleaning Model'!$B$20:$B$44, A100, 'Dry Cleaning Model'!$E$20:$E$44, H100)&gt;0), SUMIFS('Dry Cleaning Model'!$F$20:$F$44, 'Dry Cleaning Model'!$B$20:$B$44, A100, 'Dry Cleaning Model'!$E$20:$E$44, H100), "-")</f>
        <v>2.5210917330971481</v>
      </c>
      <c r="K100" s="185">
        <f t="shared" si="20"/>
        <v>25.21091733097148</v>
      </c>
      <c r="L100" s="185">
        <f t="shared" si="29"/>
        <v>63.027293327428701</v>
      </c>
      <c r="M100" s="185">
        <f t="shared" si="21"/>
        <v>126.0545866548574</v>
      </c>
      <c r="N100" s="185">
        <f t="shared" si="22"/>
        <v>2521.0917330971479</v>
      </c>
      <c r="O100" s="185">
        <f t="shared" si="23"/>
        <v>25210.917330971482</v>
      </c>
      <c r="P100" s="185">
        <f>IF(AND(COUNTIFS('Dry Cleaning Model'!$B$20:$B$44, A100, 'Dry Cleaning Model'!$E$20:$E$44, H100)=1, SUMIFS('Dry Cleaning Model'!$N$20:$N$44, 'Dry Cleaning Model'!$B$20:$B$44, A100, 'Dry Cleaning Model'!$E$20:$E$44, H100)&gt;0), SUMIFS('Dry Cleaning Model'!$N$20:$N$44, 'Dry Cleaning Model'!$B$20:$B$44, A100, 'Dry Cleaning Model'!$E$20:$E$44, H100), "-")</f>
        <v>3.5371705975739136</v>
      </c>
      <c r="Q100" s="185">
        <f t="shared" si="24"/>
        <v>35.371705975739133</v>
      </c>
      <c r="R100" s="185">
        <f t="shared" si="25"/>
        <v>88.429264939347846</v>
      </c>
      <c r="S100" s="185">
        <f t="shared" si="26"/>
        <v>176.85852987869569</v>
      </c>
      <c r="T100" s="185">
        <f t="shared" si="27"/>
        <v>3537.1705975739137</v>
      </c>
      <c r="U100" s="186">
        <f t="shared" si="28"/>
        <v>35371.705975739133</v>
      </c>
    </row>
    <row r="101" spans="1:21" ht="15" customHeight="1" x14ac:dyDescent="0.25">
      <c r="A101" s="337" t="s">
        <v>49</v>
      </c>
      <c r="B101" s="591"/>
      <c r="C101" s="584"/>
      <c r="D101" s="611"/>
      <c r="E101" s="600"/>
      <c r="F101" s="596"/>
      <c r="G101" s="593"/>
      <c r="H101" s="334" t="s">
        <v>40</v>
      </c>
      <c r="I101" s="331">
        <f>VLOOKUP(A101, 'Look-up Values'!$F$6:$J$11, 5, FALSE)</f>
        <v>100</v>
      </c>
      <c r="J101" s="187">
        <f>IF(AND(COUNTIFS('Dry Cleaning Model'!$B$20:$B$44, A101, 'Dry Cleaning Model'!$E$20:$E$44, H101)=1, SUMIFS('Dry Cleaning Model'!$F$20:$F$44, 'Dry Cleaning Model'!$B$20:$B$44, A101, 'Dry Cleaning Model'!$E$20:$E$44, H101)&gt;0), SUMIFS('Dry Cleaning Model'!$F$20:$F$44, 'Dry Cleaning Model'!$B$20:$B$44, A101, 'Dry Cleaning Model'!$E$20:$E$44, H101), "-")</f>
        <v>6.8165106001807656</v>
      </c>
      <c r="K101" s="188">
        <f t="shared" si="20"/>
        <v>68.165106001807658</v>
      </c>
      <c r="L101" s="188">
        <f t="shared" si="29"/>
        <v>170.41276500451914</v>
      </c>
      <c r="M101" s="188">
        <f t="shared" si="21"/>
        <v>340.82553000903829</v>
      </c>
      <c r="N101" s="188">
        <f t="shared" si="22"/>
        <v>6816.5106001807653</v>
      </c>
      <c r="O101" s="188">
        <f t="shared" si="23"/>
        <v>68165.106001807653</v>
      </c>
      <c r="P101" s="188">
        <f>IF(AND(COUNTIFS('Dry Cleaning Model'!$B$20:$B$44, A101, 'Dry Cleaning Model'!$E$20:$E$44, H101)=1, SUMIFS('Dry Cleaning Model'!$N$20:$N$44, 'Dry Cleaning Model'!$B$20:$B$44, A101, 'Dry Cleaning Model'!$E$20:$E$44, H101)&gt;0), SUMIFS('Dry Cleaning Model'!$N$20:$N$44, 'Dry Cleaning Model'!$B$20:$B$44, A101, 'Dry Cleaning Model'!$E$20:$E$44, H101), "-")</f>
        <v>8.3471475322301529</v>
      </c>
      <c r="Q101" s="188">
        <f t="shared" si="24"/>
        <v>83.471475322301529</v>
      </c>
      <c r="R101" s="188">
        <f t="shared" si="25"/>
        <v>208.67868830575384</v>
      </c>
      <c r="S101" s="188">
        <f t="shared" si="26"/>
        <v>417.35737661150768</v>
      </c>
      <c r="T101" s="188">
        <f t="shared" si="27"/>
        <v>8347.1475322301521</v>
      </c>
      <c r="U101" s="189">
        <f t="shared" si="28"/>
        <v>83471.475322301529</v>
      </c>
    </row>
    <row r="102" spans="1:21" ht="15" customHeight="1" x14ac:dyDescent="0.25">
      <c r="A102" s="337" t="s">
        <v>51</v>
      </c>
      <c r="B102" s="591"/>
      <c r="C102" s="584"/>
      <c r="D102" s="611"/>
      <c r="E102" s="600"/>
      <c r="F102" s="602" t="s">
        <v>186</v>
      </c>
      <c r="G102" s="593"/>
      <c r="H102" s="334" t="s">
        <v>38</v>
      </c>
      <c r="I102" s="327">
        <f>VLOOKUP(A102, 'Look-up Values'!$F$6:$J$14, 5, FALSE)</f>
        <v>100</v>
      </c>
      <c r="J102" s="187">
        <f>IF(AND(COUNTIFS('Dry Cleaning Model'!$B$20:$B$44, A102, 'Dry Cleaning Model'!$E$20:$E$44, H102)=1, SUMIFS('Dry Cleaning Model'!$F$20:$F$44, 'Dry Cleaning Model'!$B$20:$B$44, A102, 'Dry Cleaning Model'!$E$20:$E$44, H102)&gt;0), SUMIFS('Dry Cleaning Model'!$F$20:$F$44, 'Dry Cleaning Model'!$B$20:$B$44, A102, 'Dry Cleaning Model'!$E$20:$E$44, H102), "-")</f>
        <v>1.4307195585326313</v>
      </c>
      <c r="K102" s="188">
        <f t="shared" si="20"/>
        <v>14.307195585326314</v>
      </c>
      <c r="L102" s="188">
        <f t="shared" si="29"/>
        <v>35.76798896331578</v>
      </c>
      <c r="M102" s="188">
        <f t="shared" si="21"/>
        <v>71.53597792663156</v>
      </c>
      <c r="N102" s="188">
        <f t="shared" si="22"/>
        <v>1430.7195585326313</v>
      </c>
      <c r="O102" s="188">
        <f t="shared" si="23"/>
        <v>14307.195585326313</v>
      </c>
      <c r="P102" s="188">
        <f>IF(AND(COUNTIFS('Dry Cleaning Model'!$B$20:$B$44, A102, 'Dry Cleaning Model'!$E$20:$E$44, H102)=1, SUMIFS('Dry Cleaning Model'!$N$20:$N$44, 'Dry Cleaning Model'!$B$20:$B$44, A102, 'Dry Cleaning Model'!$E$20:$E$44, H102)&gt;0), SUMIFS('Dry Cleaning Model'!$N$20:$N$44, 'Dry Cleaning Model'!$B$20:$B$44, A102, 'Dry Cleaning Model'!$E$20:$E$44, H102), "-")</f>
        <v>2.0073443141231961</v>
      </c>
      <c r="Q102" s="188">
        <f t="shared" si="24"/>
        <v>20.073443141231962</v>
      </c>
      <c r="R102" s="188">
        <f t="shared" si="25"/>
        <v>50.183607853079906</v>
      </c>
      <c r="S102" s="188">
        <f t="shared" si="26"/>
        <v>100.36721570615981</v>
      </c>
      <c r="T102" s="188">
        <f t="shared" si="27"/>
        <v>2007.3443141231962</v>
      </c>
      <c r="U102" s="189">
        <f t="shared" si="28"/>
        <v>20073.443141231961</v>
      </c>
    </row>
    <row r="103" spans="1:21" ht="15" customHeight="1" x14ac:dyDescent="0.25">
      <c r="A103" s="337" t="s">
        <v>51</v>
      </c>
      <c r="B103" s="591"/>
      <c r="C103" s="584"/>
      <c r="D103" s="611"/>
      <c r="E103" s="601"/>
      <c r="F103" s="603"/>
      <c r="G103" s="593"/>
      <c r="H103" s="334" t="s">
        <v>40</v>
      </c>
      <c r="I103" s="327">
        <f>VLOOKUP(A103, 'Look-up Values'!$F$6:$J$14, 5, FALSE)</f>
        <v>100</v>
      </c>
      <c r="J103" s="187">
        <f>IF(AND(COUNTIFS('Dry Cleaning Model'!$B$20:$B$44, A103, 'Dry Cleaning Model'!$E$20:$E$44, H103)=1, SUMIFS('Dry Cleaning Model'!$F$20:$F$44, 'Dry Cleaning Model'!$B$20:$B$44, A103, 'Dry Cleaning Model'!$E$20:$E$44, H103)&gt;0), SUMIFS('Dry Cleaning Model'!$F$20:$F$44, 'Dry Cleaning Model'!$B$20:$B$44, A103, 'Dry Cleaning Model'!$E$20:$E$44, H103), "-")</f>
        <v>3.8683697656025844</v>
      </c>
      <c r="K103" s="188">
        <f t="shared" si="20"/>
        <v>38.683697656025842</v>
      </c>
      <c r="L103" s="188">
        <f t="shared" si="29"/>
        <v>96.709244140064612</v>
      </c>
      <c r="M103" s="188">
        <f t="shared" si="21"/>
        <v>193.41848828012922</v>
      </c>
      <c r="N103" s="188">
        <f t="shared" si="22"/>
        <v>3868.3697656025843</v>
      </c>
      <c r="O103" s="188">
        <f t="shared" si="23"/>
        <v>38683.697656025841</v>
      </c>
      <c r="P103" s="188">
        <f>IF(AND(COUNTIFS('Dry Cleaning Model'!$B$20:$B$44, A103, 'Dry Cleaning Model'!$E$20:$E$44, H103)=1, SUMIFS('Dry Cleaning Model'!$N$20:$N$44, 'Dry Cleaning Model'!$B$20:$B$44, A103, 'Dry Cleaning Model'!$E$20:$E$44, H103)&gt;0), SUMIFS('Dry Cleaning Model'!$N$20:$N$44, 'Dry Cleaning Model'!$B$20:$B$44, A103, 'Dry Cleaning Model'!$E$20:$E$44, H103), "-")</f>
        <v>4.7370062245406119</v>
      </c>
      <c r="Q103" s="188">
        <f t="shared" si="24"/>
        <v>47.370062245406118</v>
      </c>
      <c r="R103" s="188">
        <f t="shared" si="25"/>
        <v>118.4251556135153</v>
      </c>
      <c r="S103" s="188">
        <f t="shared" si="26"/>
        <v>236.8503112270306</v>
      </c>
      <c r="T103" s="188">
        <f t="shared" si="27"/>
        <v>4737.0062245406116</v>
      </c>
      <c r="U103" s="189">
        <f t="shared" si="28"/>
        <v>47370.062245406116</v>
      </c>
    </row>
    <row r="104" spans="1:21" ht="15" customHeight="1" x14ac:dyDescent="0.25">
      <c r="A104" s="337" t="s">
        <v>59</v>
      </c>
      <c r="B104" s="591"/>
      <c r="C104" s="584"/>
      <c r="D104" s="611"/>
      <c r="E104" s="598" t="s">
        <v>187</v>
      </c>
      <c r="F104" s="596" t="s">
        <v>188</v>
      </c>
      <c r="G104" s="593"/>
      <c r="H104" s="334" t="s">
        <v>38</v>
      </c>
      <c r="I104" s="331">
        <f>VLOOKUP(A104, 'Look-up Values'!$F$6:$J$11, 5, FALSE)</f>
        <v>100</v>
      </c>
      <c r="J104" s="187">
        <f>IF(AND(COUNTIFS('Dry Cleaning Model'!$B$20:$B$44, A104, 'Dry Cleaning Model'!$E$20:$E$44, H104)=1, SUMIFS('Dry Cleaning Model'!$F$20:$F$44, 'Dry Cleaning Model'!$B$20:$B$44, A104, 'Dry Cleaning Model'!$E$20:$E$44, H104)&gt;0), SUMIFS('Dry Cleaning Model'!$F$20:$F$44, 'Dry Cleaning Model'!$B$20:$B$44, A104, 'Dry Cleaning Model'!$E$20:$E$44, H104), "-")</f>
        <v>12.701206333431147</v>
      </c>
      <c r="K104" s="188">
        <f t="shared" si="20"/>
        <v>127.01206333431146</v>
      </c>
      <c r="L104" s="188">
        <f t="shared" si="29"/>
        <v>317.53015833577865</v>
      </c>
      <c r="M104" s="188">
        <f t="shared" si="21"/>
        <v>635.0603166715573</v>
      </c>
      <c r="N104" s="188">
        <f t="shared" si="22"/>
        <v>12701.206333431146</v>
      </c>
      <c r="O104" s="188">
        <f t="shared" si="23"/>
        <v>127012.06333431146</v>
      </c>
      <c r="P104" s="188">
        <f>IF(AND(COUNTIFS('Dry Cleaning Model'!$B$20:$B$44, A104, 'Dry Cleaning Model'!$E$20:$E$44, H104)=1, SUMIFS('Dry Cleaning Model'!$N$20:$N$44, 'Dry Cleaning Model'!$B$20:$B$44, A104, 'Dry Cleaning Model'!$E$20:$E$44, H104)&gt;0), SUMIFS('Dry Cleaning Model'!$N$20:$N$44, 'Dry Cleaning Model'!$B$20:$B$44, A104, 'Dry Cleaning Model'!$E$20:$E$44, H104), "-")</f>
        <v>17.781837221838295</v>
      </c>
      <c r="Q104" s="188">
        <f t="shared" si="24"/>
        <v>177.81837221838293</v>
      </c>
      <c r="R104" s="188">
        <f t="shared" si="25"/>
        <v>444.54593054595739</v>
      </c>
      <c r="S104" s="188">
        <f t="shared" si="26"/>
        <v>889.09186109191478</v>
      </c>
      <c r="T104" s="188">
        <f t="shared" si="27"/>
        <v>17781.837221838294</v>
      </c>
      <c r="U104" s="189">
        <f t="shared" si="28"/>
        <v>177818.37221838295</v>
      </c>
    </row>
    <row r="105" spans="1:21" ht="15" customHeight="1" x14ac:dyDescent="0.25">
      <c r="A105" s="337" t="s">
        <v>59</v>
      </c>
      <c r="B105" s="591"/>
      <c r="C105" s="584"/>
      <c r="D105" s="611"/>
      <c r="E105" s="598"/>
      <c r="F105" s="596"/>
      <c r="G105" s="593"/>
      <c r="H105" s="334" t="s">
        <v>40</v>
      </c>
      <c r="I105" s="331">
        <f>VLOOKUP(A105, 'Look-up Values'!$F$6:$J$11, 5, FALSE)</f>
        <v>100</v>
      </c>
      <c r="J105" s="187">
        <f>IF(AND(COUNTIFS('Dry Cleaning Model'!$B$20:$B$44, A105, 'Dry Cleaning Model'!$E$20:$E$44, H105)=1, SUMIFS('Dry Cleaning Model'!$F$20:$F$44, 'Dry Cleaning Model'!$B$20:$B$44, A105, 'Dry Cleaning Model'!$E$20:$E$44, H105)&gt;0), SUMIFS('Dry Cleaning Model'!$F$20:$F$44, 'Dry Cleaning Model'!$B$20:$B$44, A105, 'Dry Cleaning Model'!$E$20:$E$44, H105), "-")</f>
        <v>34.862891677101693</v>
      </c>
      <c r="K105" s="188">
        <f t="shared" si="20"/>
        <v>348.62891677101692</v>
      </c>
      <c r="L105" s="188">
        <f t="shared" si="29"/>
        <v>871.57229192754232</v>
      </c>
      <c r="M105" s="188">
        <f t="shared" si="21"/>
        <v>1743.1445838550846</v>
      </c>
      <c r="N105" s="188">
        <f t="shared" si="22"/>
        <v>34862.891677101696</v>
      </c>
      <c r="O105" s="188">
        <f t="shared" si="23"/>
        <v>348628.91677101696</v>
      </c>
      <c r="P105" s="188">
        <f>IF(AND(COUNTIFS('Dry Cleaning Model'!$B$20:$B$44, A105, 'Dry Cleaning Model'!$E$20:$E$44, H105)=1, SUMIFS('Dry Cleaning Model'!$N$20:$N$44, 'Dry Cleaning Model'!$B$20:$B$44, A105, 'Dry Cleaning Model'!$E$20:$E$44, H105)&gt;0), SUMIFS('Dry Cleaning Model'!$N$20:$N$44, 'Dry Cleaning Model'!$B$20:$B$44, A105, 'Dry Cleaning Model'!$E$20:$E$44, H105), "-")</f>
        <v>42.466568419943208</v>
      </c>
      <c r="Q105" s="188">
        <f t="shared" si="24"/>
        <v>424.66568419943206</v>
      </c>
      <c r="R105" s="188">
        <f t="shared" si="25"/>
        <v>1061.6642104985801</v>
      </c>
      <c r="S105" s="188">
        <f t="shared" si="26"/>
        <v>2123.3284209971603</v>
      </c>
      <c r="T105" s="188">
        <f t="shared" si="27"/>
        <v>42466.568419943207</v>
      </c>
      <c r="U105" s="189">
        <f t="shared" si="28"/>
        <v>424665.68419943209</v>
      </c>
    </row>
    <row r="106" spans="1:21" ht="15" customHeight="1" x14ac:dyDescent="0.25">
      <c r="A106" s="337" t="s">
        <v>61</v>
      </c>
      <c r="B106" s="591"/>
      <c r="C106" s="584"/>
      <c r="D106" s="611"/>
      <c r="E106" s="598"/>
      <c r="F106" s="596" t="s">
        <v>189</v>
      </c>
      <c r="G106" s="593"/>
      <c r="H106" s="334" t="s">
        <v>38</v>
      </c>
      <c r="I106" s="331">
        <f>VLOOKUP(A106, 'Look-up Values'!$F$6:$J$11, 5, FALSE)</f>
        <v>100</v>
      </c>
      <c r="J106" s="187">
        <f>IF(AND(COUNTIFS('Dry Cleaning Model'!$B$20:$B$44, A106, 'Dry Cleaning Model'!$E$20:$E$44, H106)=1, SUMIFS('Dry Cleaning Model'!$F$20:$F$44, 'Dry Cleaning Model'!$B$20:$B$44, A106, 'Dry Cleaning Model'!$E$20:$E$44, H106)&gt;0), SUMIFS('Dry Cleaning Model'!$F$20:$F$44, 'Dry Cleaning Model'!$B$20:$B$44, A106, 'Dry Cleaning Model'!$E$20:$E$44, H106), "-")</f>
        <v>15.523696629749178</v>
      </c>
      <c r="K106" s="188">
        <f t="shared" si="20"/>
        <v>155.23696629749179</v>
      </c>
      <c r="L106" s="188">
        <f t="shared" si="29"/>
        <v>388.09241574372948</v>
      </c>
      <c r="M106" s="188">
        <f t="shared" si="21"/>
        <v>776.18483148745895</v>
      </c>
      <c r="N106" s="188">
        <f t="shared" si="22"/>
        <v>15523.696629749178</v>
      </c>
      <c r="O106" s="188">
        <f t="shared" si="23"/>
        <v>155236.96629749177</v>
      </c>
      <c r="P106" s="188">
        <f>IF(AND(COUNTIFS('Dry Cleaning Model'!$B$20:$B$44, A106, 'Dry Cleaning Model'!$E$20:$E$44, H106)=1, SUMIFS('Dry Cleaning Model'!$N$20:$N$44, 'Dry Cleaning Model'!$B$20:$B$44, A106, 'Dry Cleaning Model'!$E$20:$E$44, H106)&gt;0), SUMIFS('Dry Cleaning Model'!$N$20:$N$44, 'Dry Cleaning Model'!$B$20:$B$44, A106, 'Dry Cleaning Model'!$E$20:$E$44, H106), "-")</f>
        <v>21.733356604469027</v>
      </c>
      <c r="Q106" s="188">
        <f t="shared" si="24"/>
        <v>217.33356604469026</v>
      </c>
      <c r="R106" s="188">
        <f t="shared" si="25"/>
        <v>543.33391511172567</v>
      </c>
      <c r="S106" s="188">
        <f t="shared" si="26"/>
        <v>1086.6678302234513</v>
      </c>
      <c r="T106" s="188">
        <f t="shared" si="27"/>
        <v>21733.356604469027</v>
      </c>
      <c r="U106" s="189">
        <f t="shared" si="28"/>
        <v>217333.56604469026</v>
      </c>
    </row>
    <row r="107" spans="1:21" ht="15" customHeight="1" x14ac:dyDescent="0.25">
      <c r="A107" s="337" t="s">
        <v>61</v>
      </c>
      <c r="B107" s="591"/>
      <c r="C107" s="584"/>
      <c r="D107" s="611"/>
      <c r="E107" s="598"/>
      <c r="F107" s="596"/>
      <c r="G107" s="593"/>
      <c r="H107" s="334" t="s">
        <v>40</v>
      </c>
      <c r="I107" s="331">
        <f>VLOOKUP(A107, 'Look-up Values'!$F$6:$J$11, 5, FALSE)</f>
        <v>100</v>
      </c>
      <c r="J107" s="187">
        <f>IF(AND(COUNTIFS('Dry Cleaning Model'!$B$20:$B$44, A107, 'Dry Cleaning Model'!$E$20:$E$44, H107)=1, SUMIFS('Dry Cleaning Model'!$F$20:$F$44, 'Dry Cleaning Model'!$B$20:$B$44, A107, 'Dry Cleaning Model'!$E$20:$E$44, H107)&gt;0), SUMIFS('Dry Cleaning Model'!$F$20:$F$44, 'Dry Cleaning Model'!$B$20:$B$44, A107, 'Dry Cleaning Model'!$E$20:$E$44, H107), "-")</f>
        <v>42.610200938679846</v>
      </c>
      <c r="K107" s="188">
        <f t="shared" si="20"/>
        <v>426.10200938679844</v>
      </c>
      <c r="L107" s="188">
        <f t="shared" si="29"/>
        <v>1065.2550234669961</v>
      </c>
      <c r="M107" s="188">
        <f t="shared" si="21"/>
        <v>2130.5100469339923</v>
      </c>
      <c r="N107" s="188">
        <f t="shared" si="22"/>
        <v>42610.200938679845</v>
      </c>
      <c r="O107" s="188">
        <f t="shared" si="23"/>
        <v>426102.00938679848</v>
      </c>
      <c r="P107" s="188">
        <f>IF(AND(COUNTIFS('Dry Cleaning Model'!$B$20:$B$44, A107, 'Dry Cleaning Model'!$E$20:$E$44, H107)=1, SUMIFS('Dry Cleaning Model'!$N$20:$N$44, 'Dry Cleaning Model'!$B$20:$B$44, A107, 'Dry Cleaning Model'!$E$20:$E$44, H107)&gt;0), SUMIFS('Dry Cleaning Model'!$N$20:$N$44, 'Dry Cleaning Model'!$B$20:$B$44, A107, 'Dry Cleaning Model'!$E$20:$E$44, H107), "-")</f>
        <v>51.903583624375031</v>
      </c>
      <c r="Q107" s="188">
        <f t="shared" si="24"/>
        <v>519.03583624375028</v>
      </c>
      <c r="R107" s="188">
        <f t="shared" si="25"/>
        <v>1297.5895906093758</v>
      </c>
      <c r="S107" s="188">
        <f t="shared" si="26"/>
        <v>2595.1791812187516</v>
      </c>
      <c r="T107" s="188">
        <f t="shared" si="27"/>
        <v>51903.583624375031</v>
      </c>
      <c r="U107" s="189">
        <f t="shared" si="28"/>
        <v>519035.83624375029</v>
      </c>
    </row>
    <row r="108" spans="1:21" ht="15" customHeight="1" x14ac:dyDescent="0.25">
      <c r="A108" s="337" t="s">
        <v>63</v>
      </c>
      <c r="B108" s="591"/>
      <c r="C108" s="584"/>
      <c r="D108" s="611"/>
      <c r="E108" s="598"/>
      <c r="F108" s="596" t="s">
        <v>190</v>
      </c>
      <c r="G108" s="593" t="s">
        <v>191</v>
      </c>
      <c r="H108" s="334" t="s">
        <v>38</v>
      </c>
      <c r="I108" s="331">
        <f>VLOOKUP(A108, 'Look-up Values'!$F$6:$J$11, 5, FALSE)</f>
        <v>100</v>
      </c>
      <c r="J108" s="187">
        <f>IF(AND(COUNTIFS('Dry Cleaning Model'!$B$20:$B$44, A108, 'Dry Cleaning Model'!$E$20:$E$44, H108)=1, SUMIFS('Dry Cleaning Model'!$F$20:$F$44, 'Dry Cleaning Model'!$B$20:$B$44, A108, 'Dry Cleaning Model'!$E$20:$E$44, H108)&gt;0), SUMIFS('Dry Cleaning Model'!$F$20:$F$44, 'Dry Cleaning Model'!$B$20:$B$44, A108, 'Dry Cleaning Model'!$E$20:$E$44, H108), "-")</f>
        <v>4.5865467315168029</v>
      </c>
      <c r="K108" s="188">
        <f t="shared" si="20"/>
        <v>45.865467315168033</v>
      </c>
      <c r="L108" s="188">
        <f t="shared" si="29"/>
        <v>114.66366828792007</v>
      </c>
      <c r="M108" s="188">
        <f t="shared" si="21"/>
        <v>229.32733657584015</v>
      </c>
      <c r="N108" s="188">
        <f t="shared" si="22"/>
        <v>4586.5467315168025</v>
      </c>
      <c r="O108" s="188">
        <f t="shared" si="23"/>
        <v>45865.467315168033</v>
      </c>
      <c r="P108" s="188">
        <f>IF(AND(COUNTIFS('Dry Cleaning Model'!$B$20:$B$44, A108, 'Dry Cleaning Model'!$E$20:$E$44, H108)=1, SUMIFS('Dry Cleaning Model'!$N$20:$N$44, 'Dry Cleaning Model'!$B$20:$B$44, A108, 'Dry Cleaning Model'!$E$20:$E$44, H108)&gt;0), SUMIFS('Dry Cleaning Model'!$N$20:$N$44, 'Dry Cleaning Model'!$B$20:$B$44, A108, 'Dry Cleaning Model'!$E$20:$E$44, H108), "-")</f>
        <v>6.4212189967749396</v>
      </c>
      <c r="Q108" s="188">
        <f t="shared" si="24"/>
        <v>64.212189967749396</v>
      </c>
      <c r="R108" s="188">
        <f t="shared" si="25"/>
        <v>160.53047491937349</v>
      </c>
      <c r="S108" s="188">
        <f t="shared" si="26"/>
        <v>321.06094983874698</v>
      </c>
      <c r="T108" s="188">
        <f t="shared" si="27"/>
        <v>6421.21899677494</v>
      </c>
      <c r="U108" s="189">
        <f t="shared" si="28"/>
        <v>64212.189967749393</v>
      </c>
    </row>
    <row r="109" spans="1:21" ht="15" customHeight="1" x14ac:dyDescent="0.25">
      <c r="A109" s="337" t="s">
        <v>63</v>
      </c>
      <c r="B109" s="591"/>
      <c r="C109" s="584"/>
      <c r="D109" s="611"/>
      <c r="E109" s="598"/>
      <c r="F109" s="596"/>
      <c r="G109" s="593"/>
      <c r="H109" s="334" t="s">
        <v>40</v>
      </c>
      <c r="I109" s="331">
        <f>VLOOKUP(A109, 'Look-up Values'!$F$6:$J$11, 5, FALSE)</f>
        <v>100</v>
      </c>
      <c r="J109" s="187">
        <f>IF(AND(COUNTIFS('Dry Cleaning Model'!$B$20:$B$44, A109, 'Dry Cleaning Model'!$E$20:$E$44, H109)=1, SUMIFS('Dry Cleaning Model'!$F$20:$F$44, 'Dry Cleaning Model'!$B$20:$B$44, A109, 'Dry Cleaning Model'!$E$20:$E$44, H109)&gt;0), SUMIFS('Dry Cleaning Model'!$F$20:$F$44, 'Dry Cleaning Model'!$B$20:$B$44, A109, 'Dry Cleaning Model'!$E$20:$E$44, H109), "-")</f>
        <v>12.5893775500645</v>
      </c>
      <c r="K109" s="188">
        <f t="shared" si="20"/>
        <v>125.89377550064499</v>
      </c>
      <c r="L109" s="188">
        <f t="shared" si="29"/>
        <v>314.73443875161252</v>
      </c>
      <c r="M109" s="188">
        <f t="shared" si="21"/>
        <v>629.46887750322503</v>
      </c>
      <c r="N109" s="188">
        <f t="shared" si="22"/>
        <v>12589.377550064499</v>
      </c>
      <c r="O109" s="188">
        <f t="shared" si="23"/>
        <v>125893.775500645</v>
      </c>
      <c r="P109" s="188">
        <f>IF(AND(COUNTIFS('Dry Cleaning Model'!$B$20:$B$44, A109, 'Dry Cleaning Model'!$E$20:$E$44, H109)=1, SUMIFS('Dry Cleaning Model'!$N$20:$N$44, 'Dry Cleaning Model'!$B$20:$B$44, A109, 'Dry Cleaning Model'!$E$20:$E$44, H109)&gt;0), SUMIFS('Dry Cleaning Model'!$N$20:$N$44, 'Dry Cleaning Model'!$B$20:$B$44, A109, 'Dry Cleaning Model'!$E$20:$E$44, H109), "-")</f>
        <v>15.335149707201714</v>
      </c>
      <c r="Q109" s="188">
        <f t="shared" si="24"/>
        <v>153.35149707201714</v>
      </c>
      <c r="R109" s="188">
        <f t="shared" si="25"/>
        <v>383.37874268004282</v>
      </c>
      <c r="S109" s="188">
        <f t="shared" si="26"/>
        <v>766.75748536008564</v>
      </c>
      <c r="T109" s="188">
        <f t="shared" si="27"/>
        <v>15335.149707201714</v>
      </c>
      <c r="U109" s="189">
        <f t="shared" si="28"/>
        <v>153351.49707201714</v>
      </c>
    </row>
    <row r="110" spans="1:21" ht="15" customHeight="1" x14ac:dyDescent="0.25">
      <c r="A110" s="337" t="s">
        <v>65</v>
      </c>
      <c r="B110" s="591"/>
      <c r="C110" s="584"/>
      <c r="D110" s="611"/>
      <c r="E110" s="598"/>
      <c r="F110" s="596" t="s">
        <v>184</v>
      </c>
      <c r="G110" s="606" t="s">
        <v>185</v>
      </c>
      <c r="H110" s="334" t="s">
        <v>38</v>
      </c>
      <c r="I110" s="331">
        <f>VLOOKUP(A110, 'Look-up Values'!$F$6:$J$11, 5, FALSE)</f>
        <v>100</v>
      </c>
      <c r="J110" s="187">
        <f>IF(AND(COUNTIFS('Dry Cleaning Model'!$B$20:$B$44, A110, 'Dry Cleaning Model'!$E$20:$E$44, H110)=1, SUMIFS('Dry Cleaning Model'!$F$20:$F$44, 'Dry Cleaning Model'!$B$20:$B$44, A110, 'Dry Cleaning Model'!$E$20:$E$44, H110)&gt;0), SUMIFS('Dry Cleaning Model'!$F$20:$F$44, 'Dry Cleaning Model'!$B$20:$B$44, A110, 'Dry Cleaning Model'!$E$20:$E$44, H110), "-")</f>
        <v>3.5281128703975404</v>
      </c>
      <c r="K110" s="188">
        <f t="shared" si="20"/>
        <v>35.281128703975405</v>
      </c>
      <c r="L110" s="188">
        <f t="shared" si="29"/>
        <v>88.202821759938516</v>
      </c>
      <c r="M110" s="188">
        <f t="shared" si="21"/>
        <v>176.40564351987703</v>
      </c>
      <c r="N110" s="188">
        <f t="shared" si="22"/>
        <v>3528.1128703975405</v>
      </c>
      <c r="O110" s="188">
        <f t="shared" si="23"/>
        <v>35281.128703975402</v>
      </c>
      <c r="P110" s="188">
        <f>IF(AND(COUNTIFS('Dry Cleaning Model'!$B$20:$B$44, A110, 'Dry Cleaning Model'!$E$20:$E$44, H110)=1, SUMIFS('Dry Cleaning Model'!$N$20:$N$44, 'Dry Cleaning Model'!$B$20:$B$44, A110, 'Dry Cleaning Model'!$E$20:$E$44, H110)&gt;0), SUMIFS('Dry Cleaning Model'!$N$20:$N$44, 'Dry Cleaning Model'!$B$20:$B$44, A110, 'Dry Cleaning Model'!$E$20:$E$44, H110), "-")</f>
        <v>4.9393992282884147</v>
      </c>
      <c r="Q110" s="188">
        <f t="shared" si="24"/>
        <v>49.393992282884149</v>
      </c>
      <c r="R110" s="188">
        <f t="shared" si="25"/>
        <v>123.48498070721037</v>
      </c>
      <c r="S110" s="188">
        <f t="shared" si="26"/>
        <v>246.96996141442074</v>
      </c>
      <c r="T110" s="188">
        <f t="shared" si="27"/>
        <v>4939.3992282884146</v>
      </c>
      <c r="U110" s="189">
        <f t="shared" si="28"/>
        <v>49393.992282884145</v>
      </c>
    </row>
    <row r="111" spans="1:21" ht="15" customHeight="1" x14ac:dyDescent="0.25">
      <c r="A111" s="337" t="s">
        <v>65</v>
      </c>
      <c r="B111" s="591"/>
      <c r="C111" s="584"/>
      <c r="D111" s="611"/>
      <c r="E111" s="598"/>
      <c r="F111" s="596"/>
      <c r="G111" s="607"/>
      <c r="H111" s="334" t="s">
        <v>40</v>
      </c>
      <c r="I111" s="331">
        <f>VLOOKUP(A111, 'Look-up Values'!$F$6:$J$11, 5, FALSE)</f>
        <v>100</v>
      </c>
      <c r="J111" s="187">
        <f>IF(AND(COUNTIFS('Dry Cleaning Model'!$B$20:$B$44, A111, 'Dry Cleaning Model'!$E$20:$E$44, H111)=1, SUMIFS('Dry Cleaning Model'!$F$20:$F$44, 'Dry Cleaning Model'!$B$20:$B$44, A111, 'Dry Cleaning Model'!$E$20:$E$44, H111)&gt;0), SUMIFS('Dry Cleaning Model'!$F$20:$F$44, 'Dry Cleaning Model'!$B$20:$B$44, A111, 'Dry Cleaning Model'!$E$20:$E$44, H111), "-")</f>
        <v>9.6841365769726924</v>
      </c>
      <c r="K111" s="188">
        <f t="shared" si="20"/>
        <v>96.84136576972692</v>
      </c>
      <c r="L111" s="188">
        <f t="shared" si="29"/>
        <v>242.10341442431732</v>
      </c>
      <c r="M111" s="188">
        <f t="shared" si="21"/>
        <v>484.20682884863464</v>
      </c>
      <c r="N111" s="188">
        <f t="shared" si="22"/>
        <v>9684.1365769726926</v>
      </c>
      <c r="O111" s="188">
        <f t="shared" si="23"/>
        <v>96841.365769726923</v>
      </c>
      <c r="P111" s="188">
        <f>IF(AND(COUNTIFS('Dry Cleaning Model'!$B$20:$B$44, A111, 'Dry Cleaning Model'!$E$20:$E$44, H111)=1, SUMIFS('Dry Cleaning Model'!$N$20:$N$44, 'Dry Cleaning Model'!$B$20:$B$44, A111, 'Dry Cleaning Model'!$E$20:$E$44, H111)&gt;0), SUMIFS('Dry Cleaning Model'!$N$20:$N$44, 'Dry Cleaning Model'!$B$20:$B$44, A111, 'Dry Cleaning Model'!$E$20:$E$44, H111), "-")</f>
        <v>11.796269005539779</v>
      </c>
      <c r="Q111" s="188">
        <f t="shared" si="24"/>
        <v>117.96269005539779</v>
      </c>
      <c r="R111" s="188">
        <f t="shared" si="25"/>
        <v>294.90672513849449</v>
      </c>
      <c r="S111" s="188">
        <f t="shared" si="26"/>
        <v>589.81345027698899</v>
      </c>
      <c r="T111" s="188">
        <f t="shared" si="27"/>
        <v>11796.26900553978</v>
      </c>
      <c r="U111" s="189">
        <f t="shared" si="28"/>
        <v>117962.69005539779</v>
      </c>
    </row>
    <row r="112" spans="1:21" ht="15" customHeight="1" x14ac:dyDescent="0.25">
      <c r="A112" s="337" t="s">
        <v>66</v>
      </c>
      <c r="B112" s="591"/>
      <c r="C112" s="584"/>
      <c r="D112" s="611"/>
      <c r="E112" s="598"/>
      <c r="F112" s="602" t="s">
        <v>186</v>
      </c>
      <c r="G112" s="607"/>
      <c r="H112" s="334" t="s">
        <v>38</v>
      </c>
      <c r="I112" s="327">
        <f>VLOOKUP(A112, 'Look-up Values'!$F$6:$J$14, 5, FALSE)</f>
        <v>100</v>
      </c>
      <c r="J112" s="187">
        <f>IF(AND(COUNTIFS('Dry Cleaning Model'!$B$20:$B$44, A112, 'Dry Cleaning Model'!$E$20:$E$44, H112)=1, SUMIFS('Dry Cleaning Model'!$F$20:$F$44, 'Dry Cleaning Model'!$B$20:$B$44, A112, 'Dry Cleaning Model'!$E$20:$E$44, H112)&gt;0), SUMIFS('Dry Cleaning Model'!$F$20:$F$44, 'Dry Cleaning Model'!$B$20:$B$44, A112, 'Dry Cleaning Model'!$E$20:$E$44, H112), "-")</f>
        <v>2.0022040539506043</v>
      </c>
      <c r="K112" s="188">
        <f t="shared" si="20"/>
        <v>20.022040539506044</v>
      </c>
      <c r="L112" s="188">
        <f t="shared" si="29"/>
        <v>50.055101348765106</v>
      </c>
      <c r="M112" s="188">
        <f t="shared" si="21"/>
        <v>100.11020269753021</v>
      </c>
      <c r="N112" s="188">
        <f t="shared" si="22"/>
        <v>2002.2040539506042</v>
      </c>
      <c r="O112" s="188">
        <f t="shared" si="23"/>
        <v>20022.040539506044</v>
      </c>
      <c r="P112" s="188">
        <f>IF(AND(COUNTIFS('Dry Cleaning Model'!$B$20:$B$44, A112, 'Dry Cleaning Model'!$E$20:$E$44, H112)=1, SUMIFS('Dry Cleaning Model'!$N$20:$N$44, 'Dry Cleaning Model'!$B$20:$B$44, A112, 'Dry Cleaning Model'!$E$20:$E$44, H112)&gt;0), SUMIFS('Dry Cleaning Model'!$N$20:$N$44, 'Dry Cleaning Model'!$B$20:$B$44, A112, 'Dry Cleaning Model'!$E$20:$E$44, H112), "-")</f>
        <v>2.8031090620536756</v>
      </c>
      <c r="Q112" s="188">
        <f t="shared" si="24"/>
        <v>28.031090620536755</v>
      </c>
      <c r="R112" s="188">
        <f t="shared" si="25"/>
        <v>70.077726551341897</v>
      </c>
      <c r="S112" s="188">
        <f t="shared" si="26"/>
        <v>140.15545310268379</v>
      </c>
      <c r="T112" s="188">
        <f t="shared" si="27"/>
        <v>2803.1090620536756</v>
      </c>
      <c r="U112" s="189">
        <f t="shared" si="28"/>
        <v>28031.090620536757</v>
      </c>
    </row>
    <row r="113" spans="1:21" ht="15" customHeight="1" x14ac:dyDescent="0.25">
      <c r="A113" s="337" t="s">
        <v>66</v>
      </c>
      <c r="B113" s="591"/>
      <c r="C113" s="584"/>
      <c r="D113" s="611"/>
      <c r="E113" s="598"/>
      <c r="F113" s="603"/>
      <c r="G113" s="608"/>
      <c r="H113" s="334" t="s">
        <v>40</v>
      </c>
      <c r="I113" s="327">
        <f>VLOOKUP(A113, 'Look-up Values'!$F$6:$J$14, 5, FALSE)</f>
        <v>100</v>
      </c>
      <c r="J113" s="187">
        <f>IF(AND(COUNTIFS('Dry Cleaning Model'!$B$20:$B$44, A113, 'Dry Cleaning Model'!$E$20:$E$44, H113)=1, SUMIFS('Dry Cleaning Model'!$F$20:$F$44, 'Dry Cleaning Model'!$B$20:$B$44, A113, 'Dry Cleaning Model'!$E$20:$E$44, H113)&gt;0), SUMIFS('Dry Cleaning Model'!$F$20:$F$44, 'Dry Cleaning Model'!$B$20:$B$44, A113, 'Dry Cleaning Model'!$E$20:$E$44, H113), "-")</f>
        <v>5.4957475074320028</v>
      </c>
      <c r="K113" s="188">
        <f t="shared" si="20"/>
        <v>54.95747507432003</v>
      </c>
      <c r="L113" s="188">
        <f t="shared" si="29"/>
        <v>137.39368768580007</v>
      </c>
      <c r="M113" s="188">
        <f t="shared" si="21"/>
        <v>274.78737537160015</v>
      </c>
      <c r="N113" s="188">
        <f t="shared" si="22"/>
        <v>5495.7475074320027</v>
      </c>
      <c r="O113" s="188">
        <f t="shared" si="23"/>
        <v>54957.475074320027</v>
      </c>
      <c r="P113" s="188">
        <f>IF(AND(COUNTIFS('Dry Cleaning Model'!$B$20:$B$44, A113, 'Dry Cleaning Model'!$E$20:$E$44, H113)=1, SUMIFS('Dry Cleaning Model'!$N$20:$N$44, 'Dry Cleaning Model'!$B$20:$B$44, A113, 'Dry Cleaning Model'!$E$20:$E$44, H113)&gt;0), SUMIFS('Dry Cleaning Model'!$N$20:$N$44, 'Dry Cleaning Model'!$B$20:$B$44, A113, 'Dry Cleaning Model'!$E$20:$E$44, H113), "-")</f>
        <v>6.6943826606438241</v>
      </c>
      <c r="Q113" s="188">
        <f t="shared" si="24"/>
        <v>66.943826606438236</v>
      </c>
      <c r="R113" s="188">
        <f t="shared" si="25"/>
        <v>167.35956651609561</v>
      </c>
      <c r="S113" s="188">
        <f t="shared" si="26"/>
        <v>334.71913303219122</v>
      </c>
      <c r="T113" s="188">
        <f t="shared" si="27"/>
        <v>6694.3826606438242</v>
      </c>
      <c r="U113" s="189">
        <f t="shared" si="28"/>
        <v>66943.826606438248</v>
      </c>
    </row>
    <row r="114" spans="1:21" ht="15" customHeight="1" x14ac:dyDescent="0.25">
      <c r="A114" s="337" t="s">
        <v>67</v>
      </c>
      <c r="B114" s="591"/>
      <c r="C114" s="584"/>
      <c r="D114" s="611"/>
      <c r="E114" s="598"/>
      <c r="F114" s="596" t="s">
        <v>192</v>
      </c>
      <c r="G114" s="593" t="s">
        <v>193</v>
      </c>
      <c r="H114" s="334" t="s">
        <v>38</v>
      </c>
      <c r="I114" s="331">
        <f>VLOOKUP(A114, 'Look-up Values'!$F$6:$J$11, 5, FALSE)</f>
        <v>100</v>
      </c>
      <c r="J114" s="187">
        <f>IF(AND(COUNTIFS('Dry Cleaning Model'!$B$20:$B$44, A114, 'Dry Cleaning Model'!$E$20:$E$44, H114)=1, SUMIFS('Dry Cleaning Model'!$F$20:$F$44, 'Dry Cleaning Model'!$B$20:$B$44, A114, 'Dry Cleaning Model'!$E$20:$E$44, H114)&gt;0), SUMIFS('Dry Cleaning Model'!$F$20:$F$44, 'Dry Cleaning Model'!$B$20:$B$44, A114, 'Dry Cleaning Model'!$E$20:$E$44, H114), "-")</f>
        <v>2.1521488509424995</v>
      </c>
      <c r="K114" s="188">
        <f t="shared" si="20"/>
        <v>21.521488509424994</v>
      </c>
      <c r="L114" s="188">
        <f t="shared" si="29"/>
        <v>53.803721273562488</v>
      </c>
      <c r="M114" s="188">
        <f t="shared" si="21"/>
        <v>107.60744254712498</v>
      </c>
      <c r="N114" s="188">
        <f t="shared" si="22"/>
        <v>2152.1488509424994</v>
      </c>
      <c r="O114" s="188">
        <f t="shared" si="23"/>
        <v>21521.488509424995</v>
      </c>
      <c r="P114" s="188">
        <f>IF(AND(COUNTIFS('Dry Cleaning Model'!$B$20:$B$44, A114, 'Dry Cleaning Model'!$E$20:$E$44, H114)=1, SUMIFS('Dry Cleaning Model'!$N$20:$N$44, 'Dry Cleaning Model'!$B$20:$B$44, A114, 'Dry Cleaning Model'!$E$20:$E$44, H114)&gt;0), SUMIFS('Dry Cleaning Model'!$N$20:$N$44, 'Dry Cleaning Model'!$B$20:$B$44, A114, 'Dry Cleaning Model'!$E$20:$E$44, H114), "-")</f>
        <v>3.0130335292559329</v>
      </c>
      <c r="Q114" s="188">
        <f t="shared" si="24"/>
        <v>30.13033529255933</v>
      </c>
      <c r="R114" s="188">
        <f t="shared" si="25"/>
        <v>75.325838231398322</v>
      </c>
      <c r="S114" s="188">
        <f t="shared" si="26"/>
        <v>150.65167646279664</v>
      </c>
      <c r="T114" s="188">
        <f t="shared" si="27"/>
        <v>3013.033529255933</v>
      </c>
      <c r="U114" s="189">
        <f t="shared" si="28"/>
        <v>30130.335292559328</v>
      </c>
    </row>
    <row r="115" spans="1:21" ht="15" customHeight="1" x14ac:dyDescent="0.25">
      <c r="A115" s="337" t="s">
        <v>67</v>
      </c>
      <c r="B115" s="591"/>
      <c r="C115" s="584"/>
      <c r="D115" s="611"/>
      <c r="E115" s="598"/>
      <c r="F115" s="596"/>
      <c r="G115" s="593"/>
      <c r="H115" s="334" t="s">
        <v>40</v>
      </c>
      <c r="I115" s="331">
        <f>VLOOKUP(A115, 'Look-up Values'!$F$6:$J$11, 5, FALSE)</f>
        <v>100</v>
      </c>
      <c r="J115" s="187">
        <f>IF(AND(COUNTIFS('Dry Cleaning Model'!$B$20:$B$44, A115, 'Dry Cleaning Model'!$E$20:$E$44, H115)=1, SUMIFS('Dry Cleaning Model'!$F$20:$F$44, 'Dry Cleaning Model'!$B$20:$B$44, A115, 'Dry Cleaning Model'!$E$20:$E$44, H115)&gt;0), SUMIFS('Dry Cleaning Model'!$F$20:$F$44, 'Dry Cleaning Model'!$B$20:$B$44, A115, 'Dry Cleaning Model'!$E$20:$E$44, H115), "-")</f>
        <v>5.9073233119533421</v>
      </c>
      <c r="K115" s="188">
        <f t="shared" si="20"/>
        <v>59.07323311953342</v>
      </c>
      <c r="L115" s="188">
        <f t="shared" si="29"/>
        <v>147.68308279883357</v>
      </c>
      <c r="M115" s="188">
        <f t="shared" si="21"/>
        <v>295.36616559766713</v>
      </c>
      <c r="N115" s="188">
        <f t="shared" si="22"/>
        <v>5907.3233119533425</v>
      </c>
      <c r="O115" s="188">
        <f t="shared" si="23"/>
        <v>59073.233119533419</v>
      </c>
      <c r="P115" s="188">
        <f>IF(AND(COUNTIFS('Dry Cleaning Model'!$B$20:$B$44, A115, 'Dry Cleaning Model'!$E$20:$E$44, H115)=1, SUMIFS('Dry Cleaning Model'!$N$20:$N$44, 'Dry Cleaning Model'!$B$20:$B$44, A115, 'Dry Cleaning Model'!$E$20:$E$44, H115)&gt;0), SUMIFS('Dry Cleaning Model'!$N$20:$N$44, 'Dry Cleaning Model'!$B$20:$B$44, A115, 'Dry Cleaning Model'!$E$20:$E$44, H115), "-")</f>
        <v>7.1957240933792646</v>
      </c>
      <c r="Q115" s="188">
        <f t="shared" si="24"/>
        <v>71.957240933792647</v>
      </c>
      <c r="R115" s="188">
        <f t="shared" si="25"/>
        <v>179.89310233448163</v>
      </c>
      <c r="S115" s="188">
        <f t="shared" si="26"/>
        <v>359.78620466896325</v>
      </c>
      <c r="T115" s="188">
        <f t="shared" si="27"/>
        <v>7195.7240933792646</v>
      </c>
      <c r="U115" s="189">
        <f t="shared" si="28"/>
        <v>71957.240933792651</v>
      </c>
    </row>
    <row r="116" spans="1:21" ht="15" customHeight="1" x14ac:dyDescent="0.25">
      <c r="A116" s="338" t="s">
        <v>76</v>
      </c>
      <c r="B116" s="591"/>
      <c r="C116" s="584"/>
      <c r="D116" s="611"/>
      <c r="E116" s="598" t="s">
        <v>194</v>
      </c>
      <c r="F116" s="596" t="s">
        <v>195</v>
      </c>
      <c r="G116" s="593"/>
      <c r="H116" s="334" t="s">
        <v>38</v>
      </c>
      <c r="I116" s="332">
        <f>0.0001</f>
        <v>1E-4</v>
      </c>
      <c r="J116" s="187">
        <f>IF(AND(COUNTIFS('Dry Cleaning Model'!$B$20:$B$44, A116, 'Dry Cleaning Model'!$E$20:$E$44, H116)=1, SUMIFS('Dry Cleaning Model'!$F$20:$F$44, 'Dry Cleaning Model'!$B$20:$B$44, A116, 'Dry Cleaning Model'!$E$20:$E$44, H116)&gt;0), SUMIFS('Dry Cleaning Model'!$F$20:$F$44, 'Dry Cleaning Model'!$B$20:$B$44, A116, 'Dry Cleaning Model'!$E$20:$E$44, H116), "-")</f>
        <v>4.5798606574311623E-3</v>
      </c>
      <c r="K116" s="188">
        <f t="shared" si="20"/>
        <v>4.5798606574311621E-4</v>
      </c>
      <c r="L116" s="188">
        <f t="shared" si="29"/>
        <v>1.8319442629724649E-4</v>
      </c>
      <c r="M116" s="188">
        <f t="shared" si="21"/>
        <v>9.1597213148623247E-5</v>
      </c>
      <c r="N116" s="188">
        <f t="shared" si="22"/>
        <v>4.5798606574311625E-6</v>
      </c>
      <c r="O116" s="188">
        <f t="shared" si="23"/>
        <v>4.5798606574311625E-7</v>
      </c>
      <c r="P116" s="188">
        <f>IF(AND(COUNTIFS('Dry Cleaning Model'!$B$20:$B$44, A116, 'Dry Cleaning Model'!$E$20:$E$44, H116)=1, SUMIFS('Dry Cleaning Model'!$N$20:$N$44, 'Dry Cleaning Model'!$B$20:$B$44, A116, 'Dry Cleaning Model'!$E$20:$E$44, H116)&gt;0), SUMIFS('Dry Cleaning Model'!$N$20:$N$44, 'Dry Cleaning Model'!$B$20:$B$44, A116, 'Dry Cleaning Model'!$E$20:$E$44, H116), "-")</f>
        <v>3.2894632151118132E-3</v>
      </c>
      <c r="Q116" s="188">
        <f t="shared" si="24"/>
        <v>3.2894632151118133E-4</v>
      </c>
      <c r="R116" s="188">
        <f t="shared" si="25"/>
        <v>1.3157852860447254E-4</v>
      </c>
      <c r="S116" s="188">
        <f t="shared" si="26"/>
        <v>6.5789264302236269E-5</v>
      </c>
      <c r="T116" s="188">
        <f t="shared" si="27"/>
        <v>3.2894632151118131E-6</v>
      </c>
      <c r="U116" s="189">
        <f t="shared" si="28"/>
        <v>3.289463215111813E-7</v>
      </c>
    </row>
    <row r="117" spans="1:21" ht="15" customHeight="1" thickBot="1" x14ac:dyDescent="0.3">
      <c r="A117" s="339" t="s">
        <v>76</v>
      </c>
      <c r="B117" s="592"/>
      <c r="C117" s="585"/>
      <c r="D117" s="612"/>
      <c r="E117" s="604"/>
      <c r="F117" s="605"/>
      <c r="G117" s="594"/>
      <c r="H117" s="342" t="s">
        <v>40</v>
      </c>
      <c r="I117" s="333">
        <f>0.0001</f>
        <v>1E-4</v>
      </c>
      <c r="J117" s="190">
        <f>IF(AND(COUNTIFS('Dry Cleaning Model'!$B$20:$B$44, A117, 'Dry Cleaning Model'!$E$20:$E$44, H117)=1, SUMIFS('Dry Cleaning Model'!$F$20:$F$44, 'Dry Cleaning Model'!$B$20:$B$44, A117, 'Dry Cleaning Model'!$E$20:$E$44, H117)&gt;0), SUMIFS('Dry Cleaning Model'!$F$20:$F$44, 'Dry Cleaning Model'!$B$20:$B$44, A117, 'Dry Cleaning Model'!$E$20:$E$44, H117), "-")</f>
        <v>1.5745507849587571E-3</v>
      </c>
      <c r="K117" s="191">
        <f t="shared" si="20"/>
        <v>1.5745507849587571E-4</v>
      </c>
      <c r="L117" s="191">
        <f t="shared" si="29"/>
        <v>6.2982031398350284E-5</v>
      </c>
      <c r="M117" s="191">
        <f t="shared" si="21"/>
        <v>3.1491015699175142E-5</v>
      </c>
      <c r="N117" s="191">
        <f t="shared" si="22"/>
        <v>1.5745507849587571E-6</v>
      </c>
      <c r="O117" s="191">
        <f t="shared" si="23"/>
        <v>1.5745507849587571E-7</v>
      </c>
      <c r="P117" s="191">
        <f>IF(AND(COUNTIFS('Dry Cleaning Model'!$B$20:$B$44, A117, 'Dry Cleaning Model'!$E$20:$E$44, H117)=1, SUMIFS('Dry Cleaning Model'!$N$20:$N$44, 'Dry Cleaning Model'!$B$20:$B$44, A117, 'Dry Cleaning Model'!$E$20:$E$44, H117)&gt;0), SUMIFS('Dry Cleaning Model'!$N$20:$N$44, 'Dry Cleaning Model'!$B$20:$B$44, A117, 'Dry Cleaning Model'!$E$20:$E$44, H117), "-")</f>
        <v>1.2818568604192526E-3</v>
      </c>
      <c r="Q117" s="191">
        <f t="shared" si="24"/>
        <v>1.2818568604192526E-4</v>
      </c>
      <c r="R117" s="191">
        <f t="shared" si="25"/>
        <v>5.1274274416770107E-5</v>
      </c>
      <c r="S117" s="191">
        <f t="shared" si="26"/>
        <v>2.5637137208385054E-5</v>
      </c>
      <c r="T117" s="191">
        <f t="shared" si="27"/>
        <v>1.2818568604192527E-6</v>
      </c>
      <c r="U117" s="192">
        <f t="shared" si="28"/>
        <v>1.2818568604192525E-7</v>
      </c>
    </row>
    <row r="118" spans="1:21" ht="12.75" customHeight="1" x14ac:dyDescent="0.25">
      <c r="A118" s="336" t="s">
        <v>49</v>
      </c>
      <c r="B118" s="590" t="s">
        <v>95</v>
      </c>
      <c r="C118" s="583" t="s">
        <v>22</v>
      </c>
      <c r="D118" s="609" t="s">
        <v>103</v>
      </c>
      <c r="E118" s="599" t="s">
        <v>183</v>
      </c>
      <c r="F118" s="595" t="s">
        <v>184</v>
      </c>
      <c r="G118" s="597" t="s">
        <v>185</v>
      </c>
      <c r="H118" s="340" t="s">
        <v>38</v>
      </c>
      <c r="I118" s="330">
        <f>VLOOKUP(A118, 'Look-up Values'!$F$6:$J$11, 5, FALSE)</f>
        <v>100</v>
      </c>
      <c r="J118" s="184">
        <f>IF(AND(COUNTIFS('Dry Cleaning Model'!$B$20:$B$44, A118, 'Dry Cleaning Model'!$E$20:$E$44, H118)=1, SUMIFS('Dry Cleaning Model'!$G$20:$G$44, 'Dry Cleaning Model'!$B$20:$B$44, A118, 'Dry Cleaning Model'!$E$20:$E$44, H118)&gt;0), SUMIFS('Dry Cleaning Model'!$G$20:$G$44, 'Dry Cleaning Model'!$B$20:$B$44, A118, 'Dry Cleaning Model'!$E$20:$E$44, H118), "-")</f>
        <v>0.33040729776222494</v>
      </c>
      <c r="K118" s="185">
        <f t="shared" si="20"/>
        <v>3.3040729776222495</v>
      </c>
      <c r="L118" s="185">
        <f t="shared" si="29"/>
        <v>8.2601824440556229</v>
      </c>
      <c r="M118" s="185">
        <f t="shared" si="21"/>
        <v>16.520364888111246</v>
      </c>
      <c r="N118" s="185">
        <f t="shared" si="22"/>
        <v>330.40729776222491</v>
      </c>
      <c r="O118" s="185">
        <f t="shared" si="23"/>
        <v>3304.0729776222493</v>
      </c>
      <c r="P118" s="185">
        <f>IF(AND(COUNTIFS('Dry Cleaning Model'!$B$20:$B$44, A118, 'Dry Cleaning Model'!$E$20:$E$44, H118)=1, SUMIFS('Dry Cleaning Model'!$O$20:$O$44, 'Dry Cleaning Model'!$B$20:$B$44, A118, 'Dry Cleaning Model'!$E$20:$E$44, H118)&gt;0), SUMIFS('Dry Cleaning Model'!$O$20:$O$44, 'Dry Cleaning Model'!$B$20:$B$44, A118, 'Dry Cleaning Model'!$E$20:$E$44, H118), "-")</f>
        <v>3.1431298550559439</v>
      </c>
      <c r="Q118" s="185">
        <f t="shared" si="24"/>
        <v>31.43129855055944</v>
      </c>
      <c r="R118" s="185">
        <f t="shared" si="25"/>
        <v>78.578246376398596</v>
      </c>
      <c r="S118" s="185">
        <f t="shared" si="26"/>
        <v>157.15649275279719</v>
      </c>
      <c r="T118" s="185">
        <f t="shared" si="27"/>
        <v>3143.1298550559441</v>
      </c>
      <c r="U118" s="186">
        <f t="shared" si="28"/>
        <v>31431.298550559441</v>
      </c>
    </row>
    <row r="119" spans="1:21" ht="15" customHeight="1" x14ac:dyDescent="0.25">
      <c r="A119" s="337" t="s">
        <v>49</v>
      </c>
      <c r="B119" s="591"/>
      <c r="C119" s="584"/>
      <c r="D119" s="598"/>
      <c r="E119" s="600"/>
      <c r="F119" s="596"/>
      <c r="G119" s="593"/>
      <c r="H119" s="334" t="s">
        <v>40</v>
      </c>
      <c r="I119" s="331">
        <f>VLOOKUP(A119, 'Look-up Values'!$F$6:$J$11, 5, FALSE)</f>
        <v>100</v>
      </c>
      <c r="J119" s="187">
        <f>IF(AND(COUNTIFS('Dry Cleaning Model'!$B$20:$B$44, A119, 'Dry Cleaning Model'!$E$20:$E$44, H119)=1, SUMIFS('Dry Cleaning Model'!$G$20:$G$44, 'Dry Cleaning Model'!$B$20:$B$44, A119, 'Dry Cleaning Model'!$E$20:$E$44, H119)&gt;0), SUMIFS('Dry Cleaning Model'!$G$20:$G$44, 'Dry Cleaning Model'!$B$20:$B$44, A119, 'Dry Cleaning Model'!$E$20:$E$44, H119), "-")</f>
        <v>1.4157778980003848</v>
      </c>
      <c r="K119" s="188">
        <f t="shared" si="20"/>
        <v>14.157778980003847</v>
      </c>
      <c r="L119" s="188">
        <f t="shared" si="29"/>
        <v>35.394447450009622</v>
      </c>
      <c r="M119" s="188">
        <f t="shared" si="21"/>
        <v>70.788894900019244</v>
      </c>
      <c r="N119" s="188">
        <f t="shared" si="22"/>
        <v>1415.7778980003848</v>
      </c>
      <c r="O119" s="188">
        <f t="shared" si="23"/>
        <v>14157.778980003848</v>
      </c>
      <c r="P119" s="188">
        <f>IF(AND(COUNTIFS('Dry Cleaning Model'!$B$20:$B$44, A119, 'Dry Cleaning Model'!$E$20:$E$44, H119)=1, SUMIFS('Dry Cleaning Model'!$O$20:$O$44, 'Dry Cleaning Model'!$B$20:$B$44, A119, 'Dry Cleaning Model'!$E$20:$E$44, H119)&gt;0), SUMIFS('Dry Cleaning Model'!$O$20:$O$44, 'Dry Cleaning Model'!$B$20:$B$44, A119, 'Dry Cleaning Model'!$E$20:$E$44, H119), "-")</f>
        <v>8.3960253435192183</v>
      </c>
      <c r="Q119" s="188">
        <f t="shared" si="24"/>
        <v>83.960253435192186</v>
      </c>
      <c r="R119" s="188">
        <f t="shared" si="25"/>
        <v>209.90063358798045</v>
      </c>
      <c r="S119" s="188">
        <f t="shared" si="26"/>
        <v>419.8012671759609</v>
      </c>
      <c r="T119" s="188">
        <f t="shared" si="27"/>
        <v>8396.0253435192189</v>
      </c>
      <c r="U119" s="189">
        <f t="shared" si="28"/>
        <v>83960.253435192179</v>
      </c>
    </row>
    <row r="120" spans="1:21" ht="15" customHeight="1" x14ac:dyDescent="0.25">
      <c r="A120" s="337" t="s">
        <v>51</v>
      </c>
      <c r="B120" s="591"/>
      <c r="C120" s="584"/>
      <c r="D120" s="598"/>
      <c r="E120" s="600"/>
      <c r="F120" s="602" t="s">
        <v>186</v>
      </c>
      <c r="G120" s="593"/>
      <c r="H120" s="334" t="s">
        <v>38</v>
      </c>
      <c r="I120" s="327">
        <f>VLOOKUP(A120, 'Look-up Values'!$F$6:$J$14, 5, FALSE)</f>
        <v>100</v>
      </c>
      <c r="J120" s="187">
        <f>IF(AND(COUNTIFS('Dry Cleaning Model'!$B$20:$B$44, A120, 'Dry Cleaning Model'!$E$20:$E$44, H120)=1, SUMIFS('Dry Cleaning Model'!$G$20:$G$44, 'Dry Cleaning Model'!$B$20:$B$44, A120, 'Dry Cleaning Model'!$E$20:$E$44, H120)&gt;0), SUMIFS('Dry Cleaning Model'!$G$20:$G$44, 'Dry Cleaning Model'!$B$20:$B$44, A120, 'Dry Cleaning Model'!$E$20:$E$44, H120), "-")</f>
        <v>0.18750614148006267</v>
      </c>
      <c r="K120" s="188">
        <f t="shared" si="20"/>
        <v>1.8750614148006268</v>
      </c>
      <c r="L120" s="188">
        <f t="shared" si="29"/>
        <v>4.6876535370015668</v>
      </c>
      <c r="M120" s="188">
        <f t="shared" si="21"/>
        <v>9.3753070740031337</v>
      </c>
      <c r="N120" s="188">
        <f t="shared" si="22"/>
        <v>187.50614148006267</v>
      </c>
      <c r="O120" s="188">
        <f t="shared" si="23"/>
        <v>1875.0614148006266</v>
      </c>
      <c r="P120" s="188">
        <f>IF(AND(COUNTIFS('Dry Cleaning Model'!$B$20:$B$44, A120, 'Dry Cleaning Model'!$E$20:$E$44, H120)=1, SUMIFS('Dry Cleaning Model'!$O$20:$O$44, 'Dry Cleaning Model'!$B$20:$B$44, A120, 'Dry Cleaning Model'!$E$20:$E$44, H120)&gt;0), SUMIFS('Dry Cleaning Model'!$O$20:$O$44, 'Dry Cleaning Model'!$B$20:$B$44, A120, 'Dry Cleaning Model'!$E$20:$E$44, H120), "-")</f>
        <v>1.7837261927442483</v>
      </c>
      <c r="Q120" s="188">
        <f t="shared" si="24"/>
        <v>17.837261927442484</v>
      </c>
      <c r="R120" s="188">
        <f t="shared" si="25"/>
        <v>44.593154818606209</v>
      </c>
      <c r="S120" s="188">
        <f t="shared" si="26"/>
        <v>89.186309637212418</v>
      </c>
      <c r="T120" s="188">
        <f t="shared" si="27"/>
        <v>1783.7261927442482</v>
      </c>
      <c r="U120" s="189">
        <f t="shared" si="28"/>
        <v>17837.261927442483</v>
      </c>
    </row>
    <row r="121" spans="1:21" ht="15" customHeight="1" x14ac:dyDescent="0.25">
      <c r="A121" s="337" t="s">
        <v>51</v>
      </c>
      <c r="B121" s="591"/>
      <c r="C121" s="584"/>
      <c r="D121" s="598"/>
      <c r="E121" s="601"/>
      <c r="F121" s="603"/>
      <c r="G121" s="593"/>
      <c r="H121" s="334" t="s">
        <v>40</v>
      </c>
      <c r="I121" s="327">
        <f>VLOOKUP(A121, 'Look-up Values'!$F$6:$J$14, 5, FALSE)</f>
        <v>100</v>
      </c>
      <c r="J121" s="187">
        <f>IF(AND(COUNTIFS('Dry Cleaning Model'!$B$20:$B$44, A121, 'Dry Cleaning Model'!$E$20:$E$44, H121)=1, SUMIFS('Dry Cleaning Model'!$G$20:$G$44, 'Dry Cleaning Model'!$B$20:$B$44, A121, 'Dry Cleaning Model'!$E$20:$E$44, H121)&gt;0), SUMIFS('Dry Cleaning Model'!$G$20:$G$44, 'Dry Cleaning Model'!$B$20:$B$44, A121, 'Dry Cleaning Model'!$E$20:$E$44, H121), "-")</f>
        <v>0.80345395711521839</v>
      </c>
      <c r="K121" s="188">
        <f t="shared" si="20"/>
        <v>8.0345395711521839</v>
      </c>
      <c r="L121" s="188">
        <f t="shared" si="29"/>
        <v>20.086348927880458</v>
      </c>
      <c r="M121" s="188">
        <f t="shared" si="21"/>
        <v>40.172697855760916</v>
      </c>
      <c r="N121" s="188">
        <f t="shared" si="22"/>
        <v>803.45395711521837</v>
      </c>
      <c r="O121" s="188">
        <f t="shared" si="23"/>
        <v>8034.5395711521842</v>
      </c>
      <c r="P121" s="188">
        <f>IF(AND(COUNTIFS('Dry Cleaning Model'!$B$20:$B$44, A121, 'Dry Cleaning Model'!$E$20:$E$44, H121)=1, SUMIFS('Dry Cleaning Model'!$O$20:$O$44, 'Dry Cleaning Model'!$B$20:$B$44, A121, 'Dry Cleaning Model'!$E$20:$E$44, H121)&gt;0), SUMIFS('Dry Cleaning Model'!$O$20:$O$44, 'Dry Cleaning Model'!$B$20:$B$44, A121, 'Dry Cleaning Model'!$E$20:$E$44, H121), "-")</f>
        <v>4.764744382447156</v>
      </c>
      <c r="Q121" s="188">
        <f t="shared" si="24"/>
        <v>47.647443824471559</v>
      </c>
      <c r="R121" s="188">
        <f t="shared" si="25"/>
        <v>119.1186095611789</v>
      </c>
      <c r="S121" s="188">
        <f t="shared" si="26"/>
        <v>238.2372191223578</v>
      </c>
      <c r="T121" s="188">
        <f t="shared" si="27"/>
        <v>4764.7443824471557</v>
      </c>
      <c r="U121" s="189">
        <f t="shared" si="28"/>
        <v>47647.443824471564</v>
      </c>
    </row>
    <row r="122" spans="1:21" x14ac:dyDescent="0.25">
      <c r="A122" s="337" t="s">
        <v>59</v>
      </c>
      <c r="B122" s="591"/>
      <c r="C122" s="584"/>
      <c r="D122" s="598"/>
      <c r="E122" s="598" t="s">
        <v>187</v>
      </c>
      <c r="F122" s="596" t="s">
        <v>188</v>
      </c>
      <c r="G122" s="593"/>
      <c r="H122" s="334" t="s">
        <v>38</v>
      </c>
      <c r="I122" s="331">
        <f>VLOOKUP(A122, 'Look-up Values'!$F$6:$J$11, 5, FALSE)</f>
        <v>100</v>
      </c>
      <c r="J122" s="187">
        <f>IF(AND(COUNTIFS('Dry Cleaning Model'!$B$20:$B$44, A122, 'Dry Cleaning Model'!$E$20:$E$44, H122)=1, SUMIFS('Dry Cleaning Model'!$G$20:$G$44, 'Dry Cleaning Model'!$B$20:$B$44, A122, 'Dry Cleaning Model'!$E$20:$E$44, H122)&gt;0), SUMIFS('Dry Cleaning Model'!$G$20:$G$44, 'Dry Cleaning Model'!$B$20:$B$44, A122, 'Dry Cleaning Model'!$E$20:$E$44, H122), "-")</f>
        <v>1.6592102949392888</v>
      </c>
      <c r="K122" s="188">
        <f t="shared" si="20"/>
        <v>16.592102949392888</v>
      </c>
      <c r="L122" s="188">
        <f t="shared" si="29"/>
        <v>41.480257373482218</v>
      </c>
      <c r="M122" s="188">
        <f t="shared" si="21"/>
        <v>82.960514746964435</v>
      </c>
      <c r="N122" s="188">
        <f t="shared" si="22"/>
        <v>1659.2102949392888</v>
      </c>
      <c r="O122" s="188">
        <f t="shared" si="23"/>
        <v>16592.102949392887</v>
      </c>
      <c r="P122" s="188">
        <f>IF(AND(COUNTIFS('Dry Cleaning Model'!$B$20:$B$44, A122, 'Dry Cleaning Model'!$E$20:$E$44, H122)=1, SUMIFS('Dry Cleaning Model'!$O$20:$O$44, 'Dry Cleaning Model'!$B$20:$B$44, A122, 'Dry Cleaning Model'!$E$20:$E$44, H122)&gt;0), SUMIFS('Dry Cleaning Model'!$O$20:$O$44, 'Dry Cleaning Model'!$B$20:$B$44, A122, 'Dry Cleaning Model'!$E$20:$E$44, H122), "-")</f>
        <v>15.672060893114391</v>
      </c>
      <c r="Q122" s="188">
        <f t="shared" si="24"/>
        <v>156.72060893114391</v>
      </c>
      <c r="R122" s="188">
        <f t="shared" si="25"/>
        <v>391.8015223278598</v>
      </c>
      <c r="S122" s="188">
        <f t="shared" si="26"/>
        <v>783.6030446557196</v>
      </c>
      <c r="T122" s="188">
        <f t="shared" si="27"/>
        <v>15672.060893114391</v>
      </c>
      <c r="U122" s="189">
        <f t="shared" si="28"/>
        <v>156720.60893114391</v>
      </c>
    </row>
    <row r="123" spans="1:21" x14ac:dyDescent="0.25">
      <c r="A123" s="337" t="s">
        <v>59</v>
      </c>
      <c r="B123" s="591"/>
      <c r="C123" s="584"/>
      <c r="D123" s="598"/>
      <c r="E123" s="598"/>
      <c r="F123" s="596"/>
      <c r="G123" s="593"/>
      <c r="H123" s="334" t="s">
        <v>40</v>
      </c>
      <c r="I123" s="331">
        <f>VLOOKUP(A123, 'Look-up Values'!$F$6:$J$11, 5, FALSE)</f>
        <v>100</v>
      </c>
      <c r="J123" s="187">
        <f>IF(AND(COUNTIFS('Dry Cleaning Model'!$B$20:$B$44, A123, 'Dry Cleaning Model'!$E$20:$E$44, H123)=1, SUMIFS('Dry Cleaning Model'!$G$20:$G$44, 'Dry Cleaning Model'!$B$20:$B$44, A123, 'Dry Cleaning Model'!$E$20:$E$44, H123)&gt;0), SUMIFS('Dry Cleaning Model'!$G$20:$G$44, 'Dry Cleaning Model'!$B$20:$B$44, A123, 'Dry Cleaning Model'!$E$20:$E$44, H123), "-")</f>
        <v>7.2255184006633657</v>
      </c>
      <c r="K123" s="188">
        <f t="shared" si="20"/>
        <v>72.255184006633655</v>
      </c>
      <c r="L123" s="188">
        <f t="shared" si="29"/>
        <v>180.63796001658415</v>
      </c>
      <c r="M123" s="188">
        <f t="shared" si="21"/>
        <v>361.27592003316829</v>
      </c>
      <c r="N123" s="188">
        <f t="shared" si="22"/>
        <v>7225.5184006633654</v>
      </c>
      <c r="O123" s="188">
        <f t="shared" si="23"/>
        <v>72255.184006633659</v>
      </c>
      <c r="P123" s="188">
        <f>IF(AND(COUNTIFS('Dry Cleaning Model'!$B$20:$B$44, A123, 'Dry Cleaning Model'!$E$20:$E$44, H123)=1, SUMIFS('Dry Cleaning Model'!$O$20:$O$44, 'Dry Cleaning Model'!$B$20:$B$44, A123, 'Dry Cleaning Model'!$E$20:$E$44, H123)&gt;0), SUMIFS('Dry Cleaning Model'!$O$20:$O$44, 'Dry Cleaning Model'!$B$20:$B$44, A123, 'Dry Cleaning Model'!$E$20:$E$44, H123), "-")</f>
        <v>43.042598236513854</v>
      </c>
      <c r="Q123" s="188">
        <f t="shared" si="24"/>
        <v>430.42598236513857</v>
      </c>
      <c r="R123" s="188">
        <f t="shared" si="25"/>
        <v>1076.0649559128462</v>
      </c>
      <c r="S123" s="188">
        <f t="shared" si="26"/>
        <v>2152.1299118256925</v>
      </c>
      <c r="T123" s="188">
        <f t="shared" si="27"/>
        <v>43042.598236513855</v>
      </c>
      <c r="U123" s="189">
        <f t="shared" si="28"/>
        <v>430425.98236513854</v>
      </c>
    </row>
    <row r="124" spans="1:21" x14ac:dyDescent="0.25">
      <c r="A124" s="337" t="s">
        <v>61</v>
      </c>
      <c r="B124" s="591"/>
      <c r="C124" s="584"/>
      <c r="D124" s="598"/>
      <c r="E124" s="598"/>
      <c r="F124" s="596" t="s">
        <v>189</v>
      </c>
      <c r="G124" s="593"/>
      <c r="H124" s="334" t="s">
        <v>38</v>
      </c>
      <c r="I124" s="331">
        <f>VLOOKUP(A124, 'Look-up Values'!$F$6:$J$11, 5, FALSE)</f>
        <v>100</v>
      </c>
      <c r="J124" s="187">
        <f>IF(AND(COUNTIFS('Dry Cleaning Model'!$B$20:$B$44, A124, 'Dry Cleaning Model'!$E$20:$E$44, H124)=1, SUMIFS('Dry Cleaning Model'!$G$20:$G$44, 'Dry Cleaning Model'!$B$20:$B$44, A124, 'Dry Cleaning Model'!$E$20:$E$44, H124)&gt;0), SUMIFS('Dry Cleaning Model'!$G$20:$G$44, 'Dry Cleaning Model'!$B$20:$B$44, A124, 'Dry Cleaning Model'!$E$20:$E$44, H124), "-")</f>
        <v>2.0279236938146865</v>
      </c>
      <c r="K124" s="188">
        <f t="shared" si="20"/>
        <v>20.279236938146866</v>
      </c>
      <c r="L124" s="188">
        <f t="shared" si="29"/>
        <v>50.698092345367165</v>
      </c>
      <c r="M124" s="188">
        <f t="shared" si="21"/>
        <v>101.39618469073433</v>
      </c>
      <c r="N124" s="188">
        <f t="shared" si="22"/>
        <v>2027.9236938146864</v>
      </c>
      <c r="O124" s="188">
        <f t="shared" si="23"/>
        <v>20279.236938146863</v>
      </c>
      <c r="P124" s="188">
        <f>IF(AND(COUNTIFS('Dry Cleaning Model'!$B$20:$B$44, A124, 'Dry Cleaning Model'!$E$20:$E$44, H124)=1, SUMIFS('Dry Cleaning Model'!$O$20:$O$44, 'Dry Cleaning Model'!$B$20:$B$44, A124, 'Dry Cleaning Model'!$E$20:$E$44, H124)&gt;0), SUMIFS('Dry Cleaning Model'!$O$20:$O$44, 'Dry Cleaning Model'!$B$20:$B$44, A124, 'Dry Cleaning Model'!$E$20:$E$44, H124), "-")</f>
        <v>19.154741091584256</v>
      </c>
      <c r="Q124" s="188">
        <f t="shared" si="24"/>
        <v>191.54741091584256</v>
      </c>
      <c r="R124" s="188">
        <f t="shared" si="25"/>
        <v>478.86852728960639</v>
      </c>
      <c r="S124" s="188">
        <f t="shared" si="26"/>
        <v>957.73705457921278</v>
      </c>
      <c r="T124" s="188">
        <f t="shared" si="27"/>
        <v>19154.741091584256</v>
      </c>
      <c r="U124" s="189">
        <f t="shared" si="28"/>
        <v>191547.41091584257</v>
      </c>
    </row>
    <row r="125" spans="1:21" x14ac:dyDescent="0.25">
      <c r="A125" s="337" t="s">
        <v>61</v>
      </c>
      <c r="B125" s="591"/>
      <c r="C125" s="584"/>
      <c r="D125" s="598"/>
      <c r="E125" s="598"/>
      <c r="F125" s="596"/>
      <c r="G125" s="593"/>
      <c r="H125" s="334" t="s">
        <v>40</v>
      </c>
      <c r="I125" s="331">
        <f>VLOOKUP(A125, 'Look-up Values'!$F$6:$J$11, 5, FALSE)</f>
        <v>100</v>
      </c>
      <c r="J125" s="187">
        <f>IF(AND(COUNTIFS('Dry Cleaning Model'!$B$20:$B$44, A125, 'Dry Cleaning Model'!$E$20:$E$44, H125)=1, SUMIFS('Dry Cleaning Model'!$G$20:$G$44, 'Dry Cleaning Model'!$B$20:$B$44, A125, 'Dry Cleaning Model'!$E$20:$E$44, H125)&gt;0), SUMIFS('Dry Cleaning Model'!$G$20:$G$44, 'Dry Cleaning Model'!$B$20:$B$44, A125, 'Dry Cleaning Model'!$E$20:$E$44, H125), "-")</f>
        <v>8.8311891563663352</v>
      </c>
      <c r="K125" s="188">
        <f t="shared" si="20"/>
        <v>88.311891563663352</v>
      </c>
      <c r="L125" s="188">
        <f t="shared" si="29"/>
        <v>220.77972890915839</v>
      </c>
      <c r="M125" s="188">
        <f t="shared" si="21"/>
        <v>441.55945781831679</v>
      </c>
      <c r="N125" s="188">
        <f t="shared" si="22"/>
        <v>8831.1891563663357</v>
      </c>
      <c r="O125" s="188">
        <f t="shared" si="23"/>
        <v>88311.891563663346</v>
      </c>
      <c r="P125" s="188">
        <f>IF(AND(COUNTIFS('Dry Cleaning Model'!$B$20:$B$44, A125, 'Dry Cleaning Model'!$E$20:$E$44, H125)=1, SUMIFS('Dry Cleaning Model'!$O$20:$O$44, 'Dry Cleaning Model'!$B$20:$B$44, A125, 'Dry Cleaning Model'!$E$20:$E$44, H125)&gt;0), SUMIFS('Dry Cleaning Model'!$O$20:$O$44, 'Dry Cleaning Model'!$B$20:$B$44, A125, 'Dry Cleaning Model'!$E$20:$E$44, H125), "-")</f>
        <v>52.607620066850266</v>
      </c>
      <c r="Q125" s="188">
        <f t="shared" si="24"/>
        <v>526.07620066850268</v>
      </c>
      <c r="R125" s="188">
        <f t="shared" si="25"/>
        <v>1315.1905016712567</v>
      </c>
      <c r="S125" s="188">
        <f t="shared" si="26"/>
        <v>2630.3810033425134</v>
      </c>
      <c r="T125" s="188">
        <f t="shared" si="27"/>
        <v>52607.620066850264</v>
      </c>
      <c r="U125" s="189">
        <f t="shared" si="28"/>
        <v>526076.20066850272</v>
      </c>
    </row>
    <row r="126" spans="1:21" x14ac:dyDescent="0.25">
      <c r="A126" s="337" t="s">
        <v>63</v>
      </c>
      <c r="B126" s="591"/>
      <c r="C126" s="584"/>
      <c r="D126" s="598"/>
      <c r="E126" s="598"/>
      <c r="F126" s="596" t="s">
        <v>190</v>
      </c>
      <c r="G126" s="593" t="s">
        <v>191</v>
      </c>
      <c r="H126" s="334" t="s">
        <v>38</v>
      </c>
      <c r="I126" s="331">
        <f>VLOOKUP(A126, 'Look-up Values'!$F$6:$J$11, 5, FALSE)</f>
        <v>100</v>
      </c>
      <c r="J126" s="187">
        <f>IF(AND(COUNTIFS('Dry Cleaning Model'!$B$20:$B$44, A126, 'Dry Cleaning Model'!$E$20:$E$44, H126)=1, SUMIFS('Dry Cleaning Model'!$G$20:$G$44, 'Dry Cleaning Model'!$B$20:$B$44, A126, 'Dry Cleaning Model'!$E$20:$E$44, H126)&gt;0), SUMIFS('Dry Cleaning Model'!$G$20:$G$44, 'Dry Cleaning Model'!$B$20:$B$44, A126, 'Dry Cleaning Model'!$E$20:$E$44, H126), "-")</f>
        <v>0.59915927317252105</v>
      </c>
      <c r="K126" s="188">
        <f t="shared" si="20"/>
        <v>5.9915927317252109</v>
      </c>
      <c r="L126" s="188">
        <f t="shared" si="29"/>
        <v>14.978981829313026</v>
      </c>
      <c r="M126" s="188">
        <f t="shared" si="21"/>
        <v>29.957963658626053</v>
      </c>
      <c r="N126" s="188">
        <f t="shared" si="22"/>
        <v>599.15927317252101</v>
      </c>
      <c r="O126" s="188">
        <f t="shared" si="23"/>
        <v>5991.5927317252108</v>
      </c>
      <c r="P126" s="188">
        <f>IF(AND(COUNTIFS('Dry Cleaning Model'!$B$20:$B$44, A126, 'Dry Cleaning Model'!$E$20:$E$44, H126)=1, SUMIFS('Dry Cleaning Model'!$O$20:$O$44, 'Dry Cleaning Model'!$B$20:$B$44, A126, 'Dry Cleaning Model'!$E$20:$E$44, H126)&gt;0), SUMIFS('Dry Cleaning Model'!$O$20:$O$44, 'Dry Cleaning Model'!$B$20:$B$44, A126, 'Dry Cleaning Model'!$E$20:$E$44, H126), "-")</f>
        <v>5.6593553225135302</v>
      </c>
      <c r="Q126" s="188">
        <f t="shared" si="24"/>
        <v>56.593553225135302</v>
      </c>
      <c r="R126" s="188">
        <f t="shared" si="25"/>
        <v>141.48388306283826</v>
      </c>
      <c r="S126" s="188">
        <f t="shared" si="26"/>
        <v>282.96776612567652</v>
      </c>
      <c r="T126" s="188">
        <f t="shared" si="27"/>
        <v>5659.3553225135302</v>
      </c>
      <c r="U126" s="189">
        <f t="shared" si="28"/>
        <v>56593.5532251353</v>
      </c>
    </row>
    <row r="127" spans="1:21" x14ac:dyDescent="0.25">
      <c r="A127" s="337" t="s">
        <v>63</v>
      </c>
      <c r="B127" s="591"/>
      <c r="C127" s="584"/>
      <c r="D127" s="598"/>
      <c r="E127" s="598"/>
      <c r="F127" s="596"/>
      <c r="G127" s="593"/>
      <c r="H127" s="334" t="s">
        <v>40</v>
      </c>
      <c r="I127" s="331">
        <f>VLOOKUP(A127, 'Look-up Values'!$F$6:$J$11, 5, FALSE)</f>
        <v>100</v>
      </c>
      <c r="J127" s="187">
        <f>IF(AND(COUNTIFS('Dry Cleaning Model'!$B$20:$B$44, A127, 'Dry Cleaning Model'!$E$20:$E$44, H127)=1, SUMIFS('Dry Cleaning Model'!$G$20:$G$44, 'Dry Cleaning Model'!$B$20:$B$44, A127, 'Dry Cleaning Model'!$E$20:$E$44, H127)&gt;0), SUMIFS('Dry Cleaning Model'!$G$20:$G$44, 'Dry Cleaning Model'!$B$20:$B$44, A127, 'Dry Cleaning Model'!$E$20:$E$44, H127), "-")</f>
        <v>2.6092149780173264</v>
      </c>
      <c r="K127" s="188">
        <f t="shared" si="20"/>
        <v>26.092149780173266</v>
      </c>
      <c r="L127" s="188">
        <f t="shared" si="29"/>
        <v>65.23037445043316</v>
      </c>
      <c r="M127" s="188">
        <f t="shared" si="21"/>
        <v>130.46074890086632</v>
      </c>
      <c r="N127" s="188">
        <f t="shared" si="22"/>
        <v>2609.2149780173263</v>
      </c>
      <c r="O127" s="188">
        <f t="shared" si="23"/>
        <v>26092.149780173262</v>
      </c>
      <c r="P127" s="188">
        <f>IF(AND(COUNTIFS('Dry Cleaning Model'!$B$20:$B$44, A127, 'Dry Cleaning Model'!$E$20:$E$44, H127)=1, SUMIFS('Dry Cleaning Model'!$O$20:$O$44, 'Dry Cleaning Model'!$B$20:$B$44, A127, 'Dry Cleaning Model'!$E$20:$E$44, H127)&gt;0), SUMIFS('Dry Cleaning Model'!$O$20:$O$44, 'Dry Cleaning Model'!$B$20:$B$44, A127, 'Dry Cleaning Model'!$E$20:$E$44, H127), "-")</f>
        <v>15.54316047429667</v>
      </c>
      <c r="Q127" s="188">
        <f t="shared" si="24"/>
        <v>155.4316047429667</v>
      </c>
      <c r="R127" s="188">
        <f t="shared" si="25"/>
        <v>388.57901185741673</v>
      </c>
      <c r="S127" s="188">
        <f t="shared" si="26"/>
        <v>777.15802371483346</v>
      </c>
      <c r="T127" s="188">
        <f t="shared" si="27"/>
        <v>15543.16047429667</v>
      </c>
      <c r="U127" s="189">
        <f t="shared" si="28"/>
        <v>155431.60474296671</v>
      </c>
    </row>
    <row r="128" spans="1:21" x14ac:dyDescent="0.25">
      <c r="A128" s="337" t="s">
        <v>65</v>
      </c>
      <c r="B128" s="591"/>
      <c r="C128" s="584"/>
      <c r="D128" s="598"/>
      <c r="E128" s="598"/>
      <c r="F128" s="596" t="s">
        <v>184</v>
      </c>
      <c r="G128" s="606" t="s">
        <v>185</v>
      </c>
      <c r="H128" s="334" t="s">
        <v>38</v>
      </c>
      <c r="I128" s="331">
        <f>VLOOKUP(A128, 'Look-up Values'!$F$6:$J$11, 5, FALSE)</f>
        <v>100</v>
      </c>
      <c r="J128" s="187">
        <f>IF(AND(COUNTIFS('Dry Cleaning Model'!$B$20:$B$44, A128, 'Dry Cleaning Model'!$E$20:$E$44, H128)=1, SUMIFS('Dry Cleaning Model'!$G$20:$G$44, 'Dry Cleaning Model'!$B$20:$B$44, A128, 'Dry Cleaning Model'!$E$20:$E$44, H128)&gt;0), SUMIFS('Dry Cleaning Model'!$G$20:$G$44, 'Dry Cleaning Model'!$B$20:$B$44, A128, 'Dry Cleaning Model'!$E$20:$E$44, H128), "-")</f>
        <v>0.46089174859424692</v>
      </c>
      <c r="K128" s="188">
        <f t="shared" si="20"/>
        <v>4.6089174859424693</v>
      </c>
      <c r="L128" s="188">
        <f t="shared" si="29"/>
        <v>11.522293714856174</v>
      </c>
      <c r="M128" s="188">
        <f t="shared" si="21"/>
        <v>23.044587429712347</v>
      </c>
      <c r="N128" s="188">
        <f t="shared" si="22"/>
        <v>460.89174859424691</v>
      </c>
      <c r="O128" s="188">
        <f t="shared" si="23"/>
        <v>4608.9174859424693</v>
      </c>
      <c r="P128" s="188">
        <f>IF(AND(COUNTIFS('Dry Cleaning Model'!$B$20:$B$44, A128, 'Dry Cleaning Model'!$E$20:$E$44, H128)=1, SUMIFS('Dry Cleaning Model'!$O$20:$O$44, 'Dry Cleaning Model'!$B$20:$B$44, A128, 'Dry Cleaning Model'!$E$20:$E$44, H128)&gt;0), SUMIFS('Dry Cleaning Model'!$O$20:$O$44, 'Dry Cleaning Model'!$B$20:$B$44, A128, 'Dry Cleaning Model'!$E$20:$E$44, H128), "-")</f>
        <v>4.353350248087331</v>
      </c>
      <c r="Q128" s="188">
        <f t="shared" si="24"/>
        <v>43.53350248087331</v>
      </c>
      <c r="R128" s="188">
        <f t="shared" si="25"/>
        <v>108.83375620218328</v>
      </c>
      <c r="S128" s="188">
        <f t="shared" si="26"/>
        <v>217.66751240436656</v>
      </c>
      <c r="T128" s="188">
        <f t="shared" si="27"/>
        <v>4353.3502480873312</v>
      </c>
      <c r="U128" s="189">
        <f t="shared" si="28"/>
        <v>43533.502480873307</v>
      </c>
    </row>
    <row r="129" spans="1:21" x14ac:dyDescent="0.25">
      <c r="A129" s="337" t="s">
        <v>65</v>
      </c>
      <c r="B129" s="591"/>
      <c r="C129" s="584"/>
      <c r="D129" s="598"/>
      <c r="E129" s="598"/>
      <c r="F129" s="596"/>
      <c r="G129" s="607"/>
      <c r="H129" s="334" t="s">
        <v>40</v>
      </c>
      <c r="I129" s="331">
        <f>VLOOKUP(A129, 'Look-up Values'!$F$6:$J$11, 5, FALSE)</f>
        <v>100</v>
      </c>
      <c r="J129" s="187">
        <f>IF(AND(COUNTIFS('Dry Cleaning Model'!$B$20:$B$44, A129, 'Dry Cleaning Model'!$E$20:$E$44, H129)=1, SUMIFS('Dry Cleaning Model'!$G$20:$G$44, 'Dry Cleaning Model'!$B$20:$B$44, A129, 'Dry Cleaning Model'!$E$20:$E$44, H129)&gt;0), SUMIFS('Dry Cleaning Model'!$G$20:$G$44, 'Dry Cleaning Model'!$B$20:$B$44, A129, 'Dry Cleaning Model'!$E$20:$E$44, H129), "-")</f>
        <v>2.0070884446287125</v>
      </c>
      <c r="K129" s="188">
        <f t="shared" si="20"/>
        <v>20.070884446287124</v>
      </c>
      <c r="L129" s="188">
        <f t="shared" si="29"/>
        <v>50.17721111571781</v>
      </c>
      <c r="M129" s="188">
        <f t="shared" si="21"/>
        <v>100.35442223143562</v>
      </c>
      <c r="N129" s="188">
        <f t="shared" si="22"/>
        <v>2007.0884446287125</v>
      </c>
      <c r="O129" s="188">
        <f t="shared" si="23"/>
        <v>20070.884446287124</v>
      </c>
      <c r="P129" s="188">
        <f>IF(AND(COUNTIFS('Dry Cleaning Model'!$B$20:$B$44, A129, 'Dry Cleaning Model'!$E$20:$E$44, H129)=1, SUMIFS('Dry Cleaning Model'!$O$20:$O$44, 'Dry Cleaning Model'!$B$20:$B$44, A129, 'Dry Cleaning Model'!$E$20:$E$44, H129)&gt;0), SUMIFS('Dry Cleaning Model'!$O$20:$O$44, 'Dry Cleaning Model'!$B$20:$B$44, A129, 'Dry Cleaning Model'!$E$20:$E$44, H129), "-")</f>
        <v>11.956277287920516</v>
      </c>
      <c r="Q129" s="188">
        <f t="shared" si="24"/>
        <v>119.56277287920516</v>
      </c>
      <c r="R129" s="188">
        <f t="shared" si="25"/>
        <v>298.9069321980129</v>
      </c>
      <c r="S129" s="188">
        <f t="shared" si="26"/>
        <v>597.81386439602579</v>
      </c>
      <c r="T129" s="188">
        <f t="shared" si="27"/>
        <v>11956.277287920517</v>
      </c>
      <c r="U129" s="189">
        <f t="shared" si="28"/>
        <v>119562.77287920516</v>
      </c>
    </row>
    <row r="130" spans="1:21" x14ac:dyDescent="0.25">
      <c r="A130" s="337" t="s">
        <v>66</v>
      </c>
      <c r="B130" s="591"/>
      <c r="C130" s="584"/>
      <c r="D130" s="598"/>
      <c r="E130" s="598"/>
      <c r="F130" s="602" t="s">
        <v>186</v>
      </c>
      <c r="G130" s="607"/>
      <c r="H130" s="334" t="s">
        <v>38</v>
      </c>
      <c r="I130" s="327">
        <f>VLOOKUP(A130, 'Look-up Values'!$F$6:$J$14, 5, FALSE)</f>
        <v>100</v>
      </c>
      <c r="J130" s="187">
        <f>IF(AND(COUNTIFS('Dry Cleaning Model'!$B$20:$B$44, A130, 'Dry Cleaning Model'!$E$20:$E$44, H130)=1, SUMIFS('Dry Cleaning Model'!$G$20:$G$44, 'Dry Cleaning Model'!$B$20:$B$44, A130, 'Dry Cleaning Model'!$E$20:$E$44, H130)&gt;0), SUMIFS('Dry Cleaning Model'!$G$20:$G$44, 'Dry Cleaning Model'!$B$20:$B$44, A130, 'Dry Cleaning Model'!$E$20:$E$44, H130), "-")</f>
        <v>0.26155606732723513</v>
      </c>
      <c r="K130" s="188">
        <f t="shared" si="20"/>
        <v>2.6155606732723511</v>
      </c>
      <c r="L130" s="188">
        <f t="shared" si="29"/>
        <v>6.5389016831808782</v>
      </c>
      <c r="M130" s="188">
        <f t="shared" si="21"/>
        <v>13.077803366361756</v>
      </c>
      <c r="N130" s="188">
        <f t="shared" si="22"/>
        <v>261.55606732723516</v>
      </c>
      <c r="O130" s="188">
        <f t="shared" si="23"/>
        <v>2615.5606732723513</v>
      </c>
      <c r="P130" s="188">
        <f>IF(AND(COUNTIFS('Dry Cleaning Model'!$B$20:$B$44, A130, 'Dry Cleaning Model'!$E$20:$E$44, H130)=1, SUMIFS('Dry Cleaning Model'!$O$20:$O$44, 'Dry Cleaning Model'!$B$20:$B$44, A130, 'Dry Cleaning Model'!$E$20:$E$44, H130)&gt;0), SUMIFS('Dry Cleaning Model'!$O$20:$O$44, 'Dry Cleaning Model'!$B$20:$B$44, A130, 'Dry Cleaning Model'!$E$20:$E$44, H130), "-")</f>
        <v>2.4705262657895601</v>
      </c>
      <c r="Q130" s="188">
        <f t="shared" si="24"/>
        <v>24.705262657895602</v>
      </c>
      <c r="R130" s="188">
        <f t="shared" si="25"/>
        <v>61.763156644739006</v>
      </c>
      <c r="S130" s="188">
        <f t="shared" si="26"/>
        <v>123.52631328947801</v>
      </c>
      <c r="T130" s="188">
        <f t="shared" si="27"/>
        <v>2470.5262657895601</v>
      </c>
      <c r="U130" s="189">
        <f t="shared" si="28"/>
        <v>24705.262657895601</v>
      </c>
    </row>
    <row r="131" spans="1:21" x14ac:dyDescent="0.25">
      <c r="A131" s="337" t="s">
        <v>66</v>
      </c>
      <c r="B131" s="591"/>
      <c r="C131" s="584"/>
      <c r="D131" s="598"/>
      <c r="E131" s="598"/>
      <c r="F131" s="603"/>
      <c r="G131" s="608"/>
      <c r="H131" s="334" t="s">
        <v>40</v>
      </c>
      <c r="I131" s="327">
        <f>VLOOKUP(A131, 'Look-up Values'!$F$6:$J$14, 5, FALSE)</f>
        <v>100</v>
      </c>
      <c r="J131" s="187">
        <f>IF(AND(COUNTIFS('Dry Cleaning Model'!$B$20:$B$44, A131, 'Dry Cleaning Model'!$E$20:$E$44, H131)=1, SUMIFS('Dry Cleaning Model'!$G$20:$G$44, 'Dry Cleaning Model'!$B$20:$B$44, A131, 'Dry Cleaning Model'!$E$20:$E$44, H131)&gt;0), SUMIFS('Dry Cleaning Model'!$G$20:$G$44, 'Dry Cleaning Model'!$B$20:$B$44, A131, 'Dry Cleaning Model'!$E$20:$E$44, H131), "-")</f>
        <v>1.1390226923267943</v>
      </c>
      <c r="K131" s="188">
        <f t="shared" si="20"/>
        <v>11.390226923267942</v>
      </c>
      <c r="L131" s="188">
        <f t="shared" si="29"/>
        <v>28.475567308169857</v>
      </c>
      <c r="M131" s="188">
        <f t="shared" si="21"/>
        <v>56.951134616339715</v>
      </c>
      <c r="N131" s="188">
        <f t="shared" si="22"/>
        <v>1139.0226923267944</v>
      </c>
      <c r="O131" s="188">
        <f t="shared" si="23"/>
        <v>11390.226923267943</v>
      </c>
      <c r="P131" s="188">
        <f>IF(AND(COUNTIFS('Dry Cleaning Model'!$B$20:$B$44, A131, 'Dry Cleaning Model'!$E$20:$E$44, H131)=1, SUMIFS('Dry Cleaning Model'!$O$20:$O$44, 'Dry Cleaning Model'!$B$20:$B$44, A131, 'Dry Cleaning Model'!$E$20:$E$44, H131)&gt;0), SUMIFS('Dry Cleaning Model'!$O$20:$O$44, 'Dry Cleaning Model'!$B$20:$B$44, A131, 'Dry Cleaning Model'!$E$20:$E$44, H131), "-")</f>
        <v>6.7851873608948923</v>
      </c>
      <c r="Q131" s="188">
        <f t="shared" si="24"/>
        <v>67.851873608948921</v>
      </c>
      <c r="R131" s="188">
        <f t="shared" si="25"/>
        <v>169.62968402237232</v>
      </c>
      <c r="S131" s="188">
        <f t="shared" si="26"/>
        <v>339.25936804474463</v>
      </c>
      <c r="T131" s="188">
        <f t="shared" si="27"/>
        <v>6785.1873608948927</v>
      </c>
      <c r="U131" s="189">
        <f t="shared" si="28"/>
        <v>67851.873608948925</v>
      </c>
    </row>
    <row r="132" spans="1:21" x14ac:dyDescent="0.25">
      <c r="A132" s="337" t="s">
        <v>67</v>
      </c>
      <c r="B132" s="591"/>
      <c r="C132" s="584"/>
      <c r="D132" s="598"/>
      <c r="E132" s="598"/>
      <c r="F132" s="596" t="s">
        <v>192</v>
      </c>
      <c r="G132" s="593" t="s">
        <v>193</v>
      </c>
      <c r="H132" s="334" t="s">
        <v>38</v>
      </c>
      <c r="I132" s="331">
        <f>VLOOKUP(A132, 'Look-up Values'!$F$6:$J$11, 5, FALSE)</f>
        <v>100</v>
      </c>
      <c r="J132" s="187">
        <f>IF(AND(COUNTIFS('Dry Cleaning Model'!$B$20:$B$44, A132, 'Dry Cleaning Model'!$E$20:$E$44, H132)=1, SUMIFS('Dry Cleaning Model'!$G$20:$G$44, 'Dry Cleaning Model'!$B$20:$B$44, A132, 'Dry Cleaning Model'!$E$20:$E$44, H132)&gt;0), SUMIFS('Dry Cleaning Model'!$G$20:$G$44, 'Dry Cleaning Model'!$B$20:$B$44, A132, 'Dry Cleaning Model'!$E$20:$E$44, H132), "-")</f>
        <v>0.28114396664249058</v>
      </c>
      <c r="K132" s="188">
        <f t="shared" si="20"/>
        <v>2.8114396664249059</v>
      </c>
      <c r="L132" s="188">
        <f t="shared" si="29"/>
        <v>7.0285991660622642</v>
      </c>
      <c r="M132" s="188">
        <f t="shared" si="21"/>
        <v>14.057198332124528</v>
      </c>
      <c r="N132" s="188">
        <f t="shared" si="22"/>
        <v>281.14396664249057</v>
      </c>
      <c r="O132" s="188">
        <f t="shared" si="23"/>
        <v>2811.4396664249057</v>
      </c>
      <c r="P132" s="188">
        <f>IF(AND(COUNTIFS('Dry Cleaning Model'!$B$20:$B$44, A132, 'Dry Cleaning Model'!$E$20:$E$44, H132)=1, SUMIFS('Dry Cleaning Model'!$O$20:$O$44, 'Dry Cleaning Model'!$B$20:$B$44, A132, 'Dry Cleaning Model'!$E$20:$E$44, H132)&gt;0), SUMIFS('Dry Cleaning Model'!$O$20:$O$44, 'Dry Cleaning Model'!$B$20:$B$44, A132, 'Dry Cleaning Model'!$E$20:$E$44, H132), "-")</f>
        <v>2.6555436513332715</v>
      </c>
      <c r="Q132" s="188">
        <f t="shared" si="24"/>
        <v>26.555436513332715</v>
      </c>
      <c r="R132" s="188">
        <f t="shared" si="25"/>
        <v>66.388591283331792</v>
      </c>
      <c r="S132" s="188">
        <f t="shared" si="26"/>
        <v>132.77718256666358</v>
      </c>
      <c r="T132" s="188">
        <f t="shared" si="27"/>
        <v>2655.5436513332716</v>
      </c>
      <c r="U132" s="189">
        <f t="shared" si="28"/>
        <v>26555.436513332716</v>
      </c>
    </row>
    <row r="133" spans="1:21" x14ac:dyDescent="0.25">
      <c r="A133" s="337" t="s">
        <v>67</v>
      </c>
      <c r="B133" s="591"/>
      <c r="C133" s="584"/>
      <c r="D133" s="598"/>
      <c r="E133" s="598"/>
      <c r="F133" s="596"/>
      <c r="G133" s="593"/>
      <c r="H133" s="334" t="s">
        <v>40</v>
      </c>
      <c r="I133" s="331">
        <f>VLOOKUP(A133, 'Look-up Values'!$F$6:$J$11, 5, FALSE)</f>
        <v>100</v>
      </c>
      <c r="J133" s="187">
        <f>IF(AND(COUNTIFS('Dry Cleaning Model'!$B$20:$B$44, A133, 'Dry Cleaning Model'!$E$20:$E$44, H133)=1, SUMIFS('Dry Cleaning Model'!$G$20:$G$44, 'Dry Cleaning Model'!$B$20:$B$44, A133, 'Dry Cleaning Model'!$E$20:$E$44, H133)&gt;0), SUMIFS('Dry Cleaning Model'!$G$20:$G$44, 'Dry Cleaning Model'!$B$20:$B$44, A133, 'Dry Cleaning Model'!$E$20:$E$44, H133), "-")</f>
        <v>1.2243239512235147</v>
      </c>
      <c r="K133" s="188">
        <f t="shared" si="20"/>
        <v>12.243239512235146</v>
      </c>
      <c r="L133" s="188">
        <f t="shared" si="29"/>
        <v>30.608098780587866</v>
      </c>
      <c r="M133" s="188">
        <f t="shared" si="21"/>
        <v>61.216197561175733</v>
      </c>
      <c r="N133" s="188">
        <f t="shared" si="22"/>
        <v>1224.3239512235148</v>
      </c>
      <c r="O133" s="188">
        <f t="shared" si="23"/>
        <v>12243.239512235146</v>
      </c>
      <c r="P133" s="188">
        <f>IF(AND(COUNTIFS('Dry Cleaning Model'!$B$20:$B$44, A133, 'Dry Cleaning Model'!$E$20:$E$44, H133)=1, SUMIFS('Dry Cleaning Model'!$O$20:$O$44, 'Dry Cleaning Model'!$B$20:$B$44, A133, 'Dry Cleaning Model'!$E$20:$E$44, H133)&gt;0), SUMIFS('Dry Cleaning Model'!$O$20:$O$44, 'Dry Cleaning Model'!$B$20:$B$44, A133, 'Dry Cleaning Model'!$E$20:$E$44, H133), "-")</f>
        <v>7.2933291456315139</v>
      </c>
      <c r="Q133" s="188">
        <f t="shared" si="24"/>
        <v>72.933291456315146</v>
      </c>
      <c r="R133" s="188">
        <f t="shared" si="25"/>
        <v>182.33322864078784</v>
      </c>
      <c r="S133" s="188">
        <f t="shared" si="26"/>
        <v>364.66645728157567</v>
      </c>
      <c r="T133" s="188">
        <f t="shared" si="27"/>
        <v>7293.3291456315137</v>
      </c>
      <c r="U133" s="189">
        <f t="shared" si="28"/>
        <v>72933.291456315143</v>
      </c>
    </row>
    <row r="134" spans="1:21" x14ac:dyDescent="0.25">
      <c r="A134" s="338" t="s">
        <v>76</v>
      </c>
      <c r="B134" s="591"/>
      <c r="C134" s="584"/>
      <c r="D134" s="598"/>
      <c r="E134" s="598" t="s">
        <v>194</v>
      </c>
      <c r="F134" s="596" t="s">
        <v>195</v>
      </c>
      <c r="G134" s="593"/>
      <c r="H134" s="334" t="s">
        <v>38</v>
      </c>
      <c r="I134" s="332">
        <f>0.0001</f>
        <v>1E-4</v>
      </c>
      <c r="J134" s="187">
        <f>IF(AND(COUNTIFS('Dry Cleaning Model'!$B$20:$B$44, A134, 'Dry Cleaning Model'!$E$20:$E$44, H134)=1, SUMIFS('Dry Cleaning Model'!$G$20:$G$44, 'Dry Cleaning Model'!$B$20:$B$44, A134, 'Dry Cleaning Model'!$E$20:$E$44, H134)&gt;0), SUMIFS('Dry Cleaning Model'!$G$20:$G$44, 'Dry Cleaning Model'!$B$20:$B$44, A134, 'Dry Cleaning Model'!$E$20:$E$44, H134), "-")</f>
        <v>3.4291140702307349E-2</v>
      </c>
      <c r="K134" s="188">
        <f t="shared" si="20"/>
        <v>3.4291140702307349E-3</v>
      </c>
      <c r="L134" s="188">
        <f t="shared" si="29"/>
        <v>1.371645628092294E-3</v>
      </c>
      <c r="M134" s="188">
        <f t="shared" si="21"/>
        <v>6.85822814046147E-4</v>
      </c>
      <c r="N134" s="188">
        <f t="shared" si="22"/>
        <v>3.429114070230735E-5</v>
      </c>
      <c r="O134" s="188">
        <f t="shared" si="23"/>
        <v>3.4291140702307351E-6</v>
      </c>
      <c r="P134" s="188">
        <f>IF(AND(COUNTIFS('Dry Cleaning Model'!$B$20:$B$44, A134, 'Dry Cleaning Model'!$E$20:$E$44, H134)=1, SUMIFS('Dry Cleaning Model'!$O$20:$O$44, 'Dry Cleaning Model'!$B$20:$B$44, A134, 'Dry Cleaning Model'!$E$20:$E$44, H134)&gt;0), SUMIFS('Dry Cleaning Model'!$O$20:$O$44, 'Dry Cleaning Model'!$B$20:$B$44, A134, 'Dry Cleaning Model'!$E$20:$E$44, H134), "-")</f>
        <v>3.7405137924904422E-3</v>
      </c>
      <c r="Q134" s="188">
        <f t="shared" si="24"/>
        <v>3.740513792490442E-4</v>
      </c>
      <c r="R134" s="188">
        <f t="shared" si="25"/>
        <v>1.4962055169961768E-4</v>
      </c>
      <c r="S134" s="188">
        <f t="shared" si="26"/>
        <v>7.4810275849808839E-5</v>
      </c>
      <c r="T134" s="188">
        <f t="shared" si="27"/>
        <v>3.7405137924904423E-6</v>
      </c>
      <c r="U134" s="189">
        <f t="shared" si="28"/>
        <v>3.7405137924904422E-7</v>
      </c>
    </row>
    <row r="135" spans="1:21" ht="13.5" thickBot="1" x14ac:dyDescent="0.3">
      <c r="A135" s="339" t="s">
        <v>76</v>
      </c>
      <c r="B135" s="592"/>
      <c r="C135" s="585"/>
      <c r="D135" s="604"/>
      <c r="E135" s="604"/>
      <c r="F135" s="605"/>
      <c r="G135" s="594"/>
      <c r="H135" s="342" t="s">
        <v>40</v>
      </c>
      <c r="I135" s="333">
        <f>0.0001</f>
        <v>1E-4</v>
      </c>
      <c r="J135" s="190">
        <f>IF(AND(COUNTIFS('Dry Cleaning Model'!$B$20:$B$44, A135, 'Dry Cleaning Model'!$E$20:$E$44, H135)=1, SUMIFS('Dry Cleaning Model'!$G$20:$G$44, 'Dry Cleaning Model'!$B$20:$B$44, A135, 'Dry Cleaning Model'!$E$20:$E$44, H135)&gt;0), SUMIFS('Dry Cleaning Model'!$G$20:$G$44, 'Dry Cleaning Model'!$B$20:$B$44, A135, 'Dry Cleaning Model'!$E$20:$E$44, H135), "-")</f>
        <v>7.5444008745928909E-3</v>
      </c>
      <c r="K135" s="191">
        <f t="shared" si="20"/>
        <v>7.5444008745928904E-4</v>
      </c>
      <c r="L135" s="191">
        <f t="shared" si="29"/>
        <v>3.0177603498371565E-4</v>
      </c>
      <c r="M135" s="191">
        <f t="shared" si="21"/>
        <v>1.5088801749185783E-4</v>
      </c>
      <c r="N135" s="191">
        <f t="shared" si="22"/>
        <v>7.5444008745928906E-6</v>
      </c>
      <c r="O135" s="191">
        <f t="shared" si="23"/>
        <v>7.5444008745928908E-7</v>
      </c>
      <c r="P135" s="191">
        <f>IF(AND(COUNTIFS('Dry Cleaning Model'!$B$20:$B$44, A135, 'Dry Cleaning Model'!$E$20:$E$44, H135)=1, SUMIFS('Dry Cleaning Model'!$O$20:$O$44, 'Dry Cleaning Model'!$B$20:$B$44, A135, 'Dry Cleaning Model'!$E$20:$E$44, H135)&gt;0), SUMIFS('Dry Cleaning Model'!$O$20:$O$44, 'Dry Cleaning Model'!$B$20:$B$44, A135, 'Dry Cleaning Model'!$E$20:$E$44, H135), "-")</f>
        <v>1.2597371532554285E-3</v>
      </c>
      <c r="Q135" s="191">
        <f t="shared" si="24"/>
        <v>1.2597371532554284E-4</v>
      </c>
      <c r="R135" s="191">
        <f t="shared" si="25"/>
        <v>5.0389486130217137E-5</v>
      </c>
      <c r="S135" s="191">
        <f t="shared" si="26"/>
        <v>2.5194743065108569E-5</v>
      </c>
      <c r="T135" s="191">
        <f t="shared" si="27"/>
        <v>1.2597371532554285E-6</v>
      </c>
      <c r="U135" s="192">
        <f t="shared" si="28"/>
        <v>1.2597371532554286E-7</v>
      </c>
    </row>
    <row r="136" spans="1:21" ht="12.75" customHeight="1" x14ac:dyDescent="0.25">
      <c r="A136" s="337" t="s">
        <v>49</v>
      </c>
      <c r="B136" s="590" t="s">
        <v>95</v>
      </c>
      <c r="C136" s="583" t="s">
        <v>22</v>
      </c>
      <c r="D136" s="609" t="s">
        <v>196</v>
      </c>
      <c r="E136" s="599" t="s">
        <v>183</v>
      </c>
      <c r="F136" s="595" t="s">
        <v>184</v>
      </c>
      <c r="G136" s="597" t="s">
        <v>185</v>
      </c>
      <c r="H136" s="340" t="s">
        <v>38</v>
      </c>
      <c r="I136" s="330">
        <f>VLOOKUP(A136, 'Look-up Values'!$F$6:$J$11, 5, FALSE)</f>
        <v>100</v>
      </c>
      <c r="J136" s="184">
        <f>IF(AND(COUNTIFS('Dry Cleaning Model'!$B$20:$B$44, A136, 'Dry Cleaning Model'!$E$20:$E$44, H136)=1, SUMIFS('Dry Cleaning Model'!$H$20:$H$44, 'Dry Cleaning Model'!$B$20:$B$44, A136, 'Dry Cleaning Model'!$E$20:$E$44, H136)&gt;0), SUMIFS('Dry Cleaning Model'!$H$20:$H$44, 'Dry Cleaning Model'!$B$20:$B$44, A136, 'Dry Cleaning Model'!$E$20:$E$44, H136), "-")</f>
        <v>3.0058676817379659</v>
      </c>
      <c r="K136" s="185">
        <f t="shared" si="20"/>
        <v>30.058676817379659</v>
      </c>
      <c r="L136" s="185">
        <f t="shared" si="29"/>
        <v>75.14669204344915</v>
      </c>
      <c r="M136" s="185">
        <f t="shared" si="21"/>
        <v>150.2933840868983</v>
      </c>
      <c r="N136" s="185">
        <f t="shared" si="22"/>
        <v>3005.867681737966</v>
      </c>
      <c r="O136" s="185">
        <f t="shared" si="23"/>
        <v>30058.676817379659</v>
      </c>
      <c r="P136" s="185">
        <f>IF(AND(COUNTIFS('Dry Cleaning Model'!$B$20:$B$44, A136, 'Dry Cleaning Model'!$E$20:$E$44, H136)=1, SUMIFS('Dry Cleaning Model'!$P$20:$P$44, 'Dry Cleaning Model'!$B$20:$B$44, A136, 'Dry Cleaning Model'!$E$20:$E$44, H136)&gt;0), SUMIFS('Dry Cleaning Model'!$P$20:$P$44, 'Dry Cleaning Model'!$B$20:$B$44, A136, 'Dry Cleaning Model'!$E$20:$E$44, H136), "-")</f>
        <v>4.7485788450529478</v>
      </c>
      <c r="Q136" s="185">
        <f t="shared" si="24"/>
        <v>47.485788450529476</v>
      </c>
      <c r="R136" s="185">
        <f t="shared" si="25"/>
        <v>118.7144711263237</v>
      </c>
      <c r="S136" s="185">
        <f t="shared" si="26"/>
        <v>237.4289422526474</v>
      </c>
      <c r="T136" s="185">
        <f t="shared" si="27"/>
        <v>4748.5788450529481</v>
      </c>
      <c r="U136" s="186">
        <f t="shared" si="28"/>
        <v>47485.788450529479</v>
      </c>
    </row>
    <row r="137" spans="1:21" ht="15" customHeight="1" x14ac:dyDescent="0.25">
      <c r="A137" s="337" t="s">
        <v>49</v>
      </c>
      <c r="B137" s="591"/>
      <c r="C137" s="584"/>
      <c r="D137" s="598"/>
      <c r="E137" s="600"/>
      <c r="F137" s="596"/>
      <c r="G137" s="593"/>
      <c r="H137" s="334" t="s">
        <v>40</v>
      </c>
      <c r="I137" s="331">
        <f>VLOOKUP(A137, 'Look-up Values'!$F$6:$J$11, 5, FALSE)</f>
        <v>100</v>
      </c>
      <c r="J137" s="187">
        <f>IF(AND(COUNTIFS('Dry Cleaning Model'!$B$20:$B$44, A137, 'Dry Cleaning Model'!$E$20:$E$44, H137)=1, SUMIFS('Dry Cleaning Model'!$H$20:$H$44, 'Dry Cleaning Model'!$B$20:$B$44, A137, 'Dry Cleaning Model'!$E$20:$E$44, H137)&gt;0), SUMIFS('Dry Cleaning Model'!$H$20:$H$44, 'Dry Cleaning Model'!$B$20:$B$44, A137, 'Dry Cleaning Model'!$E$20:$E$44, H137), "-")</f>
        <v>10.998326796473425</v>
      </c>
      <c r="K137" s="188">
        <f t="shared" si="20"/>
        <v>109.98326796473424</v>
      </c>
      <c r="L137" s="188">
        <f t="shared" si="29"/>
        <v>274.95816991183563</v>
      </c>
      <c r="M137" s="188">
        <f t="shared" si="21"/>
        <v>549.91633982367125</v>
      </c>
      <c r="N137" s="188">
        <f t="shared" si="22"/>
        <v>10998.326796473424</v>
      </c>
      <c r="O137" s="188">
        <f t="shared" si="23"/>
        <v>109983.26796473424</v>
      </c>
      <c r="P137" s="188">
        <f>IF(AND(COUNTIFS('Dry Cleaning Model'!$B$20:$B$44, A137, 'Dry Cleaning Model'!$E$20:$E$44, H137)=1, SUMIFS('Dry Cleaning Model'!$P$20:$P$44, 'Dry Cleaning Model'!$B$20:$B$44, A137, 'Dry Cleaning Model'!$E$20:$E$44, H137)&gt;0), SUMIFS('Dry Cleaning Model'!$P$20:$P$44, 'Dry Cleaning Model'!$B$20:$B$44, A137, 'Dry Cleaning Model'!$E$20:$E$44, H137), "-")</f>
        <v>15.313576450072</v>
      </c>
      <c r="Q137" s="188">
        <f t="shared" si="24"/>
        <v>153.13576450072</v>
      </c>
      <c r="R137" s="188">
        <f t="shared" si="25"/>
        <v>382.83941125180002</v>
      </c>
      <c r="S137" s="188">
        <f t="shared" si="26"/>
        <v>765.67882250360003</v>
      </c>
      <c r="T137" s="188">
        <f t="shared" si="27"/>
        <v>15313.576450072</v>
      </c>
      <c r="U137" s="189">
        <f t="shared" si="28"/>
        <v>153135.76450071999</v>
      </c>
    </row>
    <row r="138" spans="1:21" ht="15" customHeight="1" x14ac:dyDescent="0.25">
      <c r="A138" s="337" t="s">
        <v>51</v>
      </c>
      <c r="B138" s="591"/>
      <c r="C138" s="584"/>
      <c r="D138" s="598"/>
      <c r="E138" s="600"/>
      <c r="F138" s="602" t="s">
        <v>186</v>
      </c>
      <c r="G138" s="593"/>
      <c r="H138" s="334" t="s">
        <v>38</v>
      </c>
      <c r="I138" s="327">
        <f>VLOOKUP(A138, 'Look-up Values'!$F$6:$J$14, 5, FALSE)</f>
        <v>100</v>
      </c>
      <c r="J138" s="187">
        <f>IF(AND(COUNTIFS('Dry Cleaning Model'!$B$20:$B$44, A138, 'Dry Cleaning Model'!$E$20:$E$44, H138)=1, SUMIFS('Dry Cleaning Model'!$H$20:$H$44, 'Dry Cleaning Model'!$B$20:$B$44, A138, 'Dry Cleaning Model'!$E$20:$E$44, H138)&gt;0), SUMIFS('Dry Cleaning Model'!$H$20:$H$44, 'Dry Cleaning Model'!$B$20:$B$44, A138, 'Dry Cleaning Model'!$E$20:$E$44, H138), "-")</f>
        <v>1.7058299093862954</v>
      </c>
      <c r="K138" s="188">
        <f t="shared" si="20"/>
        <v>17.058299093862953</v>
      </c>
      <c r="L138" s="188">
        <f t="shared" si="29"/>
        <v>42.645747734657384</v>
      </c>
      <c r="M138" s="188">
        <f t="shared" si="21"/>
        <v>85.291495469314768</v>
      </c>
      <c r="N138" s="188">
        <f t="shared" si="22"/>
        <v>1705.8299093862954</v>
      </c>
      <c r="O138" s="188">
        <f t="shared" si="23"/>
        <v>17058.299093862955</v>
      </c>
      <c r="P138" s="188">
        <f>IF(AND(COUNTIFS('Dry Cleaning Model'!$B$20:$B$44, A138, 'Dry Cleaning Model'!$E$20:$E$44, H138)=1, SUMIFS('Dry Cleaning Model'!$P$20:$P$44, 'Dry Cleaning Model'!$B$20:$B$44, A138, 'Dry Cleaning Model'!$E$20:$E$44, H138)&gt;0), SUMIFS('Dry Cleaning Model'!$P$20:$P$44, 'Dry Cleaning Model'!$B$20:$B$44, A138, 'Dry Cleaning Model'!$E$20:$E$44, H138), "-")</f>
        <v>2.694818494567548</v>
      </c>
      <c r="Q138" s="188">
        <f t="shared" si="24"/>
        <v>26.948184945675479</v>
      </c>
      <c r="R138" s="188">
        <f t="shared" si="25"/>
        <v>67.370462364188697</v>
      </c>
      <c r="S138" s="188">
        <f t="shared" si="26"/>
        <v>134.74092472837739</v>
      </c>
      <c r="T138" s="188">
        <f t="shared" si="27"/>
        <v>2694.818494567548</v>
      </c>
      <c r="U138" s="189">
        <f t="shared" si="28"/>
        <v>26948.184945675479</v>
      </c>
    </row>
    <row r="139" spans="1:21" ht="15" customHeight="1" x14ac:dyDescent="0.25">
      <c r="A139" s="337" t="s">
        <v>51</v>
      </c>
      <c r="B139" s="591"/>
      <c r="C139" s="584"/>
      <c r="D139" s="598"/>
      <c r="E139" s="601"/>
      <c r="F139" s="603"/>
      <c r="G139" s="593"/>
      <c r="H139" s="334" t="s">
        <v>40</v>
      </c>
      <c r="I139" s="327">
        <f>VLOOKUP(A139, 'Look-up Values'!$F$6:$J$14, 5, FALSE)</f>
        <v>100</v>
      </c>
      <c r="J139" s="187">
        <f>IF(AND(COUNTIFS('Dry Cleaning Model'!$B$20:$B$44, A139, 'Dry Cleaning Model'!$E$20:$E$44, H139)=1, SUMIFS('Dry Cleaning Model'!$H$20:$H$44, 'Dry Cleaning Model'!$B$20:$B$44, A139, 'Dry Cleaning Model'!$E$20:$E$44, H139)&gt;0), SUMIFS('Dry Cleaning Model'!$H$20:$H$44, 'Dry Cleaning Model'!$B$20:$B$44, A139, 'Dry Cleaning Model'!$E$20:$E$44, H139), "-")</f>
        <v>6.2415504569986684</v>
      </c>
      <c r="K139" s="188">
        <f t="shared" si="20"/>
        <v>62.41550456998668</v>
      </c>
      <c r="L139" s="188">
        <f t="shared" si="29"/>
        <v>156.03876142496671</v>
      </c>
      <c r="M139" s="188">
        <f t="shared" si="21"/>
        <v>312.07752284993342</v>
      </c>
      <c r="N139" s="188">
        <f t="shared" si="22"/>
        <v>6241.5504569986688</v>
      </c>
      <c r="O139" s="188">
        <f t="shared" si="23"/>
        <v>62415.504569986682</v>
      </c>
      <c r="P139" s="188">
        <f>IF(AND(COUNTIFS('Dry Cleaning Model'!$B$20:$B$44, A139, 'Dry Cleaning Model'!$E$20:$E$44, H139)=1, SUMIFS('Dry Cleaning Model'!$P$20:$P$44, 'Dry Cleaning Model'!$B$20:$B$44, A139, 'Dry Cleaning Model'!$E$20:$E$44, H139)&gt;0), SUMIFS('Dry Cleaning Model'!$P$20:$P$44, 'Dry Cleaning Model'!$B$20:$B$44, A139, 'Dry Cleaning Model'!$E$20:$E$44, H139), "-")</f>
        <v>8.6904546354158612</v>
      </c>
      <c r="Q139" s="188">
        <f t="shared" si="24"/>
        <v>86.904546354158612</v>
      </c>
      <c r="R139" s="188">
        <f t="shared" si="25"/>
        <v>217.26136588539651</v>
      </c>
      <c r="S139" s="188">
        <f t="shared" si="26"/>
        <v>434.52273177079303</v>
      </c>
      <c r="T139" s="188">
        <f t="shared" si="27"/>
        <v>8690.454635415861</v>
      </c>
      <c r="U139" s="189">
        <f t="shared" si="28"/>
        <v>86904.546354158607</v>
      </c>
    </row>
    <row r="140" spans="1:21" x14ac:dyDescent="0.25">
      <c r="A140" s="337" t="s">
        <v>59</v>
      </c>
      <c r="B140" s="591"/>
      <c r="C140" s="584"/>
      <c r="D140" s="598"/>
      <c r="E140" s="598" t="s">
        <v>187</v>
      </c>
      <c r="F140" s="596" t="s">
        <v>188</v>
      </c>
      <c r="G140" s="593"/>
      <c r="H140" s="334" t="s">
        <v>38</v>
      </c>
      <c r="I140" s="331">
        <f>VLOOKUP(A140, 'Look-up Values'!$F$6:$J$11, 5, FALSE)</f>
        <v>100</v>
      </c>
      <c r="J140" s="187">
        <f>IF(AND(COUNTIFS('Dry Cleaning Model'!$B$20:$B$44, A140, 'Dry Cleaning Model'!$E$20:$E$44, H140)=1, SUMIFS('Dry Cleaning Model'!$H$20:$H$44, 'Dry Cleaning Model'!$B$20:$B$44, A140, 'Dry Cleaning Model'!$E$20:$E$44, H140)&gt;0), SUMIFS('Dry Cleaning Model'!$H$20:$H$44, 'Dry Cleaning Model'!$B$20:$B$44, A140, 'Dry Cleaning Model'!$E$20:$E$44, H140), "-")</f>
        <v>15.181156633885502</v>
      </c>
      <c r="K140" s="188">
        <f t="shared" si="20"/>
        <v>151.81156633885502</v>
      </c>
      <c r="L140" s="188">
        <f t="shared" si="29"/>
        <v>379.52891584713757</v>
      </c>
      <c r="M140" s="188">
        <f t="shared" si="21"/>
        <v>759.05783169427514</v>
      </c>
      <c r="N140" s="188">
        <f t="shared" si="22"/>
        <v>15181.156633885503</v>
      </c>
      <c r="O140" s="188">
        <f t="shared" si="23"/>
        <v>151811.56633885502</v>
      </c>
      <c r="P140" s="188">
        <f>IF(AND(COUNTIFS('Dry Cleaning Model'!$B$20:$B$44, A140, 'Dry Cleaning Model'!$E$20:$E$44, H140)=1, SUMIFS('Dry Cleaning Model'!$P$20:$P$44, 'Dry Cleaning Model'!$B$20:$B$44, A140, 'Dry Cleaning Model'!$E$20:$E$44, H140)&gt;0), SUMIFS('Dry Cleaning Model'!$P$20:$P$44, 'Dry Cleaning Model'!$B$20:$B$44, A140, 'Dry Cleaning Model'!$E$20:$E$44, H140), "-")</f>
        <v>24.165523875990253</v>
      </c>
      <c r="Q140" s="188">
        <f t="shared" si="24"/>
        <v>241.65523875990255</v>
      </c>
      <c r="R140" s="188">
        <f t="shared" si="25"/>
        <v>604.13809689975631</v>
      </c>
      <c r="S140" s="188">
        <f t="shared" si="26"/>
        <v>1208.2761937995126</v>
      </c>
      <c r="T140" s="188">
        <f t="shared" si="27"/>
        <v>24165.523875990253</v>
      </c>
      <c r="U140" s="189">
        <f t="shared" si="28"/>
        <v>241655.23875990254</v>
      </c>
    </row>
    <row r="141" spans="1:21" x14ac:dyDescent="0.25">
      <c r="A141" s="337" t="s">
        <v>59</v>
      </c>
      <c r="B141" s="591"/>
      <c r="C141" s="584"/>
      <c r="D141" s="598"/>
      <c r="E141" s="598"/>
      <c r="F141" s="596"/>
      <c r="G141" s="593"/>
      <c r="H141" s="334" t="s">
        <v>40</v>
      </c>
      <c r="I141" s="331">
        <f>VLOOKUP(A141, 'Look-up Values'!$F$6:$J$11, 5, FALSE)</f>
        <v>100</v>
      </c>
      <c r="J141" s="187">
        <f>IF(AND(COUNTIFS('Dry Cleaning Model'!$B$20:$B$44, A141, 'Dry Cleaning Model'!$E$20:$E$44, H141)=1, SUMIFS('Dry Cleaning Model'!$H$20:$H$44, 'Dry Cleaning Model'!$B$20:$B$44, A141, 'Dry Cleaning Model'!$E$20:$E$44, H141)&gt;0), SUMIFS('Dry Cleaning Model'!$H$20:$H$44, 'Dry Cleaning Model'!$B$20:$B$44, A141, 'Dry Cleaning Model'!$E$20:$E$44, H141), "-")</f>
        <v>56.206455125261108</v>
      </c>
      <c r="K141" s="188">
        <f t="shared" si="20"/>
        <v>562.06455125261107</v>
      </c>
      <c r="L141" s="188">
        <f t="shared" si="29"/>
        <v>1405.1613781315277</v>
      </c>
      <c r="M141" s="188">
        <f t="shared" si="21"/>
        <v>2810.3227562630555</v>
      </c>
      <c r="N141" s="188">
        <f t="shared" si="22"/>
        <v>56206.455125261105</v>
      </c>
      <c r="O141" s="188">
        <f t="shared" si="23"/>
        <v>562064.5512526111</v>
      </c>
      <c r="P141" s="188">
        <f>IF(AND(COUNTIFS('Dry Cleaning Model'!$B$20:$B$44, A141, 'Dry Cleaning Model'!$E$20:$E$44, H141)=1, SUMIFS('Dry Cleaning Model'!$P$20:$P$44, 'Dry Cleaning Model'!$B$20:$B$44, A141, 'Dry Cleaning Model'!$E$20:$E$44, H141)&gt;0), SUMIFS('Dry Cleaning Model'!$P$20:$P$44, 'Dry Cleaning Model'!$B$20:$B$44, A141, 'Dry Cleaning Model'!$E$20:$E$44, H141), "-")</f>
        <v>78.220536389444746</v>
      </c>
      <c r="Q141" s="188">
        <f t="shared" si="24"/>
        <v>782.20536389444749</v>
      </c>
      <c r="R141" s="188">
        <f t="shared" si="25"/>
        <v>1955.5134097361185</v>
      </c>
      <c r="S141" s="188">
        <f t="shared" si="26"/>
        <v>3911.0268194722371</v>
      </c>
      <c r="T141" s="188">
        <f t="shared" si="27"/>
        <v>78220.536389444751</v>
      </c>
      <c r="U141" s="189">
        <f t="shared" si="28"/>
        <v>782205.36389444745</v>
      </c>
    </row>
    <row r="142" spans="1:21" x14ac:dyDescent="0.25">
      <c r="A142" s="337" t="s">
        <v>61</v>
      </c>
      <c r="B142" s="591"/>
      <c r="C142" s="584"/>
      <c r="D142" s="598"/>
      <c r="E142" s="598"/>
      <c r="F142" s="596" t="s">
        <v>189</v>
      </c>
      <c r="G142" s="593"/>
      <c r="H142" s="334" t="s">
        <v>38</v>
      </c>
      <c r="I142" s="331">
        <f>VLOOKUP(A142, 'Look-up Values'!$F$6:$J$11, 5, FALSE)</f>
        <v>100</v>
      </c>
      <c r="J142" s="187">
        <f>IF(AND(COUNTIFS('Dry Cleaning Model'!$B$20:$B$44, A142, 'Dry Cleaning Model'!$E$20:$E$44, H142)=1, SUMIFS('Dry Cleaning Model'!$H$20:$H$44, 'Dry Cleaning Model'!$B$20:$B$44, A142, 'Dry Cleaning Model'!$E$20:$E$44, H142)&gt;0), SUMIFS('Dry Cleaning Model'!$H$20:$H$44, 'Dry Cleaning Model'!$B$20:$B$44, A142, 'Dry Cleaning Model'!$E$20:$E$44, H142), "-")</f>
        <v>18.554746996971168</v>
      </c>
      <c r="K142" s="188">
        <f t="shared" si="20"/>
        <v>185.5474699697117</v>
      </c>
      <c r="L142" s="188">
        <f t="shared" si="29"/>
        <v>463.86867492427922</v>
      </c>
      <c r="M142" s="188">
        <f t="shared" si="21"/>
        <v>927.73734984855844</v>
      </c>
      <c r="N142" s="188">
        <f t="shared" si="22"/>
        <v>18554.746996971167</v>
      </c>
      <c r="O142" s="188">
        <f t="shared" si="23"/>
        <v>185547.46996971167</v>
      </c>
      <c r="P142" s="188">
        <f>IF(AND(COUNTIFS('Dry Cleaning Model'!$B$20:$B$44, A142, 'Dry Cleaning Model'!$E$20:$E$44, H142)=1, SUMIFS('Dry Cleaning Model'!$P$20:$P$44, 'Dry Cleaning Model'!$B$20:$B$44, A142, 'Dry Cleaning Model'!$E$20:$E$44, H142)&gt;0), SUMIFS('Dry Cleaning Model'!$P$20:$P$44, 'Dry Cleaning Model'!$B$20:$B$44, A142, 'Dry Cleaning Model'!$E$20:$E$44, H142), "-")</f>
        <v>29.535640292876977</v>
      </c>
      <c r="Q142" s="188">
        <f t="shared" si="24"/>
        <v>295.35640292876974</v>
      </c>
      <c r="R142" s="188">
        <f t="shared" si="25"/>
        <v>738.39100732192446</v>
      </c>
      <c r="S142" s="188">
        <f t="shared" si="26"/>
        <v>1476.7820146438489</v>
      </c>
      <c r="T142" s="188">
        <f t="shared" si="27"/>
        <v>29535.640292876978</v>
      </c>
      <c r="U142" s="189">
        <f t="shared" si="28"/>
        <v>295356.40292876976</v>
      </c>
    </row>
    <row r="143" spans="1:21" x14ac:dyDescent="0.25">
      <c r="A143" s="337" t="s">
        <v>61</v>
      </c>
      <c r="B143" s="591"/>
      <c r="C143" s="584"/>
      <c r="D143" s="598"/>
      <c r="E143" s="598"/>
      <c r="F143" s="596"/>
      <c r="G143" s="593"/>
      <c r="H143" s="334" t="s">
        <v>40</v>
      </c>
      <c r="I143" s="331">
        <f>VLOOKUP(A143, 'Look-up Values'!$F$6:$J$11, 5, FALSE)</f>
        <v>100</v>
      </c>
      <c r="J143" s="187">
        <f>IF(AND(COUNTIFS('Dry Cleaning Model'!$B$20:$B$44, A143, 'Dry Cleaning Model'!$E$20:$E$44, H143)=1, SUMIFS('Dry Cleaning Model'!$H$20:$H$44, 'Dry Cleaning Model'!$B$20:$B$44, A143, 'Dry Cleaning Model'!$E$20:$E$44, H143)&gt;0), SUMIFS('Dry Cleaning Model'!$H$20:$H$44, 'Dry Cleaning Model'!$B$20:$B$44, A143, 'Dry Cleaning Model'!$E$20:$E$44, H143), "-")</f>
        <v>68.696778486430247</v>
      </c>
      <c r="K143" s="188">
        <f t="shared" si="20"/>
        <v>686.96778486430253</v>
      </c>
      <c r="L143" s="188">
        <f t="shared" si="29"/>
        <v>1717.4194621607562</v>
      </c>
      <c r="M143" s="188">
        <f t="shared" si="21"/>
        <v>3434.8389243215124</v>
      </c>
      <c r="N143" s="188">
        <f t="shared" si="22"/>
        <v>68696.778486430252</v>
      </c>
      <c r="O143" s="188">
        <f t="shared" si="23"/>
        <v>686967.78486430249</v>
      </c>
      <c r="P143" s="188">
        <f>IF(AND(COUNTIFS('Dry Cleaning Model'!$B$20:$B$44, A143, 'Dry Cleaning Model'!$E$20:$E$44, H143)=1, SUMIFS('Dry Cleaning Model'!$P$20:$P$44, 'Dry Cleaning Model'!$B$20:$B$44, A143, 'Dry Cleaning Model'!$E$20:$E$44, H143)&gt;0), SUMIFS('Dry Cleaning Model'!$P$20:$P$44, 'Dry Cleaning Model'!$B$20:$B$44, A143, 'Dry Cleaning Model'!$E$20:$E$44, H143), "-")</f>
        <v>95.60287780932137</v>
      </c>
      <c r="Q143" s="188">
        <f t="shared" si="24"/>
        <v>956.02877809321376</v>
      </c>
      <c r="R143" s="188">
        <f t="shared" si="25"/>
        <v>2390.0719452330341</v>
      </c>
      <c r="S143" s="188">
        <f t="shared" si="26"/>
        <v>4780.1438904660681</v>
      </c>
      <c r="T143" s="188">
        <f t="shared" si="27"/>
        <v>95602.877809321377</v>
      </c>
      <c r="U143" s="189">
        <f t="shared" si="28"/>
        <v>956028.77809321368</v>
      </c>
    </row>
    <row r="144" spans="1:21" x14ac:dyDescent="0.25">
      <c r="A144" s="337" t="s">
        <v>63</v>
      </c>
      <c r="B144" s="591"/>
      <c r="C144" s="584"/>
      <c r="D144" s="598"/>
      <c r="E144" s="598"/>
      <c r="F144" s="596" t="s">
        <v>190</v>
      </c>
      <c r="G144" s="593" t="s">
        <v>191</v>
      </c>
      <c r="H144" s="334" t="s">
        <v>38</v>
      </c>
      <c r="I144" s="331">
        <f>VLOOKUP(A144, 'Look-up Values'!$F$6:$J$11, 5, FALSE)</f>
        <v>100</v>
      </c>
      <c r="J144" s="187">
        <f>IF(AND(COUNTIFS('Dry Cleaning Model'!$B$20:$B$44, A144, 'Dry Cleaning Model'!$E$20:$E$44, H144)=1, SUMIFS('Dry Cleaning Model'!$H$20:$H$44, 'Dry Cleaning Model'!$B$20:$B$44, A144, 'Dry Cleaning Model'!$E$20:$E$44, H144)&gt;0), SUMIFS('Dry Cleaning Model'!$H$20:$H$44, 'Dry Cleaning Model'!$B$20:$B$44, A144, 'Dry Cleaning Model'!$E$20:$E$44, H144), "-")</f>
        <v>5.4820843400142083</v>
      </c>
      <c r="K144" s="188">
        <f t="shared" si="20"/>
        <v>54.820843400142081</v>
      </c>
      <c r="L144" s="188">
        <f t="shared" si="29"/>
        <v>137.05210850035522</v>
      </c>
      <c r="M144" s="188">
        <f t="shared" si="21"/>
        <v>274.10421700071043</v>
      </c>
      <c r="N144" s="188">
        <f t="shared" si="22"/>
        <v>5482.0843400142085</v>
      </c>
      <c r="O144" s="188">
        <f t="shared" si="23"/>
        <v>54820.843400142083</v>
      </c>
      <c r="P144" s="188">
        <f>IF(AND(COUNTIFS('Dry Cleaning Model'!$B$20:$B$44, A144, 'Dry Cleaning Model'!$E$20:$E$44, H144)=1, SUMIFS('Dry Cleaning Model'!$P$20:$P$44, 'Dry Cleaning Model'!$B$20:$B$44, A144, 'Dry Cleaning Model'!$E$20:$E$44, H144)&gt;0), SUMIFS('Dry Cleaning Model'!$P$20:$P$44, 'Dry Cleaning Model'!$B$20:$B$44, A144, 'Dry Cleaning Model'!$E$20:$E$44, H144), "-")</f>
        <v>8.7264391774409251</v>
      </c>
      <c r="Q144" s="188">
        <f t="shared" si="24"/>
        <v>87.264391774409248</v>
      </c>
      <c r="R144" s="188">
        <f t="shared" si="25"/>
        <v>218.16097943602313</v>
      </c>
      <c r="S144" s="188">
        <f t="shared" si="26"/>
        <v>436.32195887204625</v>
      </c>
      <c r="T144" s="188">
        <f t="shared" si="27"/>
        <v>8726.4391774409251</v>
      </c>
      <c r="U144" s="189">
        <f t="shared" si="28"/>
        <v>87264.391774409247</v>
      </c>
    </row>
    <row r="145" spans="1:21" x14ac:dyDescent="0.25">
      <c r="A145" s="337" t="s">
        <v>63</v>
      </c>
      <c r="B145" s="591"/>
      <c r="C145" s="584"/>
      <c r="D145" s="598"/>
      <c r="E145" s="598"/>
      <c r="F145" s="596"/>
      <c r="G145" s="593"/>
      <c r="H145" s="334" t="s">
        <v>40</v>
      </c>
      <c r="I145" s="331">
        <f>VLOOKUP(A145, 'Look-up Values'!$F$6:$J$11, 5, FALSE)</f>
        <v>100</v>
      </c>
      <c r="J145" s="187">
        <f>IF(AND(COUNTIFS('Dry Cleaning Model'!$B$20:$B$44, A145, 'Dry Cleaning Model'!$E$20:$E$44, H145)=1, SUMIFS('Dry Cleaning Model'!$H$20:$H$44, 'Dry Cleaning Model'!$B$20:$B$44, A145, 'Dry Cleaning Model'!$E$20:$E$44, H145)&gt;0), SUMIFS('Dry Cleaning Model'!$H$20:$H$44, 'Dry Cleaning Model'!$B$20:$B$44, A145, 'Dry Cleaning Model'!$E$20:$E$44, H145), "-")</f>
        <v>20.296775461899845</v>
      </c>
      <c r="K145" s="188">
        <f t="shared" si="20"/>
        <v>202.96775461899844</v>
      </c>
      <c r="L145" s="188">
        <f t="shared" si="29"/>
        <v>507.41938654749612</v>
      </c>
      <c r="M145" s="188">
        <f t="shared" si="21"/>
        <v>1014.8387730949922</v>
      </c>
      <c r="N145" s="188">
        <f t="shared" si="22"/>
        <v>20296.775461899844</v>
      </c>
      <c r="O145" s="188">
        <f t="shared" si="23"/>
        <v>202967.75461899844</v>
      </c>
      <c r="P145" s="188">
        <f>IF(AND(COUNTIFS('Dry Cleaning Model'!$B$20:$B$44, A145, 'Dry Cleaning Model'!$E$20:$E$44, H145)=1, SUMIFS('Dry Cleaning Model'!$P$20:$P$44, 'Dry Cleaning Model'!$B$20:$B$44, A145, 'Dry Cleaning Model'!$E$20:$E$44, H145)&gt;0), SUMIFS('Dry Cleaning Model'!$P$20:$P$44, 'Dry Cleaning Model'!$B$20:$B$44, A145, 'Dry Cleaning Model'!$E$20:$E$44, H145), "-")</f>
        <v>28.246304807299495</v>
      </c>
      <c r="Q145" s="188">
        <f t="shared" si="24"/>
        <v>282.46304807299498</v>
      </c>
      <c r="R145" s="188">
        <f t="shared" si="25"/>
        <v>706.15762018248734</v>
      </c>
      <c r="S145" s="188">
        <f t="shared" si="26"/>
        <v>1412.3152403649747</v>
      </c>
      <c r="T145" s="188">
        <f t="shared" si="27"/>
        <v>28246.304807299493</v>
      </c>
      <c r="U145" s="189">
        <f t="shared" si="28"/>
        <v>282463.04807299498</v>
      </c>
    </row>
    <row r="146" spans="1:21" x14ac:dyDescent="0.25">
      <c r="A146" s="337" t="s">
        <v>65</v>
      </c>
      <c r="B146" s="591"/>
      <c r="C146" s="584"/>
      <c r="D146" s="598"/>
      <c r="E146" s="598"/>
      <c r="F146" s="596" t="s">
        <v>184</v>
      </c>
      <c r="G146" s="606" t="s">
        <v>185</v>
      </c>
      <c r="H146" s="334" t="s">
        <v>38</v>
      </c>
      <c r="I146" s="331">
        <f>VLOOKUP(A146, 'Look-up Values'!$F$6:$J$11, 5, FALSE)</f>
        <v>100</v>
      </c>
      <c r="J146" s="187">
        <f>IF(AND(COUNTIFS('Dry Cleaning Model'!$B$20:$B$44, A146, 'Dry Cleaning Model'!$E$20:$E$44, H146)=1, SUMIFS('Dry Cleaning Model'!$H$20:$H$44, 'Dry Cleaning Model'!$B$20:$B$44, A146, 'Dry Cleaning Model'!$E$20:$E$44, H146)&gt;0), SUMIFS('Dry Cleaning Model'!$H$20:$H$44, 'Dry Cleaning Model'!$B$20:$B$44, A146, 'Dry Cleaning Model'!$E$20:$E$44, H146), "-")</f>
        <v>4.2169879538570836</v>
      </c>
      <c r="K146" s="188">
        <f t="shared" si="20"/>
        <v>42.169879538570839</v>
      </c>
      <c r="L146" s="188">
        <f t="shared" si="29"/>
        <v>105.42469884642709</v>
      </c>
      <c r="M146" s="188">
        <f t="shared" si="21"/>
        <v>210.84939769285418</v>
      </c>
      <c r="N146" s="188">
        <f t="shared" si="22"/>
        <v>4216.987953857084</v>
      </c>
      <c r="O146" s="188">
        <f t="shared" si="23"/>
        <v>42169.879538570836</v>
      </c>
      <c r="P146" s="188">
        <f>IF(AND(COUNTIFS('Dry Cleaning Model'!$B$20:$B$44, A146, 'Dry Cleaning Model'!$E$20:$E$44, H146)=1, SUMIFS('Dry Cleaning Model'!$P$20:$P$44, 'Dry Cleaning Model'!$B$20:$B$44, A146, 'Dry Cleaning Model'!$E$20:$E$44, H146)&gt;0), SUMIFS('Dry Cleaning Model'!$P$20:$P$44, 'Dry Cleaning Model'!$B$20:$B$44, A146, 'Dry Cleaning Model'!$E$20:$E$44, H146), "-")</f>
        <v>6.7126455211084037</v>
      </c>
      <c r="Q146" s="188">
        <f t="shared" si="24"/>
        <v>67.126455211084036</v>
      </c>
      <c r="R146" s="188">
        <f t="shared" si="25"/>
        <v>167.81613802771008</v>
      </c>
      <c r="S146" s="188">
        <f t="shared" si="26"/>
        <v>335.63227605542016</v>
      </c>
      <c r="T146" s="188">
        <f t="shared" si="27"/>
        <v>6712.645521108404</v>
      </c>
      <c r="U146" s="189">
        <f t="shared" si="28"/>
        <v>67126.45521108403</v>
      </c>
    </row>
    <row r="147" spans="1:21" x14ac:dyDescent="0.25">
      <c r="A147" s="337" t="s">
        <v>65</v>
      </c>
      <c r="B147" s="591"/>
      <c r="C147" s="584"/>
      <c r="D147" s="598"/>
      <c r="E147" s="598"/>
      <c r="F147" s="596"/>
      <c r="G147" s="607"/>
      <c r="H147" s="334" t="s">
        <v>40</v>
      </c>
      <c r="I147" s="331">
        <f>VLOOKUP(A147, 'Look-up Values'!$F$6:$J$11, 5, FALSE)</f>
        <v>100</v>
      </c>
      <c r="J147" s="187">
        <f>IF(AND(COUNTIFS('Dry Cleaning Model'!$B$20:$B$44, A147, 'Dry Cleaning Model'!$E$20:$E$44, H147)=1, SUMIFS('Dry Cleaning Model'!$H$20:$H$44, 'Dry Cleaning Model'!$B$20:$B$44, A147, 'Dry Cleaning Model'!$E$20:$E$44, H147)&gt;0), SUMIFS('Dry Cleaning Model'!$H$20:$H$44, 'Dry Cleaning Model'!$B$20:$B$44, A147, 'Dry Cleaning Model'!$E$20:$E$44, H147), "-")</f>
        <v>15.61290420146142</v>
      </c>
      <c r="K147" s="188">
        <f t="shared" si="20"/>
        <v>156.12904201461421</v>
      </c>
      <c r="L147" s="188">
        <f t="shared" si="29"/>
        <v>390.32260503653549</v>
      </c>
      <c r="M147" s="188">
        <f t="shared" si="21"/>
        <v>780.64521007307098</v>
      </c>
      <c r="N147" s="188">
        <f t="shared" si="22"/>
        <v>15612.904201461421</v>
      </c>
      <c r="O147" s="188">
        <f t="shared" si="23"/>
        <v>156129.04201461421</v>
      </c>
      <c r="P147" s="188">
        <f>IF(AND(COUNTIFS('Dry Cleaning Model'!$B$20:$B$44, A147, 'Dry Cleaning Model'!$E$20:$E$44, H147)=1, SUMIFS('Dry Cleaning Model'!$P$20:$P$44, 'Dry Cleaning Model'!$B$20:$B$44, A147, 'Dry Cleaning Model'!$E$20:$E$44, H147)&gt;0), SUMIFS('Dry Cleaning Model'!$P$20:$P$44, 'Dry Cleaning Model'!$B$20:$B$44, A147, 'Dry Cleaning Model'!$E$20:$E$44, H147), "-")</f>
        <v>21.727926774845763</v>
      </c>
      <c r="Q147" s="188">
        <f t="shared" si="24"/>
        <v>217.27926774845764</v>
      </c>
      <c r="R147" s="188">
        <f t="shared" si="25"/>
        <v>543.1981693711441</v>
      </c>
      <c r="S147" s="188">
        <f t="shared" si="26"/>
        <v>1086.3963387422882</v>
      </c>
      <c r="T147" s="188">
        <f t="shared" si="27"/>
        <v>21727.926774845764</v>
      </c>
      <c r="U147" s="189">
        <f t="shared" si="28"/>
        <v>217279.26774845764</v>
      </c>
    </row>
    <row r="148" spans="1:21" x14ac:dyDescent="0.25">
      <c r="A148" s="337" t="s">
        <v>66</v>
      </c>
      <c r="B148" s="591"/>
      <c r="C148" s="584"/>
      <c r="D148" s="598"/>
      <c r="E148" s="598"/>
      <c r="F148" s="602" t="s">
        <v>186</v>
      </c>
      <c r="G148" s="607"/>
      <c r="H148" s="334" t="s">
        <v>38</v>
      </c>
      <c r="I148" s="327">
        <f>VLOOKUP(A148, 'Look-up Values'!$F$6:$J$14, 5, FALSE)</f>
        <v>100</v>
      </c>
      <c r="J148" s="187">
        <f>IF(AND(COUNTIFS('Dry Cleaning Model'!$B$20:$B$44, A148, 'Dry Cleaning Model'!$E$20:$E$44, H148)=1, SUMIFS('Dry Cleaning Model'!$H$20:$H$44, 'Dry Cleaning Model'!$B$20:$B$44, A148, 'Dry Cleaning Model'!$E$20:$E$44, H148)&gt;0), SUMIFS('Dry Cleaning Model'!$H$20:$H$44, 'Dry Cleaning Model'!$B$20:$B$44, A148, 'Dry Cleaning Model'!$E$20:$E$44, H148), "-")</f>
        <v>2.3931406638138948</v>
      </c>
      <c r="K148" s="188">
        <f t="shared" si="20"/>
        <v>23.931406638138949</v>
      </c>
      <c r="L148" s="188">
        <f t="shared" si="29"/>
        <v>59.828516595347367</v>
      </c>
      <c r="M148" s="188">
        <f t="shared" si="21"/>
        <v>119.65703319069473</v>
      </c>
      <c r="N148" s="188">
        <f t="shared" si="22"/>
        <v>2393.1406638138947</v>
      </c>
      <c r="O148" s="188">
        <f t="shared" si="23"/>
        <v>23931.406638138949</v>
      </c>
      <c r="P148" s="188">
        <f>IF(AND(COUNTIFS('Dry Cleaning Model'!$B$20:$B$44, A148, 'Dry Cleaning Model'!$E$20:$E$44, H148)=1, SUMIFS('Dry Cleaning Model'!$P$20:$P$44, 'Dry Cleaning Model'!$B$20:$B$44, A148, 'Dry Cleaning Model'!$E$20:$E$44, H148)&gt;0), SUMIFS('Dry Cleaning Model'!$P$20:$P$44, 'Dry Cleaning Model'!$B$20:$B$44, A148, 'Dry Cleaning Model'!$E$20:$E$44, H148), "-")</f>
        <v>3.8094263332290188</v>
      </c>
      <c r="Q148" s="188">
        <f t="shared" si="24"/>
        <v>38.09426333229019</v>
      </c>
      <c r="R148" s="188">
        <f t="shared" si="25"/>
        <v>95.235658330725471</v>
      </c>
      <c r="S148" s="188">
        <f t="shared" si="26"/>
        <v>190.47131666145094</v>
      </c>
      <c r="T148" s="188">
        <f t="shared" si="27"/>
        <v>3809.4263332290188</v>
      </c>
      <c r="U148" s="189">
        <f t="shared" si="28"/>
        <v>38094.263332290189</v>
      </c>
    </row>
    <row r="149" spans="1:21" x14ac:dyDescent="0.25">
      <c r="A149" s="337" t="s">
        <v>66</v>
      </c>
      <c r="B149" s="591"/>
      <c r="C149" s="584"/>
      <c r="D149" s="598"/>
      <c r="E149" s="598"/>
      <c r="F149" s="603"/>
      <c r="G149" s="608"/>
      <c r="H149" s="334" t="s">
        <v>40</v>
      </c>
      <c r="I149" s="327">
        <f>VLOOKUP(A149, 'Look-up Values'!$F$6:$J$14, 5, FALSE)</f>
        <v>100</v>
      </c>
      <c r="J149" s="187">
        <f>IF(AND(COUNTIFS('Dry Cleaning Model'!$B$20:$B$44, A149, 'Dry Cleaning Model'!$E$20:$E$44, H149)=1, SUMIFS('Dry Cleaning Model'!$H$20:$H$44, 'Dry Cleaning Model'!$B$20:$B$44, A149, 'Dry Cleaning Model'!$E$20:$E$44, H149)&gt;0), SUMIFS('Dry Cleaning Model'!$H$20:$H$44, 'Dry Cleaning Model'!$B$20:$B$44, A149, 'Dry Cleaning Model'!$E$20:$E$44, H149), "-")</f>
        <v>8.8603231343293558</v>
      </c>
      <c r="K149" s="188">
        <f t="shared" si="20"/>
        <v>88.603231343293558</v>
      </c>
      <c r="L149" s="188">
        <f t="shared" si="29"/>
        <v>221.50807835823389</v>
      </c>
      <c r="M149" s="188">
        <f t="shared" si="21"/>
        <v>443.01615671646778</v>
      </c>
      <c r="N149" s="188">
        <f t="shared" si="22"/>
        <v>8860.3231343293555</v>
      </c>
      <c r="O149" s="188">
        <f t="shared" si="23"/>
        <v>88603.231343293563</v>
      </c>
      <c r="P149" s="188">
        <f>IF(AND(COUNTIFS('Dry Cleaning Model'!$B$20:$B$44, A149, 'Dry Cleaning Model'!$E$20:$E$44, H149)=1, SUMIFS('Dry Cleaning Model'!$P$20:$P$44, 'Dry Cleaning Model'!$B$20:$B$44, A149, 'Dry Cleaning Model'!$E$20:$E$44, H149)&gt;0), SUMIFS('Dry Cleaning Model'!$P$20:$P$44, 'Dry Cleaning Model'!$B$20:$B$44, A149, 'Dry Cleaning Model'!$E$20:$E$44, H149), "-")</f>
        <v>12.330598444724972</v>
      </c>
      <c r="Q149" s="188">
        <f t="shared" si="24"/>
        <v>123.30598444724971</v>
      </c>
      <c r="R149" s="188">
        <f t="shared" si="25"/>
        <v>308.26496111812429</v>
      </c>
      <c r="S149" s="188">
        <f t="shared" si="26"/>
        <v>616.52992223624858</v>
      </c>
      <c r="T149" s="188">
        <f t="shared" si="27"/>
        <v>12330.598444724972</v>
      </c>
      <c r="U149" s="189">
        <f t="shared" si="28"/>
        <v>123305.98444724972</v>
      </c>
    </row>
    <row r="150" spans="1:21" x14ac:dyDescent="0.25">
      <c r="A150" s="337" t="s">
        <v>67</v>
      </c>
      <c r="B150" s="591"/>
      <c r="C150" s="584"/>
      <c r="D150" s="598"/>
      <c r="E150" s="598"/>
      <c r="F150" s="596" t="s">
        <v>192</v>
      </c>
      <c r="G150" s="593" t="s">
        <v>193</v>
      </c>
      <c r="H150" s="334" t="s">
        <v>38</v>
      </c>
      <c r="I150" s="331">
        <f>VLOOKUP(A150, 'Look-up Values'!$F$6:$J$11, 5, FALSE)</f>
        <v>100</v>
      </c>
      <c r="J150" s="187">
        <f>IF(AND(COUNTIFS('Dry Cleaning Model'!$B$20:$B$44, A150, 'Dry Cleaning Model'!$E$20:$E$44, H150)=1, SUMIFS('Dry Cleaning Model'!$H$20:$H$44, 'Dry Cleaning Model'!$B$20:$B$44, A150, 'Dry Cleaning Model'!$E$20:$E$44, H150)&gt;0), SUMIFS('Dry Cleaning Model'!$H$20:$H$44, 'Dry Cleaning Model'!$B$20:$B$44, A150, 'Dry Cleaning Model'!$E$20:$E$44, H150), "-")</f>
        <v>2.5723626518528206</v>
      </c>
      <c r="K150" s="188">
        <f t="shared" si="20"/>
        <v>25.723626518528206</v>
      </c>
      <c r="L150" s="188">
        <f t="shared" si="29"/>
        <v>64.309066296320509</v>
      </c>
      <c r="M150" s="188">
        <f t="shared" si="21"/>
        <v>128.61813259264102</v>
      </c>
      <c r="N150" s="188">
        <f t="shared" si="22"/>
        <v>2572.3626518528208</v>
      </c>
      <c r="O150" s="188">
        <f t="shared" si="23"/>
        <v>25723.626518528206</v>
      </c>
      <c r="P150" s="188">
        <f>IF(AND(COUNTIFS('Dry Cleaning Model'!$B$20:$B$44, A150, 'Dry Cleaning Model'!$E$20:$E$44, H150)=1, SUMIFS('Dry Cleaning Model'!$P$20:$P$44, 'Dry Cleaning Model'!$B$20:$B$44, A150, 'Dry Cleaning Model'!$E$20:$E$44, H150)&gt;0), SUMIFS('Dry Cleaning Model'!$P$20:$P$44, 'Dry Cleaning Model'!$B$20:$B$44, A150, 'Dry Cleaning Model'!$E$20:$E$44, H150), "-")</f>
        <v>4.0947137678761258</v>
      </c>
      <c r="Q150" s="188">
        <f t="shared" si="24"/>
        <v>40.947137678761258</v>
      </c>
      <c r="R150" s="188">
        <f t="shared" si="25"/>
        <v>102.36784419690315</v>
      </c>
      <c r="S150" s="188">
        <f t="shared" si="26"/>
        <v>204.7356883938063</v>
      </c>
      <c r="T150" s="188">
        <f t="shared" si="27"/>
        <v>4094.713767876126</v>
      </c>
      <c r="U150" s="189">
        <f t="shared" si="28"/>
        <v>40947.137678761261</v>
      </c>
    </row>
    <row r="151" spans="1:21" x14ac:dyDescent="0.25">
      <c r="A151" s="337" t="s">
        <v>67</v>
      </c>
      <c r="B151" s="591"/>
      <c r="C151" s="584"/>
      <c r="D151" s="598"/>
      <c r="E151" s="598"/>
      <c r="F151" s="596"/>
      <c r="G151" s="593"/>
      <c r="H151" s="334" t="s">
        <v>40</v>
      </c>
      <c r="I151" s="331">
        <f>VLOOKUP(A151, 'Look-up Values'!$F$6:$J$11, 5, FALSE)</f>
        <v>100</v>
      </c>
      <c r="J151" s="187">
        <f>IF(AND(COUNTIFS('Dry Cleaning Model'!$B$20:$B$44, A151, 'Dry Cleaning Model'!$E$20:$E$44, H151)=1, SUMIFS('Dry Cleaning Model'!$H$20:$H$44, 'Dry Cleaning Model'!$B$20:$B$44, A151, 'Dry Cleaning Model'!$E$20:$E$44, H151)&gt;0), SUMIFS('Dry Cleaning Model'!$H$20:$H$44, 'Dry Cleaning Model'!$B$20:$B$44, A151, 'Dry Cleaning Model'!$E$20:$E$44, H151), "-")</f>
        <v>9.5238715628914647</v>
      </c>
      <c r="K151" s="188">
        <f t="shared" si="20"/>
        <v>95.238715628914647</v>
      </c>
      <c r="L151" s="188">
        <f t="shared" si="29"/>
        <v>238.09678907228661</v>
      </c>
      <c r="M151" s="188">
        <f t="shared" si="21"/>
        <v>476.19357814457322</v>
      </c>
      <c r="N151" s="188">
        <f t="shared" si="22"/>
        <v>9523.8715628914651</v>
      </c>
      <c r="O151" s="188">
        <f t="shared" si="23"/>
        <v>95238.715628914651</v>
      </c>
      <c r="P151" s="188">
        <f>IF(AND(COUNTIFS('Dry Cleaning Model'!$B$20:$B$44, A151, 'Dry Cleaning Model'!$E$20:$E$44, H151)=1, SUMIFS('Dry Cleaning Model'!$P$20:$P$44, 'Dry Cleaning Model'!$B$20:$B$44, A151, 'Dry Cleaning Model'!$E$20:$E$44, H151)&gt;0), SUMIFS('Dry Cleaning Model'!$P$20:$P$44, 'Dry Cleaning Model'!$B$20:$B$44, A151, 'Dry Cleaning Model'!$E$20:$E$44, H151), "-")</f>
        <v>13.254035332655915</v>
      </c>
      <c r="Q151" s="188">
        <f t="shared" si="24"/>
        <v>132.54035332655914</v>
      </c>
      <c r="R151" s="188">
        <f t="shared" si="25"/>
        <v>331.35088331639787</v>
      </c>
      <c r="S151" s="188">
        <f t="shared" si="26"/>
        <v>662.70176663279574</v>
      </c>
      <c r="T151" s="188">
        <f t="shared" si="27"/>
        <v>13254.035332655916</v>
      </c>
      <c r="U151" s="189">
        <f t="shared" si="28"/>
        <v>132540.35332655915</v>
      </c>
    </row>
    <row r="152" spans="1:21" x14ac:dyDescent="0.25">
      <c r="A152" s="338" t="s">
        <v>76</v>
      </c>
      <c r="B152" s="591"/>
      <c r="C152" s="584"/>
      <c r="D152" s="598"/>
      <c r="E152" s="598" t="s">
        <v>194</v>
      </c>
      <c r="F152" s="596" t="s">
        <v>195</v>
      </c>
      <c r="G152" s="593"/>
      <c r="H152" s="334" t="s">
        <v>38</v>
      </c>
      <c r="I152" s="332">
        <f>0.0001</f>
        <v>1E-4</v>
      </c>
      <c r="J152" s="187">
        <f>IF(AND(COUNTIFS('Dry Cleaning Model'!$B$20:$B$44, A152, 'Dry Cleaning Model'!$E$20:$E$44, H152)=1, SUMIFS('Dry Cleaning Model'!$H$20:$H$44, 'Dry Cleaning Model'!$B$20:$B$44, A152, 'Dry Cleaning Model'!$E$20:$E$44, H152)&gt;0), SUMIFS('Dry Cleaning Model'!$H$20:$H$44, 'Dry Cleaning Model'!$B$20:$B$44, A152, 'Dry Cleaning Model'!$E$20:$E$44, H152), "-")</f>
        <v>3.7957279121692044E-3</v>
      </c>
      <c r="K152" s="188">
        <f t="shared" si="20"/>
        <v>3.7957279121692044E-4</v>
      </c>
      <c r="L152" s="188">
        <f t="shared" si="29"/>
        <v>1.5182911648676817E-4</v>
      </c>
      <c r="M152" s="188">
        <f t="shared" si="21"/>
        <v>7.5914558243384087E-5</v>
      </c>
      <c r="N152" s="188">
        <f t="shared" si="22"/>
        <v>3.7957279121692045E-6</v>
      </c>
      <c r="O152" s="188">
        <f t="shared" si="23"/>
        <v>3.7957279121692044E-7</v>
      </c>
      <c r="P152" s="188">
        <f>IF(AND(COUNTIFS('Dry Cleaning Model'!$B$20:$B$44, A152, 'Dry Cleaning Model'!$E$20:$E$44, H152)=1, SUMIFS('Dry Cleaning Model'!$P$20:$P$44, 'Dry Cleaning Model'!$B$20:$B$44, A152, 'Dry Cleaning Model'!$E$20:$E$44, H152)&gt;0), SUMIFS('Dry Cleaning Model'!$P$20:$P$44, 'Dry Cleaning Model'!$B$20:$B$44, A152, 'Dry Cleaning Model'!$E$20:$E$44, H152), "-")</f>
        <v>2.3858227714852282E-3</v>
      </c>
      <c r="Q152" s="188">
        <f t="shared" si="24"/>
        <v>2.3858227714852281E-4</v>
      </c>
      <c r="R152" s="188">
        <f t="shared" si="25"/>
        <v>9.5432910859409128E-5</v>
      </c>
      <c r="S152" s="188">
        <f t="shared" si="26"/>
        <v>4.7716455429704564E-5</v>
      </c>
      <c r="T152" s="188">
        <f t="shared" si="27"/>
        <v>2.3858227714852281E-6</v>
      </c>
      <c r="U152" s="189">
        <f t="shared" si="28"/>
        <v>2.3858227714852284E-7</v>
      </c>
    </row>
    <row r="153" spans="1:21" ht="13.5" thickBot="1" x14ac:dyDescent="0.3">
      <c r="A153" s="339" t="s">
        <v>76</v>
      </c>
      <c r="B153" s="592"/>
      <c r="C153" s="585"/>
      <c r="D153" s="604"/>
      <c r="E153" s="604"/>
      <c r="F153" s="605"/>
      <c r="G153" s="594"/>
      <c r="H153" s="342" t="s">
        <v>40</v>
      </c>
      <c r="I153" s="333">
        <f>0.0001</f>
        <v>1E-4</v>
      </c>
      <c r="J153" s="190">
        <f>IF(AND(COUNTIFS('Dry Cleaning Model'!$B$20:$B$44, A153, 'Dry Cleaning Model'!$E$20:$E$44, H153)=1, SUMIFS('Dry Cleaning Model'!$H$20:$H$44, 'Dry Cleaning Model'!$B$20:$B$44, A153, 'Dry Cleaning Model'!$E$20:$E$44, H153)&gt;0), SUMIFS('Dry Cleaning Model'!$H$20:$H$44, 'Dry Cleaning Model'!$B$20:$B$44, A153, 'Dry Cleaning Model'!$E$20:$E$44, H153), "-")</f>
        <v>9.7078575963957547E-4</v>
      </c>
      <c r="K153" s="191">
        <f t="shared" si="20"/>
        <v>9.7078575963957552E-5</v>
      </c>
      <c r="L153" s="191">
        <f t="shared" si="29"/>
        <v>3.8831430385583015E-5</v>
      </c>
      <c r="M153" s="191">
        <f t="shared" si="21"/>
        <v>1.9415715192791508E-5</v>
      </c>
      <c r="N153" s="191">
        <f t="shared" si="22"/>
        <v>9.7078575963957551E-7</v>
      </c>
      <c r="O153" s="191">
        <f t="shared" si="23"/>
        <v>9.7078575963957546E-8</v>
      </c>
      <c r="P153" s="191">
        <f>IF(AND(COUNTIFS('Dry Cleaning Model'!$B$20:$B$44, A153, 'Dry Cleaning Model'!$E$20:$E$44, H153)=1, SUMIFS('Dry Cleaning Model'!$P$20:$P$44, 'Dry Cleaning Model'!$B$20:$B$44, A153, 'Dry Cleaning Model'!$E$20:$E$44, H153)&gt;0), SUMIFS('Dry Cleaning Model'!$P$20:$P$44, 'Dry Cleaning Model'!$B$20:$B$44, A153, 'Dry Cleaning Model'!$E$20:$E$44, H153), "-")</f>
        <v>6.9378028902990566E-4</v>
      </c>
      <c r="Q153" s="191">
        <f t="shared" si="24"/>
        <v>6.9378028902990568E-5</v>
      </c>
      <c r="R153" s="191">
        <f t="shared" si="25"/>
        <v>2.7751211561196227E-5</v>
      </c>
      <c r="S153" s="191">
        <f t="shared" si="26"/>
        <v>1.3875605780598114E-5</v>
      </c>
      <c r="T153" s="191">
        <f t="shared" si="27"/>
        <v>6.9378028902990566E-7</v>
      </c>
      <c r="U153" s="192">
        <f t="shared" si="28"/>
        <v>6.9378028902990561E-8</v>
      </c>
    </row>
  </sheetData>
  <sheetProtection algorithmName="SHA-512" hashValue="89A7Mq3Wl3oXU4ja73VKjZhWI4JZsKlLkt6YS5PzoW9s0rIwAA8p+uZK7o/WuiDQJ1TJw1nryem58iezTR9rMw==" saltValue="ETQjDqYx/kP4nJTMA3KALA==" spinCount="100000" sheet="1" objects="1" scenarios="1"/>
  <mergeCells count="164">
    <mergeCell ref="G110:G113"/>
    <mergeCell ref="F11:F12"/>
    <mergeCell ref="E9:E12"/>
    <mergeCell ref="F21:F22"/>
    <mergeCell ref="G19:G22"/>
    <mergeCell ref="E27:E30"/>
    <mergeCell ref="F29:F30"/>
    <mergeCell ref="F39:F40"/>
    <mergeCell ref="G37:G40"/>
    <mergeCell ref="F56:F57"/>
    <mergeCell ref="F70:F71"/>
    <mergeCell ref="E46:E49"/>
    <mergeCell ref="G56:G59"/>
    <mergeCell ref="E64:E67"/>
    <mergeCell ref="F48:F49"/>
    <mergeCell ref="F58:F59"/>
    <mergeCell ref="F66:F67"/>
    <mergeCell ref="F72:F73"/>
    <mergeCell ref="G72:G73"/>
    <mergeCell ref="F74:F75"/>
    <mergeCell ref="F78:F79"/>
    <mergeCell ref="G78:G79"/>
    <mergeCell ref="F60:F61"/>
    <mergeCell ref="G60:G61"/>
    <mergeCell ref="K7:O7"/>
    <mergeCell ref="Q7:U7"/>
    <mergeCell ref="D9:D26"/>
    <mergeCell ref="G25:G26"/>
    <mergeCell ref="F9:F10"/>
    <mergeCell ref="E13:E24"/>
    <mergeCell ref="D46:D63"/>
    <mergeCell ref="D64:D81"/>
    <mergeCell ref="G17:G18"/>
    <mergeCell ref="G23:G24"/>
    <mergeCell ref="G9:G16"/>
    <mergeCell ref="G41:G42"/>
    <mergeCell ref="G43:G44"/>
    <mergeCell ref="G27:G34"/>
    <mergeCell ref="G35:G36"/>
    <mergeCell ref="G62:G63"/>
    <mergeCell ref="G64:G71"/>
    <mergeCell ref="E68:E79"/>
    <mergeCell ref="F68:F69"/>
    <mergeCell ref="F46:F47"/>
    <mergeCell ref="G46:G53"/>
    <mergeCell ref="F52:F53"/>
    <mergeCell ref="F54:F55"/>
    <mergeCell ref="G54:G55"/>
    <mergeCell ref="D82:D99"/>
    <mergeCell ref="D100:D117"/>
    <mergeCell ref="F13:F14"/>
    <mergeCell ref="F15:F16"/>
    <mergeCell ref="F17:F18"/>
    <mergeCell ref="F19:F20"/>
    <mergeCell ref="F23:F24"/>
    <mergeCell ref="E25:E26"/>
    <mergeCell ref="F25:F26"/>
    <mergeCell ref="F41:F42"/>
    <mergeCell ref="E43:E44"/>
    <mergeCell ref="F43:F44"/>
    <mergeCell ref="D27:D44"/>
    <mergeCell ref="F27:F28"/>
    <mergeCell ref="E31:E42"/>
    <mergeCell ref="F31:F32"/>
    <mergeCell ref="F33:F34"/>
    <mergeCell ref="F35:F36"/>
    <mergeCell ref="F37:F38"/>
    <mergeCell ref="E62:E63"/>
    <mergeCell ref="F62:F63"/>
    <mergeCell ref="F64:F65"/>
    <mergeCell ref="E50:E61"/>
    <mergeCell ref="F50:F51"/>
    <mergeCell ref="G90:G91"/>
    <mergeCell ref="G74:G77"/>
    <mergeCell ref="F76:F77"/>
    <mergeCell ref="F84:F85"/>
    <mergeCell ref="F92:F93"/>
    <mergeCell ref="F96:F97"/>
    <mergeCell ref="G96:G97"/>
    <mergeCell ref="E98:E99"/>
    <mergeCell ref="F98:F99"/>
    <mergeCell ref="G98:G99"/>
    <mergeCell ref="E80:E81"/>
    <mergeCell ref="F80:F81"/>
    <mergeCell ref="G80:G81"/>
    <mergeCell ref="F82:F83"/>
    <mergeCell ref="G82:G89"/>
    <mergeCell ref="E86:E97"/>
    <mergeCell ref="F86:F87"/>
    <mergeCell ref="F88:F89"/>
    <mergeCell ref="F90:F91"/>
    <mergeCell ref="E82:E85"/>
    <mergeCell ref="G92:G95"/>
    <mergeCell ref="F94:F95"/>
    <mergeCell ref="B118:B135"/>
    <mergeCell ref="B136:B153"/>
    <mergeCell ref="C46:C63"/>
    <mergeCell ref="B64:B81"/>
    <mergeCell ref="C64:C81"/>
    <mergeCell ref="B82:B99"/>
    <mergeCell ref="F142:F143"/>
    <mergeCell ref="F144:F145"/>
    <mergeCell ref="F124:F125"/>
    <mergeCell ref="F126:F127"/>
    <mergeCell ref="F128:F129"/>
    <mergeCell ref="F132:F133"/>
    <mergeCell ref="D118:D135"/>
    <mergeCell ref="D136:D153"/>
    <mergeCell ref="F150:F151"/>
    <mergeCell ref="E152:E153"/>
    <mergeCell ref="F152:F153"/>
    <mergeCell ref="E116:E117"/>
    <mergeCell ref="F116:F117"/>
    <mergeCell ref="F118:F119"/>
    <mergeCell ref="E122:E133"/>
    <mergeCell ref="F122:F123"/>
    <mergeCell ref="F140:F141"/>
    <mergeCell ref="E118:E121"/>
    <mergeCell ref="G144:G145"/>
    <mergeCell ref="F146:F147"/>
    <mergeCell ref="E134:E135"/>
    <mergeCell ref="F134:F135"/>
    <mergeCell ref="G134:G135"/>
    <mergeCell ref="F136:F137"/>
    <mergeCell ref="G136:G143"/>
    <mergeCell ref="E140:E151"/>
    <mergeCell ref="C118:C135"/>
    <mergeCell ref="C136:C153"/>
    <mergeCell ref="G126:G127"/>
    <mergeCell ref="G132:G133"/>
    <mergeCell ref="G150:G151"/>
    <mergeCell ref="G152:G153"/>
    <mergeCell ref="G118:G125"/>
    <mergeCell ref="F120:F121"/>
    <mergeCell ref="F130:F131"/>
    <mergeCell ref="F138:F139"/>
    <mergeCell ref="E136:E139"/>
    <mergeCell ref="F148:F149"/>
    <mergeCell ref="G146:G149"/>
    <mergeCell ref="G128:G131"/>
    <mergeCell ref="C82:C99"/>
    <mergeCell ref="C100:C117"/>
    <mergeCell ref="P7:P8"/>
    <mergeCell ref="J7:J8"/>
    <mergeCell ref="B9:B26"/>
    <mergeCell ref="C9:C26"/>
    <mergeCell ref="B27:B44"/>
    <mergeCell ref="C27:C44"/>
    <mergeCell ref="B46:B63"/>
    <mergeCell ref="B100:B117"/>
    <mergeCell ref="G116:G117"/>
    <mergeCell ref="F100:F101"/>
    <mergeCell ref="G100:G107"/>
    <mergeCell ref="E104:E115"/>
    <mergeCell ref="F104:F105"/>
    <mergeCell ref="F106:F107"/>
    <mergeCell ref="F108:F109"/>
    <mergeCell ref="G108:G109"/>
    <mergeCell ref="F110:F111"/>
    <mergeCell ref="F114:F115"/>
    <mergeCell ref="G114:G115"/>
    <mergeCell ref="E100:E103"/>
    <mergeCell ref="F102:F103"/>
    <mergeCell ref="F112:F113"/>
  </mergeCells>
  <conditionalFormatting sqref="J18:J26 J9:U22 P10:P44">
    <cfRule type="cellIs" dxfId="39" priority="35" operator="lessThan">
      <formula>$I$9</formula>
    </cfRule>
    <cfRule type="cellIs" dxfId="38" priority="51" operator="greaterThan">
      <formula>$I$9</formula>
    </cfRule>
  </conditionalFormatting>
  <conditionalFormatting sqref="J23:U24">
    <cfRule type="cellIs" dxfId="37" priority="16" operator="lessThan">
      <formula>$I$23</formula>
    </cfRule>
    <cfRule type="cellIs" dxfId="36" priority="17" operator="greaterThan">
      <formula>$I$23</formula>
    </cfRule>
  </conditionalFormatting>
  <conditionalFormatting sqref="J25:U26 P27:P44">
    <cfRule type="cellIs" dxfId="35" priority="14" operator="greaterThan">
      <formula>$I$25</formula>
    </cfRule>
    <cfRule type="cellIs" dxfId="34" priority="15" operator="lessThan">
      <formula>$I$25</formula>
    </cfRule>
  </conditionalFormatting>
  <conditionalFormatting sqref="J9:U44 J46:U153">
    <cfRule type="cellIs" dxfId="33" priority="7" operator="equal">
      <formula>"-"</formula>
    </cfRule>
  </conditionalFormatting>
  <conditionalFormatting sqref="P28:P44 J28:J44 J27:U40">
    <cfRule type="cellIs" dxfId="32" priority="12" operator="lessThan">
      <formula>$I$27</formula>
    </cfRule>
    <cfRule type="cellIs" dxfId="31" priority="13" operator="greaterThan">
      <formula>$I$27</formula>
    </cfRule>
  </conditionalFormatting>
  <conditionalFormatting sqref="J41:U42">
    <cfRule type="cellIs" dxfId="30" priority="10" operator="lessThan">
      <formula>$I$41</formula>
    </cfRule>
    <cfRule type="cellIs" dxfId="29" priority="11" operator="greaterThan">
      <formula>$I$41</formula>
    </cfRule>
  </conditionalFormatting>
  <conditionalFormatting sqref="J43:U44">
    <cfRule type="cellIs" dxfId="28" priority="8" operator="lessThan">
      <formula>$I$43</formula>
    </cfRule>
    <cfRule type="cellIs" dxfId="27" priority="9" operator="greaterThan">
      <formula>$I$43</formula>
    </cfRule>
  </conditionalFormatting>
  <conditionalFormatting sqref="P47:P63 P65:P81 P86:P99 P104:P117 P122:P135 P140:P153 J138:J153 J136:U149 J120:J135 J118:U131 J102:J117 J100:U113 J84:J99 L84:L96 J82:U95 J65:J81 J64:U77 J48:J63 J46:U59">
    <cfRule type="cellIs" dxfId="26" priority="5" operator="lessThan">
      <formula>$I$46</formula>
    </cfRule>
    <cfRule type="cellIs" dxfId="25" priority="6" operator="greaterThan">
      <formula>$I$46</formula>
    </cfRule>
  </conditionalFormatting>
  <conditionalFormatting sqref="J60:U61 J78:U79 J96:U97 J114:U115 J132:U133 J150:U151">
    <cfRule type="cellIs" dxfId="24" priority="3" operator="lessThan">
      <formula>$I$60</formula>
    </cfRule>
    <cfRule type="cellIs" dxfId="23" priority="4" operator="greaterThan">
      <formula>$I$60</formula>
    </cfRule>
  </conditionalFormatting>
  <conditionalFormatting sqref="J62:U63 J80:U81 J98:U99 J116:U117 J134:U135 J152:U153">
    <cfRule type="cellIs" dxfId="22" priority="1" operator="lessThan">
      <formula>$I$62</formula>
    </cfRule>
    <cfRule type="cellIs" dxfId="21" priority="2" operator="greaterThan">
      <formula>$I$62</formula>
    </cfRule>
  </conditionalFormatting>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2A88E-A607-4AA2-A749-EFC107ED7775}">
  <sheetPr codeName="Sheet8"/>
  <dimension ref="A1:P136"/>
  <sheetViews>
    <sheetView zoomScale="90" zoomScaleNormal="90" workbookViewId="0"/>
  </sheetViews>
  <sheetFormatPr defaultRowHeight="12.75" x14ac:dyDescent="0.25"/>
  <cols>
    <col min="1" max="1" width="14.42578125" style="201" customWidth="1"/>
    <col min="2" max="2" width="18" style="201" customWidth="1"/>
    <col min="3" max="4" width="14.7109375" style="201" customWidth="1"/>
    <col min="5" max="9" width="15" style="201" customWidth="1"/>
    <col min="10" max="10" width="14.85546875" style="201" customWidth="1"/>
    <col min="11" max="12" width="9.140625" style="201"/>
    <col min="13" max="13" width="21.5703125" style="201" customWidth="1"/>
    <col min="14" max="14" width="14.85546875" style="201" customWidth="1"/>
    <col min="15" max="15" width="11.140625" style="201" bestFit="1" customWidth="1"/>
    <col min="16" max="16" width="10.28515625" style="201" bestFit="1" customWidth="1"/>
    <col min="17" max="16384" width="9.140625" style="201"/>
  </cols>
  <sheetData>
    <row r="1" spans="1:16" ht="13.5" thickBot="1" x14ac:dyDescent="0.3"/>
    <row r="2" spans="1:16" ht="39.75" x14ac:dyDescent="0.25">
      <c r="A2" s="240" t="s">
        <v>198</v>
      </c>
      <c r="B2" s="374" t="s">
        <v>199</v>
      </c>
      <c r="C2" s="377" t="s">
        <v>200</v>
      </c>
      <c r="D2" s="377" t="s">
        <v>27</v>
      </c>
      <c r="E2" s="376" t="s">
        <v>201</v>
      </c>
      <c r="F2" s="483" t="s">
        <v>202</v>
      </c>
      <c r="G2" s="483" t="s">
        <v>203</v>
      </c>
      <c r="H2" s="483" t="s">
        <v>204</v>
      </c>
      <c r="I2" s="485" t="s">
        <v>205</v>
      </c>
      <c r="J2" s="375" t="s">
        <v>206</v>
      </c>
      <c r="M2" s="365" t="s">
        <v>207</v>
      </c>
      <c r="N2" s="366" t="s">
        <v>208</v>
      </c>
      <c r="O2" s="367" t="s">
        <v>209</v>
      </c>
      <c r="P2" s="368" t="s">
        <v>210</v>
      </c>
    </row>
    <row r="3" spans="1:16" s="205" customFormat="1" x14ac:dyDescent="0.25">
      <c r="A3" s="202"/>
      <c r="B3" s="203"/>
      <c r="C3" s="203"/>
      <c r="D3" s="203"/>
      <c r="E3" s="628" t="s">
        <v>211</v>
      </c>
      <c r="F3" s="628"/>
      <c r="G3" s="628"/>
      <c r="H3" s="628"/>
      <c r="I3" s="628"/>
      <c r="J3" s="204"/>
      <c r="M3" s="369" t="s">
        <v>212</v>
      </c>
      <c r="N3" s="362" t="s">
        <v>213</v>
      </c>
      <c r="O3" s="362">
        <v>8</v>
      </c>
      <c r="P3" s="370" t="s">
        <v>214</v>
      </c>
    </row>
    <row r="4" spans="1:16" x14ac:dyDescent="0.25">
      <c r="A4" s="631" t="s">
        <v>215</v>
      </c>
      <c r="B4" s="634" t="s">
        <v>216</v>
      </c>
      <c r="C4" s="634">
        <v>1</v>
      </c>
      <c r="D4" s="489" t="s">
        <v>40</v>
      </c>
      <c r="E4" s="210">
        <v>2.1720999999999999</v>
      </c>
      <c r="F4" s="210">
        <v>0.43441999999999997</v>
      </c>
      <c r="G4" s="211">
        <v>0.21720999999999999</v>
      </c>
      <c r="H4" s="210">
        <v>0.10860499999999999</v>
      </c>
      <c r="I4" s="359" t="s">
        <v>122</v>
      </c>
      <c r="J4" s="287">
        <v>2.8999999999999998E-3</v>
      </c>
      <c r="M4" s="272" t="s">
        <v>217</v>
      </c>
      <c r="N4" s="363" t="s">
        <v>213</v>
      </c>
      <c r="O4" s="363">
        <v>260</v>
      </c>
      <c r="P4" s="371" t="s">
        <v>218</v>
      </c>
    </row>
    <row r="5" spans="1:16" x14ac:dyDescent="0.25">
      <c r="A5" s="631"/>
      <c r="B5" s="634"/>
      <c r="C5" s="634"/>
      <c r="D5" s="489" t="s">
        <v>38</v>
      </c>
      <c r="E5" s="210">
        <v>6.5162999999999993</v>
      </c>
      <c r="F5" s="210">
        <v>1.3032599999999999</v>
      </c>
      <c r="G5" s="211">
        <v>0.65162999999999993</v>
      </c>
      <c r="H5" s="210">
        <v>0.32581499999999997</v>
      </c>
      <c r="I5" s="359" t="s">
        <v>122</v>
      </c>
      <c r="J5" s="287">
        <v>2.8999999999999998E-3</v>
      </c>
      <c r="M5" s="636" t="s">
        <v>219</v>
      </c>
      <c r="N5" s="363" t="s">
        <v>38</v>
      </c>
      <c r="O5" s="363">
        <v>40</v>
      </c>
      <c r="P5" s="371" t="s">
        <v>220</v>
      </c>
    </row>
    <row r="6" spans="1:16" x14ac:dyDescent="0.25">
      <c r="A6" s="631" t="s">
        <v>221</v>
      </c>
      <c r="B6" s="634" t="s">
        <v>216</v>
      </c>
      <c r="C6" s="634">
        <v>0.97</v>
      </c>
      <c r="D6" s="489" t="s">
        <v>40</v>
      </c>
      <c r="E6" s="512">
        <v>2.1069369999999998</v>
      </c>
      <c r="F6" s="512">
        <v>0.42138739999999997</v>
      </c>
      <c r="G6" s="513">
        <v>0.21069369999999998</v>
      </c>
      <c r="H6" s="512">
        <v>0.10534684999999999</v>
      </c>
      <c r="I6" s="514">
        <v>726.53</v>
      </c>
      <c r="J6" s="287">
        <v>2.8999999999999998E-3</v>
      </c>
      <c r="M6" s="637"/>
      <c r="N6" s="363" t="s">
        <v>40</v>
      </c>
      <c r="O6" s="363">
        <v>31</v>
      </c>
      <c r="P6" s="371" t="s">
        <v>220</v>
      </c>
    </row>
    <row r="7" spans="1:16" x14ac:dyDescent="0.25">
      <c r="A7" s="631"/>
      <c r="B7" s="634"/>
      <c r="C7" s="634"/>
      <c r="D7" s="489" t="s">
        <v>38</v>
      </c>
      <c r="E7" s="512">
        <v>6.320811</v>
      </c>
      <c r="F7" s="512">
        <v>1.2641621999999999</v>
      </c>
      <c r="G7" s="513">
        <v>0.63208109999999995</v>
      </c>
      <c r="H7" s="512">
        <v>0.31604054999999998</v>
      </c>
      <c r="I7" s="514">
        <v>2179.59</v>
      </c>
      <c r="J7" s="287">
        <v>2.8999999999999998E-3</v>
      </c>
      <c r="M7" s="272" t="s">
        <v>222</v>
      </c>
      <c r="N7" s="363" t="s">
        <v>213</v>
      </c>
      <c r="O7" s="363">
        <v>78</v>
      </c>
      <c r="P7" s="371" t="s">
        <v>220</v>
      </c>
    </row>
    <row r="8" spans="1:16" ht="13.5" thickBot="1" x14ac:dyDescent="0.3">
      <c r="A8" s="631" t="s">
        <v>223</v>
      </c>
      <c r="B8" s="634" t="s">
        <v>224</v>
      </c>
      <c r="C8" s="634">
        <v>0.8</v>
      </c>
      <c r="D8" s="489" t="s">
        <v>40</v>
      </c>
      <c r="E8" s="512">
        <v>1.7376800000000001</v>
      </c>
      <c r="F8" s="512">
        <v>0.34753600000000001</v>
      </c>
      <c r="G8" s="512">
        <v>0.17376800000000001</v>
      </c>
      <c r="H8" s="515" t="s">
        <v>122</v>
      </c>
      <c r="I8" s="514">
        <v>599.20000000000005</v>
      </c>
      <c r="J8" s="287">
        <v>2.8999999999999998E-3</v>
      </c>
      <c r="M8" s="285" t="s">
        <v>225</v>
      </c>
      <c r="N8" s="372" t="s">
        <v>213</v>
      </c>
      <c r="O8" s="372">
        <v>80</v>
      </c>
      <c r="P8" s="373" t="s">
        <v>226</v>
      </c>
    </row>
    <row r="9" spans="1:16" x14ac:dyDescent="0.25">
      <c r="A9" s="631"/>
      <c r="B9" s="634"/>
      <c r="C9" s="634"/>
      <c r="D9" s="489" t="s">
        <v>38</v>
      </c>
      <c r="E9" s="512">
        <v>5.2130400000000003</v>
      </c>
      <c r="F9" s="512">
        <v>1.042608</v>
      </c>
      <c r="G9" s="512">
        <v>0.52130399999999999</v>
      </c>
      <c r="H9" s="515" t="s">
        <v>122</v>
      </c>
      <c r="I9" s="514">
        <v>1797.6000000000001</v>
      </c>
      <c r="J9" s="287">
        <v>2.8999999999999998E-3</v>
      </c>
    </row>
    <row r="10" spans="1:16" x14ac:dyDescent="0.25">
      <c r="A10" s="631" t="s">
        <v>227</v>
      </c>
      <c r="B10" s="634" t="s">
        <v>224</v>
      </c>
      <c r="C10" s="634">
        <v>0.94</v>
      </c>
      <c r="D10" s="489" t="s">
        <v>40</v>
      </c>
      <c r="E10" s="512">
        <v>2.0417739999999998</v>
      </c>
      <c r="F10" s="512">
        <v>0.40835479999999996</v>
      </c>
      <c r="G10" s="512">
        <v>0.20417739999999998</v>
      </c>
      <c r="H10" s="515" t="s">
        <v>122</v>
      </c>
      <c r="I10" s="516">
        <v>704.06</v>
      </c>
      <c r="J10" s="287">
        <v>2.8999999999999998E-3</v>
      </c>
    </row>
    <row r="11" spans="1:16" x14ac:dyDescent="0.25">
      <c r="A11" s="631"/>
      <c r="B11" s="634"/>
      <c r="C11" s="634"/>
      <c r="D11" s="489" t="s">
        <v>38</v>
      </c>
      <c r="E11" s="512">
        <v>6.1253219999999988</v>
      </c>
      <c r="F11" s="512">
        <v>1.2250643999999997</v>
      </c>
      <c r="G11" s="512">
        <v>0.61253219999999986</v>
      </c>
      <c r="H11" s="515" t="s">
        <v>122</v>
      </c>
      <c r="I11" s="516">
        <v>2112.1799999999998</v>
      </c>
      <c r="J11" s="287">
        <v>2.8999999999999998E-3</v>
      </c>
      <c r="M11" s="201" t="s">
        <v>228</v>
      </c>
    </row>
    <row r="12" spans="1:16" ht="15" customHeight="1" x14ac:dyDescent="0.25">
      <c r="A12" s="632" t="s">
        <v>229</v>
      </c>
      <c r="B12" s="634" t="s">
        <v>224</v>
      </c>
      <c r="C12" s="634">
        <v>1</v>
      </c>
      <c r="D12" s="489" t="s">
        <v>40</v>
      </c>
      <c r="E12" s="512">
        <v>2.1720999999999999</v>
      </c>
      <c r="F12" s="512">
        <v>0.43441999999999997</v>
      </c>
      <c r="G12" s="512">
        <v>0.21720999999999999</v>
      </c>
      <c r="H12" s="515" t="s">
        <v>122</v>
      </c>
      <c r="I12" s="515" t="s">
        <v>122</v>
      </c>
      <c r="J12" s="287">
        <v>2.8999999999999998E-3</v>
      </c>
      <c r="M12" s="201" t="s">
        <v>230</v>
      </c>
    </row>
    <row r="13" spans="1:16" ht="13.5" thickBot="1" x14ac:dyDescent="0.3">
      <c r="A13" s="633"/>
      <c r="B13" s="635"/>
      <c r="C13" s="635"/>
      <c r="D13" s="490" t="s">
        <v>38</v>
      </c>
      <c r="E13" s="517">
        <v>6.5162999999999993</v>
      </c>
      <c r="F13" s="517">
        <v>1.3032599999999999</v>
      </c>
      <c r="G13" s="517">
        <v>0.65162999999999993</v>
      </c>
      <c r="H13" s="518" t="s">
        <v>122</v>
      </c>
      <c r="I13" s="518" t="s">
        <v>122</v>
      </c>
      <c r="J13" s="443">
        <v>2.8999999999999998E-3</v>
      </c>
      <c r="M13" s="201" t="s">
        <v>231</v>
      </c>
    </row>
    <row r="14" spans="1:16" x14ac:dyDescent="0.25">
      <c r="A14" s="488"/>
      <c r="B14" s="206"/>
      <c r="C14" s="489"/>
      <c r="D14" s="489"/>
      <c r="E14" s="629" t="s">
        <v>232</v>
      </c>
      <c r="F14" s="629"/>
      <c r="G14" s="629"/>
      <c r="H14" s="629"/>
      <c r="I14" s="629"/>
      <c r="J14" s="364"/>
    </row>
    <row r="15" spans="1:16" x14ac:dyDescent="0.25">
      <c r="A15" s="405" t="s">
        <v>215</v>
      </c>
      <c r="B15" s="634" t="s">
        <v>216</v>
      </c>
      <c r="C15" s="634">
        <v>1</v>
      </c>
      <c r="D15" s="495" t="s">
        <v>233</v>
      </c>
      <c r="E15" s="519">
        <f>E4/$O$8</f>
        <v>2.7151249999999998E-2</v>
      </c>
      <c r="F15" s="519">
        <f>F4/$O$8</f>
        <v>5.4302499999999993E-3</v>
      </c>
      <c r="G15" s="519">
        <f>G4/$O$8</f>
        <v>2.7151249999999997E-3</v>
      </c>
      <c r="H15" s="519">
        <f>H4/$O$8</f>
        <v>1.3575624999999998E-3</v>
      </c>
      <c r="I15" s="515" t="s">
        <v>122</v>
      </c>
      <c r="J15" s="360">
        <f>J4</f>
        <v>2.8999999999999998E-3</v>
      </c>
      <c r="M15" s="201" t="s">
        <v>234</v>
      </c>
      <c r="P15" s="472">
        <f>260/365</f>
        <v>0.71232876712328763</v>
      </c>
    </row>
    <row r="16" spans="1:16" x14ac:dyDescent="0.25">
      <c r="A16" s="405" t="s">
        <v>215</v>
      </c>
      <c r="B16" s="634"/>
      <c r="C16" s="634"/>
      <c r="D16" s="489" t="s">
        <v>38</v>
      </c>
      <c r="E16" s="519">
        <f t="shared" ref="E16:G24" si="0">E5/$O$8</f>
        <v>8.1453749999999991E-2</v>
      </c>
      <c r="F16" s="519">
        <f t="shared" si="0"/>
        <v>1.629075E-2</v>
      </c>
      <c r="G16" s="519">
        <f>G5/$O$8</f>
        <v>8.1453749999999998E-3</v>
      </c>
      <c r="H16" s="519">
        <f t="shared" ref="H16:I18" si="1">H5/$O$8</f>
        <v>4.0726874999999999E-3</v>
      </c>
      <c r="I16" s="515" t="s">
        <v>122</v>
      </c>
      <c r="J16" s="360">
        <f t="shared" ref="J16:J23" si="2">J5</f>
        <v>2.8999999999999998E-3</v>
      </c>
    </row>
    <row r="17" spans="1:10" x14ac:dyDescent="0.25">
      <c r="A17" s="405" t="s">
        <v>221</v>
      </c>
      <c r="B17" s="634" t="s">
        <v>216</v>
      </c>
      <c r="C17" s="634">
        <v>0.97</v>
      </c>
      <c r="D17" s="495" t="s">
        <v>233</v>
      </c>
      <c r="E17" s="519">
        <f t="shared" si="0"/>
        <v>2.6336712499999998E-2</v>
      </c>
      <c r="F17" s="519">
        <f t="shared" si="0"/>
        <v>5.2673424999999992E-3</v>
      </c>
      <c r="G17" s="519">
        <f t="shared" si="0"/>
        <v>2.6336712499999996E-3</v>
      </c>
      <c r="H17" s="519">
        <f t="shared" si="1"/>
        <v>1.3168356249999998E-3</v>
      </c>
      <c r="I17" s="514">
        <f>I6/$O$8</f>
        <v>9.0816249999999989</v>
      </c>
      <c r="J17" s="360">
        <f t="shared" si="2"/>
        <v>2.8999999999999998E-3</v>
      </c>
    </row>
    <row r="18" spans="1:10" x14ac:dyDescent="0.25">
      <c r="A18" s="405" t="s">
        <v>221</v>
      </c>
      <c r="B18" s="634"/>
      <c r="C18" s="634"/>
      <c r="D18" s="489" t="s">
        <v>38</v>
      </c>
      <c r="E18" s="519">
        <f t="shared" si="0"/>
        <v>7.9010137499999994E-2</v>
      </c>
      <c r="F18" s="519">
        <f t="shared" ref="F18:G18" si="3">F7/$O$8</f>
        <v>1.5802027499999999E-2</v>
      </c>
      <c r="G18" s="519">
        <f t="shared" si="3"/>
        <v>7.9010137499999997E-3</v>
      </c>
      <c r="H18" s="519">
        <f t="shared" si="1"/>
        <v>3.9505068749999999E-3</v>
      </c>
      <c r="I18" s="514">
        <f t="shared" si="1"/>
        <v>27.244875</v>
      </c>
      <c r="J18" s="360">
        <f t="shared" si="2"/>
        <v>2.8999999999999998E-3</v>
      </c>
    </row>
    <row r="19" spans="1:10" x14ac:dyDescent="0.25">
      <c r="A19" s="405" t="s">
        <v>223</v>
      </c>
      <c r="B19" s="634" t="s">
        <v>224</v>
      </c>
      <c r="C19" s="634">
        <v>0.8</v>
      </c>
      <c r="D19" s="495" t="s">
        <v>233</v>
      </c>
      <c r="E19" s="519">
        <f t="shared" si="0"/>
        <v>2.1721000000000001E-2</v>
      </c>
      <c r="F19" s="519">
        <f t="shared" ref="F19:G19" si="4">F8/$O$8</f>
        <v>4.3442000000000003E-3</v>
      </c>
      <c r="G19" s="519">
        <f t="shared" si="4"/>
        <v>2.1721000000000002E-3</v>
      </c>
      <c r="H19" s="515" t="s">
        <v>122</v>
      </c>
      <c r="I19" s="514">
        <f t="shared" ref="I19:I22" si="5">I8/$O$8</f>
        <v>7.49</v>
      </c>
      <c r="J19" s="360">
        <f t="shared" si="2"/>
        <v>2.8999999999999998E-3</v>
      </c>
    </row>
    <row r="20" spans="1:10" x14ac:dyDescent="0.25">
      <c r="A20" s="405" t="s">
        <v>223</v>
      </c>
      <c r="B20" s="634"/>
      <c r="C20" s="634"/>
      <c r="D20" s="489" t="s">
        <v>38</v>
      </c>
      <c r="E20" s="519">
        <f t="shared" si="0"/>
        <v>6.5162999999999999E-2</v>
      </c>
      <c r="F20" s="519">
        <f t="shared" ref="F20:G20" si="6">F9/$O$8</f>
        <v>1.30326E-2</v>
      </c>
      <c r="G20" s="519">
        <f t="shared" si="6"/>
        <v>6.5163E-3</v>
      </c>
      <c r="H20" s="515" t="s">
        <v>122</v>
      </c>
      <c r="I20" s="514">
        <f t="shared" si="5"/>
        <v>22.470000000000002</v>
      </c>
      <c r="J20" s="360">
        <f t="shared" si="2"/>
        <v>2.8999999999999998E-3</v>
      </c>
    </row>
    <row r="21" spans="1:10" x14ac:dyDescent="0.25">
      <c r="A21" s="405" t="s">
        <v>227</v>
      </c>
      <c r="B21" s="634" t="s">
        <v>224</v>
      </c>
      <c r="C21" s="634">
        <v>0.94</v>
      </c>
      <c r="D21" s="495" t="s">
        <v>233</v>
      </c>
      <c r="E21" s="519">
        <f t="shared" si="0"/>
        <v>2.5522174999999998E-2</v>
      </c>
      <c r="F21" s="519">
        <f t="shared" ref="F21:G21" si="7">F10/$O$8</f>
        <v>5.1044349999999992E-3</v>
      </c>
      <c r="G21" s="519">
        <f t="shared" si="7"/>
        <v>2.5522174999999996E-3</v>
      </c>
      <c r="H21" s="515" t="s">
        <v>122</v>
      </c>
      <c r="I21" s="514">
        <f t="shared" si="5"/>
        <v>8.800749999999999</v>
      </c>
      <c r="J21" s="360">
        <f t="shared" si="2"/>
        <v>2.8999999999999998E-3</v>
      </c>
    </row>
    <row r="22" spans="1:10" x14ac:dyDescent="0.25">
      <c r="A22" s="405" t="s">
        <v>227</v>
      </c>
      <c r="B22" s="634"/>
      <c r="C22" s="634"/>
      <c r="D22" s="489" t="s">
        <v>38</v>
      </c>
      <c r="E22" s="519">
        <f t="shared" si="0"/>
        <v>7.6566524999999983E-2</v>
      </c>
      <c r="F22" s="519">
        <f t="shared" ref="F22:G22" si="8">F11/$O$8</f>
        <v>1.5313304999999996E-2</v>
      </c>
      <c r="G22" s="519">
        <f t="shared" si="8"/>
        <v>7.6566524999999979E-3</v>
      </c>
      <c r="H22" s="515" t="s">
        <v>122</v>
      </c>
      <c r="I22" s="514">
        <f t="shared" si="5"/>
        <v>26.402249999999999</v>
      </c>
      <c r="J22" s="360">
        <f t="shared" si="2"/>
        <v>2.8999999999999998E-3</v>
      </c>
    </row>
    <row r="23" spans="1:10" x14ac:dyDescent="0.25">
      <c r="A23" s="406" t="s">
        <v>229</v>
      </c>
      <c r="B23" s="634" t="s">
        <v>224</v>
      </c>
      <c r="C23" s="634">
        <v>1</v>
      </c>
      <c r="D23" s="495" t="s">
        <v>233</v>
      </c>
      <c r="E23" s="381">
        <f t="shared" si="0"/>
        <v>2.7151249999999998E-2</v>
      </c>
      <c r="F23" s="381">
        <f t="shared" ref="F23:G23" si="9">F12/$O$8</f>
        <v>5.4302499999999993E-3</v>
      </c>
      <c r="G23" s="381">
        <f t="shared" si="9"/>
        <v>2.7151249999999997E-3</v>
      </c>
      <c r="H23" s="208" t="s">
        <v>122</v>
      </c>
      <c r="I23" s="208" t="s">
        <v>122</v>
      </c>
      <c r="J23" s="360">
        <f t="shared" si="2"/>
        <v>2.8999999999999998E-3</v>
      </c>
    </row>
    <row r="24" spans="1:10" ht="13.5" thickBot="1" x14ac:dyDescent="0.3">
      <c r="A24" s="406" t="s">
        <v>229</v>
      </c>
      <c r="B24" s="634"/>
      <c r="C24" s="634"/>
      <c r="D24" s="489" t="s">
        <v>38</v>
      </c>
      <c r="E24" s="381">
        <f t="shared" si="0"/>
        <v>8.1453749999999991E-2</v>
      </c>
      <c r="F24" s="381">
        <f t="shared" ref="F24:G24" si="10">F13/$O$8</f>
        <v>1.629075E-2</v>
      </c>
      <c r="G24" s="381">
        <f t="shared" si="10"/>
        <v>8.1453749999999998E-3</v>
      </c>
      <c r="H24" s="208" t="s">
        <v>122</v>
      </c>
      <c r="I24" s="208" t="s">
        <v>122</v>
      </c>
      <c r="J24" s="361">
        <f>J13</f>
        <v>2.8999999999999998E-3</v>
      </c>
    </row>
    <row r="25" spans="1:10" x14ac:dyDescent="0.25">
      <c r="A25" s="212"/>
      <c r="B25" s="206"/>
      <c r="C25" s="489"/>
      <c r="D25" s="489"/>
      <c r="E25" s="213"/>
      <c r="F25" s="210"/>
      <c r="G25" s="210"/>
      <c r="H25" s="207"/>
      <c r="I25" s="211"/>
      <c r="J25" s="209"/>
    </row>
    <row r="27" spans="1:10" x14ac:dyDescent="0.25">
      <c r="A27" s="214" t="s">
        <v>235</v>
      </c>
      <c r="E27" s="630" t="s">
        <v>236</v>
      </c>
      <c r="F27" s="630"/>
      <c r="G27" s="630"/>
      <c r="H27" s="630"/>
      <c r="I27" s="630"/>
    </row>
    <row r="28" spans="1:10" ht="38.25" x14ac:dyDescent="0.25">
      <c r="A28" s="484" t="s">
        <v>237</v>
      </c>
      <c r="B28" s="484" t="s">
        <v>238</v>
      </c>
      <c r="C28" s="484" t="s">
        <v>239</v>
      </c>
      <c r="D28" s="484" t="s">
        <v>27</v>
      </c>
      <c r="E28" s="382" t="s">
        <v>201</v>
      </c>
      <c r="F28" s="484" t="s">
        <v>202</v>
      </c>
      <c r="G28" s="484" t="s">
        <v>240</v>
      </c>
      <c r="H28" s="484" t="s">
        <v>241</v>
      </c>
      <c r="I28" s="484" t="s">
        <v>205</v>
      </c>
      <c r="J28" s="238" t="s">
        <v>75</v>
      </c>
    </row>
    <row r="29" spans="1:10" ht="12.75" customHeight="1" x14ac:dyDescent="0.25">
      <c r="A29" s="625" t="s">
        <v>183</v>
      </c>
      <c r="B29" s="626" t="s">
        <v>242</v>
      </c>
      <c r="C29" s="627">
        <v>19</v>
      </c>
      <c r="D29" s="499" t="s">
        <v>40</v>
      </c>
      <c r="E29" s="491">
        <f>$C$29/E15</f>
        <v>699.78361953869535</v>
      </c>
      <c r="F29" s="491">
        <f>$C$29/F15</f>
        <v>3498.9180976934767</v>
      </c>
      <c r="G29" s="491">
        <f>$C$29/G15</f>
        <v>6997.8361953869535</v>
      </c>
      <c r="H29" s="491">
        <f>$C$29/H15</f>
        <v>13995.672390773907</v>
      </c>
      <c r="I29" s="640" t="s">
        <v>122</v>
      </c>
      <c r="J29" s="639">
        <v>100</v>
      </c>
    </row>
    <row r="30" spans="1:10" ht="15" customHeight="1" x14ac:dyDescent="0.25">
      <c r="A30" s="625"/>
      <c r="B30" s="626"/>
      <c r="C30" s="627"/>
      <c r="D30" s="499" t="s">
        <v>38</v>
      </c>
      <c r="E30" s="491">
        <f>$C$29/E16</f>
        <v>233.26120651289844</v>
      </c>
      <c r="F30" s="491">
        <f t="shared" ref="F30:G30" si="11">$C$29/F16</f>
        <v>1166.3060325644922</v>
      </c>
      <c r="G30" s="491">
        <f t="shared" si="11"/>
        <v>2332.6120651289843</v>
      </c>
      <c r="H30" s="491">
        <f>$C$29/H16</f>
        <v>4665.2241302579687</v>
      </c>
      <c r="I30" s="640"/>
      <c r="J30" s="639"/>
    </row>
    <row r="31" spans="1:10" ht="15" customHeight="1" x14ac:dyDescent="0.25">
      <c r="A31" s="625"/>
      <c r="B31" s="626" t="s">
        <v>243</v>
      </c>
      <c r="C31" s="627">
        <v>11</v>
      </c>
      <c r="D31" s="499" t="s">
        <v>40</v>
      </c>
      <c r="E31" s="491">
        <f>$C$31/E15</f>
        <v>405.13788499608677</v>
      </c>
      <c r="F31" s="491">
        <f>$C$31/F15</f>
        <v>2025.6894249804338</v>
      </c>
      <c r="G31" s="491">
        <f>$C$31/G15</f>
        <v>4051.3788499608677</v>
      </c>
      <c r="H31" s="491">
        <f>$C$31/H15</f>
        <v>8102.7576999217354</v>
      </c>
      <c r="I31" s="640"/>
      <c r="J31" s="639"/>
    </row>
    <row r="32" spans="1:10" ht="15" customHeight="1" x14ac:dyDescent="0.25">
      <c r="A32" s="625"/>
      <c r="B32" s="626"/>
      <c r="C32" s="627"/>
      <c r="D32" s="499" t="s">
        <v>38</v>
      </c>
      <c r="E32" s="491">
        <f>$C$31/E16</f>
        <v>135.04596166536226</v>
      </c>
      <c r="F32" s="491">
        <f t="shared" ref="F32:G32" si="12">$C$31/F16</f>
        <v>675.22980832681128</v>
      </c>
      <c r="G32" s="491">
        <f t="shared" si="12"/>
        <v>1350.4596166536226</v>
      </c>
      <c r="H32" s="491">
        <f>$C$31/H16</f>
        <v>2700.9192333072451</v>
      </c>
      <c r="I32" s="640"/>
      <c r="J32" s="639"/>
    </row>
    <row r="33" spans="1:10" ht="12.75" customHeight="1" x14ac:dyDescent="0.25">
      <c r="A33" s="625" t="s">
        <v>187</v>
      </c>
      <c r="B33" s="626" t="s">
        <v>188</v>
      </c>
      <c r="C33" s="627">
        <v>95</v>
      </c>
      <c r="D33" s="499" t="s">
        <v>40</v>
      </c>
      <c r="E33" s="491">
        <f>$C$33/E15</f>
        <v>3498.9180976934767</v>
      </c>
      <c r="F33" s="491">
        <f>$C$33/F15</f>
        <v>17494.590488467384</v>
      </c>
      <c r="G33" s="491">
        <f>$C$33/G15</f>
        <v>34989.180976934767</v>
      </c>
      <c r="H33" s="491">
        <f>$C$33/H15</f>
        <v>69978.361953869535</v>
      </c>
      <c r="I33" s="640"/>
      <c r="J33" s="639">
        <v>100</v>
      </c>
    </row>
    <row r="34" spans="1:10" ht="15" customHeight="1" x14ac:dyDescent="0.25">
      <c r="A34" s="625"/>
      <c r="B34" s="626"/>
      <c r="C34" s="627"/>
      <c r="D34" s="499" t="s">
        <v>38</v>
      </c>
      <c r="E34" s="491">
        <f>$C$33/E16</f>
        <v>1166.3060325644922</v>
      </c>
      <c r="F34" s="491">
        <f t="shared" ref="F34:H34" si="13">$C$33/F16</f>
        <v>5831.5301628224606</v>
      </c>
      <c r="G34" s="491">
        <f t="shared" si="13"/>
        <v>11663.060325644921</v>
      </c>
      <c r="H34" s="491">
        <f t="shared" si="13"/>
        <v>23326.120651289842</v>
      </c>
      <c r="I34" s="640"/>
      <c r="J34" s="639"/>
    </row>
    <row r="35" spans="1:10" ht="15" customHeight="1" x14ac:dyDescent="0.25">
      <c r="A35" s="625"/>
      <c r="B35" s="626" t="s">
        <v>189</v>
      </c>
      <c r="C35" s="627">
        <v>115</v>
      </c>
      <c r="D35" s="487" t="s">
        <v>40</v>
      </c>
      <c r="E35" s="492">
        <f>$C$35/E15</f>
        <v>4235.5324340499983</v>
      </c>
      <c r="F35" s="492">
        <f>$C$35/F15</f>
        <v>21177.662170249991</v>
      </c>
      <c r="G35" s="492">
        <f>$C$35/G15</f>
        <v>42355.324340499981</v>
      </c>
      <c r="H35" s="492">
        <f>$C$35/H15</f>
        <v>84710.648680999962</v>
      </c>
      <c r="I35" s="640"/>
      <c r="J35" s="639"/>
    </row>
    <row r="36" spans="1:10" ht="15" customHeight="1" x14ac:dyDescent="0.25">
      <c r="A36" s="625"/>
      <c r="B36" s="626"/>
      <c r="C36" s="627"/>
      <c r="D36" s="487" t="s">
        <v>38</v>
      </c>
      <c r="E36" s="492">
        <f>$C$35/E16</f>
        <v>1411.8441446833326</v>
      </c>
      <c r="F36" s="492">
        <f t="shared" ref="F36:H36" si="14">$C$35/F16</f>
        <v>7059.2207234166626</v>
      </c>
      <c r="G36" s="492">
        <f t="shared" si="14"/>
        <v>14118.441446833325</v>
      </c>
      <c r="H36" s="492">
        <f t="shared" si="14"/>
        <v>28236.88289366665</v>
      </c>
      <c r="I36" s="640"/>
      <c r="J36" s="639"/>
    </row>
    <row r="37" spans="1:10" ht="15" customHeight="1" x14ac:dyDescent="0.25">
      <c r="A37" s="625"/>
      <c r="B37" s="626" t="s">
        <v>190</v>
      </c>
      <c r="C37" s="627">
        <v>33</v>
      </c>
      <c r="D37" s="487" t="s">
        <v>40</v>
      </c>
      <c r="E37" s="492">
        <f>$C$37/E15</f>
        <v>1215.4136549882603</v>
      </c>
      <c r="F37" s="492">
        <f>$C$37/F15</f>
        <v>6077.0682749413018</v>
      </c>
      <c r="G37" s="492">
        <f>$C$37/G15</f>
        <v>12154.136549882604</v>
      </c>
      <c r="H37" s="492">
        <f>$C$37/H15</f>
        <v>24308.273099765207</v>
      </c>
      <c r="I37" s="640"/>
      <c r="J37" s="639"/>
    </row>
    <row r="38" spans="1:10" ht="15" customHeight="1" x14ac:dyDescent="0.25">
      <c r="A38" s="625"/>
      <c r="B38" s="626"/>
      <c r="C38" s="627"/>
      <c r="D38" s="487" t="s">
        <v>38</v>
      </c>
      <c r="E38" s="492">
        <f>$C$37/E16</f>
        <v>405.13788499608677</v>
      </c>
      <c r="F38" s="492">
        <f t="shared" ref="F38:H38" si="15">$C$37/F16</f>
        <v>2025.6894249804336</v>
      </c>
      <c r="G38" s="492">
        <f t="shared" si="15"/>
        <v>4051.3788499608672</v>
      </c>
      <c r="H38" s="492">
        <f t="shared" si="15"/>
        <v>8102.7576999217345</v>
      </c>
      <c r="I38" s="640"/>
      <c r="J38" s="639"/>
    </row>
    <row r="39" spans="1:10" ht="15" customHeight="1" x14ac:dyDescent="0.25">
      <c r="A39" s="625"/>
      <c r="B39" s="626" t="s">
        <v>242</v>
      </c>
      <c r="C39" s="627">
        <f>C29</f>
        <v>19</v>
      </c>
      <c r="D39" s="487" t="s">
        <v>40</v>
      </c>
      <c r="E39" s="492">
        <f>$C$39/(E15*$P$15)</f>
        <v>982.38854281393776</v>
      </c>
      <c r="F39" s="492">
        <f t="shared" ref="F39:G39" si="16">$C$39/(F15*$P$15)</f>
        <v>4911.9427140696889</v>
      </c>
      <c r="G39" s="492">
        <f t="shared" si="16"/>
        <v>9823.8854281393778</v>
      </c>
      <c r="H39" s="492">
        <f>$C$39/(H15*$P$15)</f>
        <v>19647.770856278756</v>
      </c>
      <c r="I39" s="640"/>
      <c r="J39" s="639"/>
    </row>
    <row r="40" spans="1:10" ht="15" customHeight="1" x14ac:dyDescent="0.25">
      <c r="A40" s="625"/>
      <c r="B40" s="626"/>
      <c r="C40" s="627"/>
      <c r="D40" s="487" t="s">
        <v>38</v>
      </c>
      <c r="E40" s="492">
        <f>$C$39/(E16*$P$15)</f>
        <v>327.4628476046459</v>
      </c>
      <c r="F40" s="492">
        <f t="shared" ref="F40:G40" si="17">$C$39/(F16*$P$15)</f>
        <v>1637.3142380232293</v>
      </c>
      <c r="G40" s="492">
        <f t="shared" si="17"/>
        <v>3274.6284760464587</v>
      </c>
      <c r="H40" s="492">
        <f>$C$39/(H16*$P$15)</f>
        <v>6549.2569520929173</v>
      </c>
      <c r="I40" s="640"/>
      <c r="J40" s="639"/>
    </row>
    <row r="41" spans="1:10" ht="15" customHeight="1" x14ac:dyDescent="0.25">
      <c r="A41" s="625"/>
      <c r="B41" s="626" t="s">
        <v>243</v>
      </c>
      <c r="C41" s="627">
        <f>C31</f>
        <v>11</v>
      </c>
      <c r="D41" s="487" t="s">
        <v>40</v>
      </c>
      <c r="E41" s="492">
        <f>$C$41/(E15*$P$15)</f>
        <v>568.75126162912181</v>
      </c>
      <c r="F41" s="492">
        <f t="shared" ref="F41:H41" si="18">$C$41/(F15*$P$15)</f>
        <v>2843.7563081456092</v>
      </c>
      <c r="G41" s="492">
        <f t="shared" si="18"/>
        <v>5687.5126162912184</v>
      </c>
      <c r="H41" s="492">
        <f t="shared" si="18"/>
        <v>11375.025232582437</v>
      </c>
      <c r="I41" s="640"/>
      <c r="J41" s="639"/>
    </row>
    <row r="42" spans="1:10" ht="15" customHeight="1" x14ac:dyDescent="0.25">
      <c r="A42" s="625"/>
      <c r="B42" s="626"/>
      <c r="C42" s="627"/>
      <c r="D42" s="487" t="s">
        <v>38</v>
      </c>
      <c r="E42" s="492">
        <f>$C$41/(E16*$P$15)</f>
        <v>189.58375387637395</v>
      </c>
      <c r="F42" s="492">
        <f t="shared" ref="F42:G42" si="19">$C$41/(F16*$P$15)</f>
        <v>947.91876938186965</v>
      </c>
      <c r="G42" s="492">
        <f t="shared" si="19"/>
        <v>1895.8375387637393</v>
      </c>
      <c r="H42" s="492">
        <f>$C$41/(H16*$P$15)</f>
        <v>3791.6750775274786</v>
      </c>
      <c r="I42" s="640"/>
      <c r="J42" s="639"/>
    </row>
    <row r="43" spans="1:10" ht="12.75" customHeight="1" x14ac:dyDescent="0.25">
      <c r="A43" s="625"/>
      <c r="B43" s="626" t="s">
        <v>192</v>
      </c>
      <c r="C43" s="627">
        <v>16</v>
      </c>
      <c r="D43" s="487" t="s">
        <v>40</v>
      </c>
      <c r="E43" s="492">
        <f>$C$43/E15</f>
        <v>589.29146908521716</v>
      </c>
      <c r="F43" s="492">
        <f>$C$43/F15</f>
        <v>2946.4573454260858</v>
      </c>
      <c r="G43" s="492">
        <f>$C$43/G15</f>
        <v>5892.9146908521716</v>
      </c>
      <c r="H43" s="492">
        <f>$C$43/H15</f>
        <v>11785.829381704343</v>
      </c>
      <c r="I43" s="640"/>
      <c r="J43" s="639">
        <v>100</v>
      </c>
    </row>
    <row r="44" spans="1:10" ht="12.75" customHeight="1" x14ac:dyDescent="0.25">
      <c r="A44" s="625"/>
      <c r="B44" s="626"/>
      <c r="C44" s="627"/>
      <c r="D44" s="487" t="s">
        <v>38</v>
      </c>
      <c r="E44" s="492">
        <f>$C$43/E16</f>
        <v>196.43048969507237</v>
      </c>
      <c r="F44" s="492">
        <f t="shared" ref="F44:G44" si="20">$C$43/F16</f>
        <v>982.15244847536178</v>
      </c>
      <c r="G44" s="492">
        <f t="shared" si="20"/>
        <v>1964.3048969507236</v>
      </c>
      <c r="H44" s="492">
        <f>$C$43/H16</f>
        <v>3928.6097939014471</v>
      </c>
      <c r="I44" s="640"/>
      <c r="J44" s="639"/>
    </row>
    <row r="46" spans="1:10" x14ac:dyDescent="0.25">
      <c r="A46" s="216" t="s">
        <v>244</v>
      </c>
    </row>
    <row r="47" spans="1:10" ht="38.25" x14ac:dyDescent="0.25">
      <c r="A47" s="484" t="s">
        <v>237</v>
      </c>
      <c r="B47" s="484" t="s">
        <v>238</v>
      </c>
      <c r="C47" s="484" t="s">
        <v>239</v>
      </c>
      <c r="D47" s="484" t="s">
        <v>27</v>
      </c>
      <c r="E47" s="382" t="s">
        <v>201</v>
      </c>
      <c r="F47" s="484" t="s">
        <v>202</v>
      </c>
      <c r="G47" s="484" t="s">
        <v>240</v>
      </c>
      <c r="H47" s="484" t="s">
        <v>241</v>
      </c>
      <c r="I47" s="484" t="s">
        <v>205</v>
      </c>
      <c r="J47" s="238" t="s">
        <v>75</v>
      </c>
    </row>
    <row r="48" spans="1:10" ht="12.75" customHeight="1" x14ac:dyDescent="0.25">
      <c r="A48" s="625" t="s">
        <v>183</v>
      </c>
      <c r="B48" s="625" t="s">
        <v>242</v>
      </c>
      <c r="C48" s="627">
        <v>19</v>
      </c>
      <c r="D48" s="499" t="s">
        <v>40</v>
      </c>
      <c r="E48" s="491">
        <f>$C$48/E17</f>
        <v>721.42641189556218</v>
      </c>
      <c r="F48" s="491">
        <f>$C$48/F17</f>
        <v>3607.1320594778113</v>
      </c>
      <c r="G48" s="491">
        <f>$C$48/G17</f>
        <v>7214.2641189556225</v>
      </c>
      <c r="H48" s="491">
        <f>$C$48/H17</f>
        <v>14428.528237911245</v>
      </c>
      <c r="I48" s="215">
        <f>$C$48/I17</f>
        <v>2.0921365944971306</v>
      </c>
      <c r="J48" s="619">
        <v>100</v>
      </c>
    </row>
    <row r="49" spans="1:10" x14ac:dyDescent="0.25">
      <c r="A49" s="625"/>
      <c r="B49" s="625"/>
      <c r="C49" s="627"/>
      <c r="D49" s="499" t="s">
        <v>38</v>
      </c>
      <c r="E49" s="491">
        <f>$C$48/E18</f>
        <v>240.47547063185405</v>
      </c>
      <c r="F49" s="491">
        <f t="shared" ref="F49:H49" si="21">$C$48/F18</f>
        <v>1202.3773531592703</v>
      </c>
      <c r="G49" s="491">
        <f t="shared" si="21"/>
        <v>2404.7547063185407</v>
      </c>
      <c r="H49" s="491">
        <f t="shared" si="21"/>
        <v>4809.5094126370814</v>
      </c>
      <c r="I49" s="491">
        <f>$C$48/I18</f>
        <v>0.69737886483237677</v>
      </c>
      <c r="J49" s="620"/>
    </row>
    <row r="50" spans="1:10" x14ac:dyDescent="0.25">
      <c r="A50" s="625"/>
      <c r="B50" s="625" t="s">
        <v>243</v>
      </c>
      <c r="C50" s="627">
        <v>11</v>
      </c>
      <c r="D50" s="499" t="s">
        <v>40</v>
      </c>
      <c r="E50" s="491">
        <f>$C$50/E17</f>
        <v>417.66792267637811</v>
      </c>
      <c r="F50" s="491">
        <f>$C$50/F17</f>
        <v>2088.3396133818906</v>
      </c>
      <c r="G50" s="491">
        <f>$C$50/G17</f>
        <v>4176.6792267637811</v>
      </c>
      <c r="H50" s="215">
        <f>$C$50/H17</f>
        <v>8353.3584535275622</v>
      </c>
      <c r="I50" s="217">
        <f>$C$50/I17</f>
        <v>1.2112369757614965</v>
      </c>
      <c r="J50" s="620"/>
    </row>
    <row r="51" spans="1:10" x14ac:dyDescent="0.25">
      <c r="A51" s="625"/>
      <c r="B51" s="625"/>
      <c r="C51" s="627"/>
      <c r="D51" s="499" t="s">
        <v>38</v>
      </c>
      <c r="E51" s="491">
        <f>$C$50/E18</f>
        <v>139.22264089212604</v>
      </c>
      <c r="F51" s="491">
        <f t="shared" ref="F51:I51" si="22">$C$50/F18</f>
        <v>696.11320446063019</v>
      </c>
      <c r="G51" s="491">
        <f t="shared" si="22"/>
        <v>1392.2264089212604</v>
      </c>
      <c r="H51" s="491">
        <f t="shared" si="22"/>
        <v>2784.4528178425207</v>
      </c>
      <c r="I51" s="491">
        <f t="shared" si="22"/>
        <v>0.40374565858716549</v>
      </c>
      <c r="J51" s="621"/>
    </row>
    <row r="52" spans="1:10" ht="12.75" customHeight="1" x14ac:dyDescent="0.25">
      <c r="A52" s="625" t="s">
        <v>187</v>
      </c>
      <c r="B52" s="625" t="s">
        <v>188</v>
      </c>
      <c r="C52" s="627">
        <v>95</v>
      </c>
      <c r="D52" s="499" t="s">
        <v>40</v>
      </c>
      <c r="E52" s="491">
        <f>$C$52/E17</f>
        <v>3607.1320594778108</v>
      </c>
      <c r="F52" s="491">
        <f>$C$52/F17</f>
        <v>18035.660297389055</v>
      </c>
      <c r="G52" s="491">
        <f>$C$52/G17</f>
        <v>36071.32059477811</v>
      </c>
      <c r="H52" s="491">
        <f>$C$52/H17</f>
        <v>72142.64118955622</v>
      </c>
      <c r="I52" s="215">
        <f>$C$52/I17</f>
        <v>10.460682972485651</v>
      </c>
      <c r="J52" s="619">
        <v>100</v>
      </c>
    </row>
    <row r="53" spans="1:10" ht="15" customHeight="1" x14ac:dyDescent="0.25">
      <c r="A53" s="625"/>
      <c r="B53" s="625"/>
      <c r="C53" s="627"/>
      <c r="D53" s="499" t="s">
        <v>38</v>
      </c>
      <c r="E53" s="491">
        <f>$C$52/E18</f>
        <v>1202.3773531592703</v>
      </c>
      <c r="F53" s="491">
        <f t="shared" ref="F53:I53" si="23">$C$52/F18</f>
        <v>6011.886765796351</v>
      </c>
      <c r="G53" s="491">
        <f t="shared" si="23"/>
        <v>12023.773531592702</v>
      </c>
      <c r="H53" s="491">
        <f t="shared" si="23"/>
        <v>24047.547063185404</v>
      </c>
      <c r="I53" s="491">
        <f t="shared" si="23"/>
        <v>3.4868943241618835</v>
      </c>
      <c r="J53" s="620"/>
    </row>
    <row r="54" spans="1:10" ht="15" customHeight="1" x14ac:dyDescent="0.25">
      <c r="A54" s="625"/>
      <c r="B54" s="625" t="s">
        <v>189</v>
      </c>
      <c r="C54" s="627">
        <v>115</v>
      </c>
      <c r="D54" s="487" t="s">
        <v>40</v>
      </c>
      <c r="E54" s="492">
        <f>$C$54/E17</f>
        <v>4366.5282825257709</v>
      </c>
      <c r="F54" s="492">
        <f>$C$54/F17</f>
        <v>21832.641412628858</v>
      </c>
      <c r="G54" s="492">
        <f>$C$54/G17</f>
        <v>43665.282825257716</v>
      </c>
      <c r="H54" s="492">
        <f>$C$54/H17</f>
        <v>87330.565650515433</v>
      </c>
      <c r="I54" s="215">
        <f>$C$54/I17</f>
        <v>12.662932019324737</v>
      </c>
      <c r="J54" s="620"/>
    </row>
    <row r="55" spans="1:10" ht="15" customHeight="1" x14ac:dyDescent="0.25">
      <c r="A55" s="625"/>
      <c r="B55" s="625"/>
      <c r="C55" s="627"/>
      <c r="D55" s="487" t="s">
        <v>38</v>
      </c>
      <c r="E55" s="492">
        <f>$C$54/E18</f>
        <v>1455.5094275085903</v>
      </c>
      <c r="F55" s="492">
        <f t="shared" ref="F55:I55" si="24">$C$54/F18</f>
        <v>7277.5471375429515</v>
      </c>
      <c r="G55" s="492">
        <f t="shared" si="24"/>
        <v>14555.094275085903</v>
      </c>
      <c r="H55" s="492">
        <f t="shared" si="24"/>
        <v>29110.188550171806</v>
      </c>
      <c r="I55" s="491">
        <f t="shared" si="24"/>
        <v>4.2209773397749117</v>
      </c>
      <c r="J55" s="620"/>
    </row>
    <row r="56" spans="1:10" ht="15" customHeight="1" x14ac:dyDescent="0.25">
      <c r="A56" s="625"/>
      <c r="B56" s="625" t="s">
        <v>190</v>
      </c>
      <c r="C56" s="627">
        <v>33</v>
      </c>
      <c r="D56" s="487" t="s">
        <v>40</v>
      </c>
      <c r="E56" s="492">
        <f>$C$56/E17</f>
        <v>1253.0037680291343</v>
      </c>
      <c r="F56" s="492">
        <f>$C$56/F17</f>
        <v>6265.0188401456717</v>
      </c>
      <c r="G56" s="492">
        <f>$C$56/G17</f>
        <v>12530.037680291343</v>
      </c>
      <c r="H56" s="492">
        <f>$C$56/H17</f>
        <v>25060.075360582687</v>
      </c>
      <c r="I56" s="217">
        <f>$C$56/I17</f>
        <v>3.6337109272844899</v>
      </c>
      <c r="J56" s="620"/>
    </row>
    <row r="57" spans="1:10" ht="15" customHeight="1" x14ac:dyDescent="0.25">
      <c r="A57" s="625"/>
      <c r="B57" s="625"/>
      <c r="C57" s="627"/>
      <c r="D57" s="487" t="s">
        <v>38</v>
      </c>
      <c r="E57" s="492">
        <f>$C$56/E18</f>
        <v>417.66792267637811</v>
      </c>
      <c r="F57" s="492">
        <f t="shared" ref="F57:I57" si="25">$C$56/F18</f>
        <v>2088.3396133818906</v>
      </c>
      <c r="G57" s="492">
        <f t="shared" si="25"/>
        <v>4176.6792267637811</v>
      </c>
      <c r="H57" s="492">
        <f t="shared" si="25"/>
        <v>8353.3584535275622</v>
      </c>
      <c r="I57" s="491">
        <f t="shared" si="25"/>
        <v>1.2112369757614965</v>
      </c>
      <c r="J57" s="620"/>
    </row>
    <row r="58" spans="1:10" ht="15" customHeight="1" x14ac:dyDescent="0.25">
      <c r="A58" s="625"/>
      <c r="B58" s="625" t="s">
        <v>242</v>
      </c>
      <c r="C58" s="627">
        <f>C48</f>
        <v>19</v>
      </c>
      <c r="D58" s="487" t="s">
        <v>40</v>
      </c>
      <c r="E58" s="492">
        <f>$C$58/(E17*$P$15)</f>
        <v>1012.7716936226161</v>
      </c>
      <c r="F58" s="492">
        <f t="shared" ref="F58:H58" si="26">$C$58/(F17*$P$15)</f>
        <v>5063.8584681130815</v>
      </c>
      <c r="G58" s="492">
        <f t="shared" si="26"/>
        <v>10127.716936226163</v>
      </c>
      <c r="H58" s="492">
        <f t="shared" si="26"/>
        <v>20255.433872452326</v>
      </c>
      <c r="I58" s="215">
        <f>$C$58/I17</f>
        <v>2.0921365944971306</v>
      </c>
      <c r="J58" s="620"/>
    </row>
    <row r="59" spans="1:10" ht="15" customHeight="1" x14ac:dyDescent="0.25">
      <c r="A59" s="625"/>
      <c r="B59" s="625"/>
      <c r="C59" s="627"/>
      <c r="D59" s="487" t="s">
        <v>38</v>
      </c>
      <c r="E59" s="492">
        <f>$C$58/(E18*$P$15)</f>
        <v>337.59056454087209</v>
      </c>
      <c r="F59" s="492">
        <f t="shared" ref="F59:H59" si="27">$C$58/(F18*$P$15)</f>
        <v>1687.9528227043602</v>
      </c>
      <c r="G59" s="492">
        <f t="shared" si="27"/>
        <v>3375.9056454087204</v>
      </c>
      <c r="H59" s="492">
        <f t="shared" si="27"/>
        <v>6751.8112908174407</v>
      </c>
      <c r="I59" s="491">
        <f t="shared" ref="I59" si="28">$C$58/I18</f>
        <v>0.69737886483237677</v>
      </c>
      <c r="J59" s="620"/>
    </row>
    <row r="60" spans="1:10" x14ac:dyDescent="0.25">
      <c r="A60" s="625"/>
      <c r="B60" s="625" t="s">
        <v>243</v>
      </c>
      <c r="C60" s="627">
        <f>C50</f>
        <v>11</v>
      </c>
      <c r="D60" s="487" t="s">
        <v>40</v>
      </c>
      <c r="E60" s="492">
        <f>$C$60/(E17*$P$15)</f>
        <v>586.34150683414623</v>
      </c>
      <c r="F60" s="492">
        <f t="shared" ref="F60:H60" si="29">$C$60/(F17*$P$15)</f>
        <v>2931.7075341707314</v>
      </c>
      <c r="G60" s="492">
        <f t="shared" si="29"/>
        <v>5863.4150683414628</v>
      </c>
      <c r="H60" s="492">
        <f t="shared" si="29"/>
        <v>11726.830136682926</v>
      </c>
      <c r="I60" s="217">
        <f>$C$60/I17</f>
        <v>1.2112369757614965</v>
      </c>
      <c r="J60" s="620"/>
    </row>
    <row r="61" spans="1:10" ht="15" customHeight="1" x14ac:dyDescent="0.25">
      <c r="A61" s="625"/>
      <c r="B61" s="625"/>
      <c r="C61" s="627"/>
      <c r="D61" s="487" t="s">
        <v>38</v>
      </c>
      <c r="E61" s="492">
        <f>$C$60/(E18*$P$15)</f>
        <v>195.4471689447154</v>
      </c>
      <c r="F61" s="492">
        <f t="shared" ref="F61:H61" si="30">$C$60/(F18*$P$15)</f>
        <v>977.23584472357697</v>
      </c>
      <c r="G61" s="492">
        <f>$C$60/(G18*$P$15)</f>
        <v>1954.4716894471539</v>
      </c>
      <c r="H61" s="492">
        <f t="shared" si="30"/>
        <v>3908.9433788943079</v>
      </c>
      <c r="I61" s="491">
        <f t="shared" ref="I61" si="31">$C$60/I18</f>
        <v>0.40374565858716549</v>
      </c>
      <c r="J61" s="621"/>
    </row>
    <row r="62" spans="1:10" ht="15.75" customHeight="1" x14ac:dyDescent="0.25">
      <c r="A62" s="625"/>
      <c r="B62" s="625" t="s">
        <v>192</v>
      </c>
      <c r="C62" s="627">
        <v>16</v>
      </c>
      <c r="D62" s="487" t="s">
        <v>40</v>
      </c>
      <c r="E62" s="492">
        <f>$C$62/E17</f>
        <v>607.51697843836814</v>
      </c>
      <c r="F62" s="492">
        <f>$C$62/F17</f>
        <v>3037.5848921918409</v>
      </c>
      <c r="G62" s="492">
        <f>$C$62/G17</f>
        <v>6075.1697843836819</v>
      </c>
      <c r="H62" s="492">
        <f>$C$62/H17</f>
        <v>12150.339568767364</v>
      </c>
      <c r="I62" s="217">
        <f>$C$62/I17</f>
        <v>1.7617992374712677</v>
      </c>
      <c r="J62" s="619">
        <v>100</v>
      </c>
    </row>
    <row r="63" spans="1:10" ht="15" customHeight="1" x14ac:dyDescent="0.25">
      <c r="A63" s="625"/>
      <c r="B63" s="625"/>
      <c r="C63" s="627"/>
      <c r="D63" s="487" t="s">
        <v>38</v>
      </c>
      <c r="E63" s="492">
        <f>$C$62/E18</f>
        <v>202.50565947945606</v>
      </c>
      <c r="F63" s="492">
        <f t="shared" ref="F63:I63" si="32">$C$62/F18</f>
        <v>1012.5282973972802</v>
      </c>
      <c r="G63" s="492">
        <f t="shared" si="32"/>
        <v>2025.0565947945604</v>
      </c>
      <c r="H63" s="492">
        <f>$C$62/H18</f>
        <v>4050.1131895891208</v>
      </c>
      <c r="I63" s="491">
        <f t="shared" si="32"/>
        <v>0.58726641249042255</v>
      </c>
      <c r="J63" s="621"/>
    </row>
    <row r="65" spans="1:10" x14ac:dyDescent="0.25">
      <c r="A65" s="216" t="s">
        <v>245</v>
      </c>
    </row>
    <row r="66" spans="1:10" ht="38.25" x14ac:dyDescent="0.25">
      <c r="A66" s="484" t="s">
        <v>237</v>
      </c>
      <c r="B66" s="484" t="s">
        <v>238</v>
      </c>
      <c r="C66" s="484" t="s">
        <v>239</v>
      </c>
      <c r="D66" s="484" t="s">
        <v>27</v>
      </c>
      <c r="E66" s="382" t="s">
        <v>201</v>
      </c>
      <c r="F66" s="484" t="s">
        <v>202</v>
      </c>
      <c r="G66" s="484" t="s">
        <v>240</v>
      </c>
      <c r="H66" s="484" t="s">
        <v>241</v>
      </c>
      <c r="I66" s="484" t="s">
        <v>205</v>
      </c>
      <c r="J66" s="238" t="s">
        <v>75</v>
      </c>
    </row>
    <row r="67" spans="1:10" ht="12.75" customHeight="1" x14ac:dyDescent="0.25">
      <c r="A67" s="625" t="s">
        <v>183</v>
      </c>
      <c r="B67" s="625" t="s">
        <v>242</v>
      </c>
      <c r="C67" s="627">
        <v>19</v>
      </c>
      <c r="D67" s="499" t="s">
        <v>40</v>
      </c>
      <c r="E67" s="491">
        <f>$C$67/E19</f>
        <v>874.72952442336907</v>
      </c>
      <c r="F67" s="491">
        <f>$C$67/F19</f>
        <v>4373.647622116845</v>
      </c>
      <c r="G67" s="491">
        <f>$C$67/G19</f>
        <v>8747.29524423369</v>
      </c>
      <c r="H67" s="622" t="s">
        <v>122</v>
      </c>
      <c r="I67" s="215">
        <f>$C$67/I19</f>
        <v>2.5367156208277701</v>
      </c>
      <c r="J67" s="619">
        <v>100</v>
      </c>
    </row>
    <row r="68" spans="1:10" x14ac:dyDescent="0.25">
      <c r="A68" s="625"/>
      <c r="B68" s="625"/>
      <c r="C68" s="627"/>
      <c r="D68" s="499" t="s">
        <v>38</v>
      </c>
      <c r="E68" s="491">
        <f>$C$67/E20</f>
        <v>291.57650814112304</v>
      </c>
      <c r="F68" s="491">
        <f t="shared" ref="F68:G68" si="33">$C$67/F20</f>
        <v>1457.8825407056152</v>
      </c>
      <c r="G68" s="491">
        <f t="shared" si="33"/>
        <v>2915.7650814112303</v>
      </c>
      <c r="H68" s="623"/>
      <c r="I68" s="215">
        <f>$C$67/I20</f>
        <v>0.84557187360925667</v>
      </c>
      <c r="J68" s="620"/>
    </row>
    <row r="69" spans="1:10" x14ac:dyDescent="0.25">
      <c r="A69" s="625"/>
      <c r="B69" s="625" t="s">
        <v>243</v>
      </c>
      <c r="C69" s="627">
        <v>11</v>
      </c>
      <c r="D69" s="499" t="s">
        <v>40</v>
      </c>
      <c r="E69" s="491">
        <f>$C$69/E19</f>
        <v>506.4223562451084</v>
      </c>
      <c r="F69" s="491">
        <f>$C$69/F19</f>
        <v>2532.111781225542</v>
      </c>
      <c r="G69" s="491">
        <f>$C$69/G19</f>
        <v>5064.223562451084</v>
      </c>
      <c r="H69" s="623"/>
      <c r="I69" s="217">
        <f>$C$69/I19</f>
        <v>1.4686248331108145</v>
      </c>
      <c r="J69" s="620"/>
    </row>
    <row r="70" spans="1:10" x14ac:dyDescent="0.25">
      <c r="A70" s="625"/>
      <c r="B70" s="625"/>
      <c r="C70" s="627"/>
      <c r="D70" s="499" t="s">
        <v>38</v>
      </c>
      <c r="E70" s="491">
        <f>$C$69/E20</f>
        <v>168.80745208170282</v>
      </c>
      <c r="F70" s="491">
        <f t="shared" ref="F70:G70" si="34">$C$69/F20</f>
        <v>844.03726040851404</v>
      </c>
      <c r="G70" s="491">
        <f t="shared" si="34"/>
        <v>1688.0745208170281</v>
      </c>
      <c r="H70" s="623"/>
      <c r="I70" s="217">
        <f>$C$69/I20</f>
        <v>0.48954161103693811</v>
      </c>
      <c r="J70" s="621"/>
    </row>
    <row r="71" spans="1:10" ht="12.75" customHeight="1" x14ac:dyDescent="0.25">
      <c r="A71" s="625" t="s">
        <v>187</v>
      </c>
      <c r="B71" s="625" t="s">
        <v>188</v>
      </c>
      <c r="C71" s="627">
        <v>95</v>
      </c>
      <c r="D71" s="499" t="s">
        <v>40</v>
      </c>
      <c r="E71" s="491">
        <f>$C$71/E19</f>
        <v>4373.647622116845</v>
      </c>
      <c r="F71" s="491">
        <f>$C$71/F19</f>
        <v>21868.238110584225</v>
      </c>
      <c r="G71" s="491">
        <f>$C$71/G19</f>
        <v>43736.47622116845</v>
      </c>
      <c r="H71" s="623"/>
      <c r="I71" s="215">
        <f>$C$71/I19</f>
        <v>12.683578104138851</v>
      </c>
      <c r="J71" s="619">
        <v>100</v>
      </c>
    </row>
    <row r="72" spans="1:10" ht="15" customHeight="1" x14ac:dyDescent="0.25">
      <c r="A72" s="625"/>
      <c r="B72" s="625"/>
      <c r="C72" s="627"/>
      <c r="D72" s="499" t="s">
        <v>38</v>
      </c>
      <c r="E72" s="491">
        <f>$C$71/E20</f>
        <v>1457.8825407056152</v>
      </c>
      <c r="F72" s="491">
        <f t="shared" ref="F72:G72" si="35">$C$71/F20</f>
        <v>7289.4127035280753</v>
      </c>
      <c r="G72" s="491">
        <f t="shared" si="35"/>
        <v>14578.825407056151</v>
      </c>
      <c r="H72" s="623"/>
      <c r="I72" s="215">
        <f>$C$71/I20</f>
        <v>4.2278593680462837</v>
      </c>
      <c r="J72" s="620"/>
    </row>
    <row r="73" spans="1:10" ht="15" customHeight="1" x14ac:dyDescent="0.25">
      <c r="A73" s="625"/>
      <c r="B73" s="625" t="s">
        <v>189</v>
      </c>
      <c r="C73" s="627">
        <v>115</v>
      </c>
      <c r="D73" s="487" t="s">
        <v>40</v>
      </c>
      <c r="E73" s="492">
        <f>$C$73/E19</f>
        <v>5294.4155425624967</v>
      </c>
      <c r="F73" s="492">
        <f>$C$73/F19</f>
        <v>26472.077712812483</v>
      </c>
      <c r="G73" s="492">
        <f>$C$73/G19</f>
        <v>52944.155425624966</v>
      </c>
      <c r="H73" s="623"/>
      <c r="I73" s="215">
        <f>$C$73/I19</f>
        <v>15.353805073431241</v>
      </c>
      <c r="J73" s="620"/>
    </row>
    <row r="74" spans="1:10" ht="15" customHeight="1" x14ac:dyDescent="0.25">
      <c r="A74" s="625"/>
      <c r="B74" s="625"/>
      <c r="C74" s="627"/>
      <c r="D74" s="487" t="s">
        <v>38</v>
      </c>
      <c r="E74" s="492">
        <f>$C$73/E20</f>
        <v>1764.8051808541657</v>
      </c>
      <c r="F74" s="492">
        <f t="shared" ref="F74:G74" si="36">$C$73/F20</f>
        <v>8824.0259042708276</v>
      </c>
      <c r="G74" s="492">
        <f t="shared" si="36"/>
        <v>17648.051808541655</v>
      </c>
      <c r="H74" s="623"/>
      <c r="I74" s="215">
        <f>$C$73/I20</f>
        <v>5.11793502447708</v>
      </c>
      <c r="J74" s="620"/>
    </row>
    <row r="75" spans="1:10" ht="15" customHeight="1" x14ac:dyDescent="0.25">
      <c r="A75" s="625"/>
      <c r="B75" s="625" t="s">
        <v>190</v>
      </c>
      <c r="C75" s="627">
        <v>33</v>
      </c>
      <c r="D75" s="487" t="s">
        <v>40</v>
      </c>
      <c r="E75" s="492">
        <f>$C$75/E19</f>
        <v>1519.2670687353252</v>
      </c>
      <c r="F75" s="492">
        <f>$C$75/F19</f>
        <v>7596.3353436766256</v>
      </c>
      <c r="G75" s="492">
        <f>$C$75/G19</f>
        <v>15192.670687353251</v>
      </c>
      <c r="H75" s="623"/>
      <c r="I75" s="215">
        <f>$C$75/I19</f>
        <v>4.4058744993324428</v>
      </c>
      <c r="J75" s="620"/>
    </row>
    <row r="76" spans="1:10" ht="15" customHeight="1" x14ac:dyDescent="0.25">
      <c r="A76" s="625"/>
      <c r="B76" s="625"/>
      <c r="C76" s="627"/>
      <c r="D76" s="487" t="s">
        <v>38</v>
      </c>
      <c r="E76" s="492">
        <f>$C$75/E20</f>
        <v>506.4223562451084</v>
      </c>
      <c r="F76" s="492">
        <f t="shared" ref="F76:G76" si="37">$C$75/F20</f>
        <v>2532.111781225542</v>
      </c>
      <c r="G76" s="492">
        <f t="shared" si="37"/>
        <v>5064.223562451084</v>
      </c>
      <c r="H76" s="623"/>
      <c r="I76" s="215">
        <f>$C$75/I20</f>
        <v>1.4686248331108143</v>
      </c>
      <c r="J76" s="620"/>
    </row>
    <row r="77" spans="1:10" ht="15" customHeight="1" x14ac:dyDescent="0.25">
      <c r="A77" s="625"/>
      <c r="B77" s="625" t="s">
        <v>242</v>
      </c>
      <c r="C77" s="627">
        <v>19</v>
      </c>
      <c r="D77" s="487" t="s">
        <v>40</v>
      </c>
      <c r="E77" s="492">
        <f>$C$77/(E19*$P$15)</f>
        <v>1227.985678517422</v>
      </c>
      <c r="F77" s="492">
        <f t="shared" ref="F77:G77" si="38">$C$77/(F19*$P$15)</f>
        <v>6139.9283925871105</v>
      </c>
      <c r="G77" s="492">
        <f t="shared" si="38"/>
        <v>12279.856785174221</v>
      </c>
      <c r="H77" s="623"/>
      <c r="I77" s="215">
        <f>$C$77/I19</f>
        <v>2.5367156208277701</v>
      </c>
      <c r="J77" s="620"/>
    </row>
    <row r="78" spans="1:10" ht="15" customHeight="1" x14ac:dyDescent="0.25">
      <c r="A78" s="625"/>
      <c r="B78" s="625"/>
      <c r="C78" s="627"/>
      <c r="D78" s="487" t="s">
        <v>38</v>
      </c>
      <c r="E78" s="492">
        <f>$C$77/(E20*$P$15)</f>
        <v>409.32855950580733</v>
      </c>
      <c r="F78" s="492">
        <f t="shared" ref="F78:G78" si="39">$C$77/(F20*$P$15)</f>
        <v>2046.6427975290369</v>
      </c>
      <c r="G78" s="492">
        <f t="shared" si="39"/>
        <v>4093.2855950580738</v>
      </c>
      <c r="H78" s="623"/>
      <c r="I78" s="215">
        <f>$C$77/I20</f>
        <v>0.84557187360925667</v>
      </c>
      <c r="J78" s="620"/>
    </row>
    <row r="79" spans="1:10" x14ac:dyDescent="0.25">
      <c r="A79" s="625"/>
      <c r="B79" s="625" t="s">
        <v>243</v>
      </c>
      <c r="C79" s="627">
        <v>11</v>
      </c>
      <c r="D79" s="487" t="s">
        <v>40</v>
      </c>
      <c r="E79" s="492">
        <f>$C$79/(E19*$P$15)</f>
        <v>710.93907703640218</v>
      </c>
      <c r="F79" s="492">
        <f t="shared" ref="F79:G79" si="40">$C$79/(F19*$P$15)</f>
        <v>3554.6953851820113</v>
      </c>
      <c r="G79" s="492">
        <f t="shared" si="40"/>
        <v>7109.3907703640225</v>
      </c>
      <c r="H79" s="623"/>
      <c r="I79" s="217">
        <f>$C$79/I19</f>
        <v>1.4686248331108145</v>
      </c>
      <c r="J79" s="620"/>
    </row>
    <row r="80" spans="1:10" ht="15" customHeight="1" x14ac:dyDescent="0.25">
      <c r="A80" s="625"/>
      <c r="B80" s="625"/>
      <c r="C80" s="627"/>
      <c r="D80" s="487" t="s">
        <v>38</v>
      </c>
      <c r="E80" s="492">
        <f>$C$79/(E20*$P$15)</f>
        <v>236.97969234546741</v>
      </c>
      <c r="F80" s="492">
        <f t="shared" ref="F80:G80" si="41">$C$79/(F20*$P$15)</f>
        <v>1184.8984617273372</v>
      </c>
      <c r="G80" s="492">
        <f t="shared" si="41"/>
        <v>2369.7969234546745</v>
      </c>
      <c r="H80" s="623"/>
      <c r="I80" s="217">
        <f>$C$79/I20</f>
        <v>0.48954161103693811</v>
      </c>
      <c r="J80" s="621"/>
    </row>
    <row r="81" spans="1:10" ht="15.75" customHeight="1" x14ac:dyDescent="0.25">
      <c r="A81" s="625"/>
      <c r="B81" s="625" t="s">
        <v>192</v>
      </c>
      <c r="C81" s="627">
        <v>16</v>
      </c>
      <c r="D81" s="499" t="s">
        <v>40</v>
      </c>
      <c r="E81" s="491">
        <f>$C$81/E19</f>
        <v>736.61433635652133</v>
      </c>
      <c r="F81" s="491">
        <f>$C$81/F19</f>
        <v>3683.0716817826064</v>
      </c>
      <c r="G81" s="491">
        <f>$C$81/G19</f>
        <v>7366.1433635652129</v>
      </c>
      <c r="H81" s="623"/>
      <c r="I81" s="217">
        <f>$C$81/I19</f>
        <v>2.1361815754339117</v>
      </c>
      <c r="J81" s="619">
        <v>100</v>
      </c>
    </row>
    <row r="82" spans="1:10" ht="15" customHeight="1" x14ac:dyDescent="0.25">
      <c r="A82" s="625"/>
      <c r="B82" s="625"/>
      <c r="C82" s="627"/>
      <c r="D82" s="499" t="s">
        <v>38</v>
      </c>
      <c r="E82" s="491">
        <f>$C$81/E20</f>
        <v>245.53811211884044</v>
      </c>
      <c r="F82" s="491">
        <f t="shared" ref="F82:G82" si="42">$C$81/F20</f>
        <v>1227.6905605942022</v>
      </c>
      <c r="G82" s="491">
        <f t="shared" si="42"/>
        <v>2455.3811211884044</v>
      </c>
      <c r="H82" s="624"/>
      <c r="I82" s="217">
        <f>$C$81/I20</f>
        <v>0.71206052514463725</v>
      </c>
      <c r="J82" s="621"/>
    </row>
    <row r="84" spans="1:10" x14ac:dyDescent="0.25">
      <c r="A84" s="216" t="s">
        <v>246</v>
      </c>
    </row>
    <row r="85" spans="1:10" ht="38.25" x14ac:dyDescent="0.25">
      <c r="A85" s="484" t="s">
        <v>237</v>
      </c>
      <c r="B85" s="484" t="s">
        <v>238</v>
      </c>
      <c r="C85" s="484" t="s">
        <v>239</v>
      </c>
      <c r="D85" s="484" t="s">
        <v>27</v>
      </c>
      <c r="E85" s="382" t="s">
        <v>201</v>
      </c>
      <c r="F85" s="484" t="s">
        <v>202</v>
      </c>
      <c r="G85" s="484" t="s">
        <v>240</v>
      </c>
      <c r="H85" s="484" t="s">
        <v>241</v>
      </c>
      <c r="I85" s="484" t="s">
        <v>205</v>
      </c>
      <c r="J85" s="238" t="s">
        <v>75</v>
      </c>
    </row>
    <row r="86" spans="1:10" ht="12.75" customHeight="1" x14ac:dyDescent="0.25">
      <c r="A86" s="625" t="s">
        <v>183</v>
      </c>
      <c r="B86" s="626" t="s">
        <v>242</v>
      </c>
      <c r="C86" s="627">
        <v>19</v>
      </c>
      <c r="D86" s="499" t="s">
        <v>40</v>
      </c>
      <c r="E86" s="491">
        <f>$C$86/E21</f>
        <v>744.45065908371839</v>
      </c>
      <c r="F86" s="491">
        <f>$C$86/F21</f>
        <v>3722.2532954185926</v>
      </c>
      <c r="G86" s="491">
        <f>$C$86/G21</f>
        <v>7444.5065908371853</v>
      </c>
      <c r="H86" s="640" t="s">
        <v>122</v>
      </c>
      <c r="I86" s="215">
        <f>$C$86/I21</f>
        <v>2.1589069113427835</v>
      </c>
      <c r="J86" s="639">
        <v>100</v>
      </c>
    </row>
    <row r="87" spans="1:10" ht="15" customHeight="1" x14ac:dyDescent="0.25">
      <c r="A87" s="625"/>
      <c r="B87" s="626"/>
      <c r="C87" s="627"/>
      <c r="D87" s="499" t="s">
        <v>38</v>
      </c>
      <c r="E87" s="491">
        <f>$C$86/E22</f>
        <v>248.15021969457285</v>
      </c>
      <c r="F87" s="491">
        <f t="shared" ref="F87:I87" si="43">$C$86/F22</f>
        <v>1240.7510984728642</v>
      </c>
      <c r="G87" s="491">
        <f t="shared" si="43"/>
        <v>2481.5021969457284</v>
      </c>
      <c r="H87" s="640"/>
      <c r="I87" s="491">
        <f t="shared" si="43"/>
        <v>0.71963563711426115</v>
      </c>
      <c r="J87" s="639"/>
    </row>
    <row r="88" spans="1:10" ht="15" customHeight="1" x14ac:dyDescent="0.25">
      <c r="A88" s="625"/>
      <c r="B88" s="626" t="s">
        <v>243</v>
      </c>
      <c r="C88" s="627">
        <v>11</v>
      </c>
      <c r="D88" s="499" t="s">
        <v>40</v>
      </c>
      <c r="E88" s="491">
        <f>$C$88/E21</f>
        <v>430.99774999583701</v>
      </c>
      <c r="F88" s="491">
        <f>$C$88/F21</f>
        <v>2154.9887499791853</v>
      </c>
      <c r="G88" s="491">
        <f>$C$88/G21</f>
        <v>4309.9774999583706</v>
      </c>
      <c r="H88" s="640"/>
      <c r="I88" s="217">
        <f>$C$88/I21</f>
        <v>1.2498934749879274</v>
      </c>
      <c r="J88" s="639"/>
    </row>
    <row r="89" spans="1:10" ht="15" customHeight="1" x14ac:dyDescent="0.25">
      <c r="A89" s="625"/>
      <c r="B89" s="626"/>
      <c r="C89" s="627"/>
      <c r="D89" s="499" t="s">
        <v>38</v>
      </c>
      <c r="E89" s="491">
        <f>$C$88/E22</f>
        <v>143.66591666527901</v>
      </c>
      <c r="F89" s="491">
        <f t="shared" ref="F89:I89" si="44">$C$88/F22</f>
        <v>718.3295833263951</v>
      </c>
      <c r="G89" s="491">
        <f t="shared" si="44"/>
        <v>1436.6591666527902</v>
      </c>
      <c r="H89" s="640"/>
      <c r="I89" s="383">
        <f t="shared" si="44"/>
        <v>0.41663115832930908</v>
      </c>
      <c r="J89" s="639"/>
    </row>
    <row r="90" spans="1:10" ht="12.75" customHeight="1" x14ac:dyDescent="0.25">
      <c r="A90" s="625" t="s">
        <v>187</v>
      </c>
      <c r="B90" s="626" t="s">
        <v>188</v>
      </c>
      <c r="C90" s="627">
        <v>95</v>
      </c>
      <c r="D90" s="499" t="s">
        <v>40</v>
      </c>
      <c r="E90" s="491">
        <f>$C$90/E21</f>
        <v>3722.2532954185922</v>
      </c>
      <c r="F90" s="491">
        <f>$C$90/F21</f>
        <v>18611.266477092962</v>
      </c>
      <c r="G90" s="491">
        <f>$C$90/G21</f>
        <v>37222.532954185925</v>
      </c>
      <c r="H90" s="640"/>
      <c r="I90" s="215">
        <f>$C$90/I21</f>
        <v>10.794534556713918</v>
      </c>
      <c r="J90" s="639">
        <v>100</v>
      </c>
    </row>
    <row r="91" spans="1:10" ht="12.75" customHeight="1" x14ac:dyDescent="0.25">
      <c r="A91" s="625"/>
      <c r="B91" s="626"/>
      <c r="C91" s="627"/>
      <c r="D91" s="499" t="s">
        <v>38</v>
      </c>
      <c r="E91" s="491">
        <f>$C$90/E22</f>
        <v>1240.7510984728642</v>
      </c>
      <c r="F91" s="491">
        <f t="shared" ref="F91:I91" si="45">$C$90/F22</f>
        <v>6203.7554923643211</v>
      </c>
      <c r="G91" s="491">
        <f t="shared" si="45"/>
        <v>12407.510984728642</v>
      </c>
      <c r="H91" s="640"/>
      <c r="I91" s="491">
        <f t="shared" si="45"/>
        <v>3.5981781855713058</v>
      </c>
      <c r="J91" s="639"/>
    </row>
    <row r="92" spans="1:10" ht="15" customHeight="1" x14ac:dyDescent="0.25">
      <c r="A92" s="625"/>
      <c r="B92" s="626" t="s">
        <v>189</v>
      </c>
      <c r="C92" s="627">
        <v>115</v>
      </c>
      <c r="D92" s="487" t="s">
        <v>40</v>
      </c>
      <c r="E92" s="492">
        <f>$C$92/E21</f>
        <v>4505.8855681382956</v>
      </c>
      <c r="F92" s="492">
        <f>$C$92/F21</f>
        <v>22529.427840691482</v>
      </c>
      <c r="G92" s="492">
        <f>$C$92/G21</f>
        <v>45058.855681382964</v>
      </c>
      <c r="H92" s="640"/>
      <c r="I92" s="215">
        <f>$C$92/I21</f>
        <v>13.067068147601058</v>
      </c>
      <c r="J92" s="639"/>
    </row>
    <row r="93" spans="1:10" ht="15" customHeight="1" x14ac:dyDescent="0.25">
      <c r="A93" s="625"/>
      <c r="B93" s="626"/>
      <c r="C93" s="627"/>
      <c r="D93" s="487" t="s">
        <v>38</v>
      </c>
      <c r="E93" s="492">
        <f>$C$92/E22</f>
        <v>1501.9618560460988</v>
      </c>
      <c r="F93" s="492">
        <f t="shared" ref="F93:I93" si="46">$C$92/F22</f>
        <v>7509.8092802304946</v>
      </c>
      <c r="G93" s="492">
        <f t="shared" si="46"/>
        <v>15019.618560460989</v>
      </c>
      <c r="H93" s="640"/>
      <c r="I93" s="491">
        <f t="shared" si="46"/>
        <v>4.3556893825336855</v>
      </c>
      <c r="J93" s="639"/>
    </row>
    <row r="94" spans="1:10" ht="15" customHeight="1" x14ac:dyDescent="0.25">
      <c r="A94" s="625"/>
      <c r="B94" s="626" t="s">
        <v>190</v>
      </c>
      <c r="C94" s="627">
        <v>33</v>
      </c>
      <c r="D94" s="487" t="s">
        <v>40</v>
      </c>
      <c r="E94" s="492">
        <f>$C$94/E21</f>
        <v>1292.993249987511</v>
      </c>
      <c r="F94" s="492">
        <f>$C$94/F21</f>
        <v>6464.9662499375554</v>
      </c>
      <c r="G94" s="492">
        <f>$C$94/G21</f>
        <v>12929.932499875111</v>
      </c>
      <c r="H94" s="640"/>
      <c r="I94" s="217">
        <f>$C$94/I21</f>
        <v>3.7496804249637821</v>
      </c>
      <c r="J94" s="639"/>
    </row>
    <row r="95" spans="1:10" ht="15" customHeight="1" x14ac:dyDescent="0.25">
      <c r="A95" s="625"/>
      <c r="B95" s="626"/>
      <c r="C95" s="627"/>
      <c r="D95" s="487" t="s">
        <v>38</v>
      </c>
      <c r="E95" s="492">
        <f>$C$94/E22</f>
        <v>430.99774999583707</v>
      </c>
      <c r="F95" s="492">
        <f t="shared" ref="F95:I95" si="47">$C$94/F22</f>
        <v>2154.9887499791853</v>
      </c>
      <c r="G95" s="492">
        <f t="shared" si="47"/>
        <v>4309.9774999583706</v>
      </c>
      <c r="H95" s="640"/>
      <c r="I95" s="491">
        <f t="shared" si="47"/>
        <v>1.2498934749879271</v>
      </c>
      <c r="J95" s="639"/>
    </row>
    <row r="96" spans="1:10" ht="15" customHeight="1" x14ac:dyDescent="0.25">
      <c r="A96" s="625"/>
      <c r="B96" s="626" t="s">
        <v>242</v>
      </c>
      <c r="C96" s="627">
        <v>19</v>
      </c>
      <c r="D96" s="487" t="s">
        <v>40</v>
      </c>
      <c r="E96" s="492">
        <f>$C$96/(E21*$P$15)</f>
        <v>1045.0941944829126</v>
      </c>
      <c r="F96" s="492">
        <f t="shared" ref="F96:G96" si="48">$C$96/(F21*$P$15)</f>
        <v>5225.4709724145623</v>
      </c>
      <c r="G96" s="492">
        <f t="shared" si="48"/>
        <v>10450.941944829125</v>
      </c>
      <c r="H96" s="640"/>
      <c r="I96" s="215">
        <f>$C$96/I21</f>
        <v>2.1589069113427835</v>
      </c>
      <c r="J96" s="639"/>
    </row>
    <row r="97" spans="1:10" ht="15" customHeight="1" x14ac:dyDescent="0.25">
      <c r="A97" s="625"/>
      <c r="B97" s="626"/>
      <c r="C97" s="627"/>
      <c r="D97" s="487" t="s">
        <v>38</v>
      </c>
      <c r="E97" s="492">
        <f>$C$96/(E22*$P$15)</f>
        <v>348.36473149430418</v>
      </c>
      <c r="F97" s="492">
        <f t="shared" ref="F97:G97" si="49">$C$96/(F22*$P$15)</f>
        <v>1741.8236574715211</v>
      </c>
      <c r="G97" s="492">
        <f t="shared" si="49"/>
        <v>3483.6473149430421</v>
      </c>
      <c r="H97" s="640"/>
      <c r="I97" s="491">
        <f t="shared" ref="I97" si="50">$C$96/I22</f>
        <v>0.71963563711426115</v>
      </c>
      <c r="J97" s="639"/>
    </row>
    <row r="98" spans="1:10" ht="15" customHeight="1" x14ac:dyDescent="0.25">
      <c r="A98" s="625"/>
      <c r="B98" s="626" t="s">
        <v>243</v>
      </c>
      <c r="C98" s="627">
        <v>11</v>
      </c>
      <c r="D98" s="487" t="s">
        <v>40</v>
      </c>
      <c r="E98" s="492">
        <f>$C$98/(E21*$P$15)</f>
        <v>605.05453364800201</v>
      </c>
      <c r="F98" s="492">
        <f t="shared" ref="F98:G98" si="51">$C$98/(F21*$P$15)</f>
        <v>3025.2726682400098</v>
      </c>
      <c r="G98" s="492">
        <f t="shared" si="51"/>
        <v>6050.5453364800196</v>
      </c>
      <c r="H98" s="640"/>
      <c r="I98" s="217">
        <f>$C$98/I21</f>
        <v>1.2498934749879274</v>
      </c>
      <c r="J98" s="639"/>
    </row>
    <row r="99" spans="1:10" ht="15" customHeight="1" x14ac:dyDescent="0.25">
      <c r="A99" s="625"/>
      <c r="B99" s="626"/>
      <c r="C99" s="627"/>
      <c r="D99" s="487" t="s">
        <v>38</v>
      </c>
      <c r="E99" s="492">
        <f>$C$98/(E22*$P$15)</f>
        <v>201.684844549334</v>
      </c>
      <c r="F99" s="492">
        <f t="shared" ref="F99:G99" si="52">$C$98/(F22*$P$15)</f>
        <v>1008.4242227466701</v>
      </c>
      <c r="G99" s="492">
        <f t="shared" si="52"/>
        <v>2016.8484454933403</v>
      </c>
      <c r="H99" s="640"/>
      <c r="I99" s="491">
        <f t="shared" ref="I99" si="53">$C$98/I22</f>
        <v>0.41663115832930908</v>
      </c>
      <c r="J99" s="639"/>
    </row>
    <row r="100" spans="1:10" ht="12.75" customHeight="1" x14ac:dyDescent="0.25">
      <c r="A100" s="625"/>
      <c r="B100" s="626" t="s">
        <v>192</v>
      </c>
      <c r="C100" s="627">
        <v>16</v>
      </c>
      <c r="D100" s="499" t="s">
        <v>40</v>
      </c>
      <c r="E100" s="491">
        <f>$C$100/E21</f>
        <v>626.90581817576287</v>
      </c>
      <c r="F100" s="491">
        <f>$C$100/F21</f>
        <v>3134.5290908788147</v>
      </c>
      <c r="G100" s="491">
        <f>$C$100/G21</f>
        <v>6269.0581817576294</v>
      </c>
      <c r="H100" s="640"/>
      <c r="I100" s="217">
        <f>$C$100/I21</f>
        <v>1.8180268727097124</v>
      </c>
      <c r="J100" s="639">
        <v>100</v>
      </c>
    </row>
    <row r="101" spans="1:10" ht="12.75" customHeight="1" x14ac:dyDescent="0.25">
      <c r="A101" s="625"/>
      <c r="B101" s="626"/>
      <c r="C101" s="627"/>
      <c r="D101" s="499" t="s">
        <v>38</v>
      </c>
      <c r="E101" s="491">
        <f>$C$100/E22</f>
        <v>208.96860605858765</v>
      </c>
      <c r="F101" s="491">
        <f t="shared" ref="F101:I101" si="54">$C$100/F22</f>
        <v>1044.8430302929385</v>
      </c>
      <c r="G101" s="491">
        <f t="shared" si="54"/>
        <v>2089.6860605858769</v>
      </c>
      <c r="H101" s="640"/>
      <c r="I101" s="491">
        <f t="shared" si="54"/>
        <v>0.60600895756990414</v>
      </c>
      <c r="J101" s="639"/>
    </row>
    <row r="103" spans="1:10" x14ac:dyDescent="0.25">
      <c r="A103" s="216" t="s">
        <v>247</v>
      </c>
    </row>
    <row r="104" spans="1:10" ht="38.25" x14ac:dyDescent="0.25">
      <c r="A104" s="484" t="s">
        <v>237</v>
      </c>
      <c r="B104" s="484" t="s">
        <v>238</v>
      </c>
      <c r="C104" s="484" t="s">
        <v>239</v>
      </c>
      <c r="D104" s="484" t="s">
        <v>27</v>
      </c>
      <c r="E104" s="382" t="s">
        <v>201</v>
      </c>
      <c r="F104" s="484" t="s">
        <v>202</v>
      </c>
      <c r="G104" s="484" t="s">
        <v>240</v>
      </c>
      <c r="H104" s="484" t="s">
        <v>241</v>
      </c>
      <c r="I104" s="484" t="s">
        <v>205</v>
      </c>
      <c r="J104" s="238" t="s">
        <v>75</v>
      </c>
    </row>
    <row r="105" spans="1:10" ht="12.75" customHeight="1" x14ac:dyDescent="0.25">
      <c r="A105" s="625" t="s">
        <v>183</v>
      </c>
      <c r="B105" s="626" t="s">
        <v>242</v>
      </c>
      <c r="C105" s="627">
        <v>19</v>
      </c>
      <c r="D105" s="499" t="s">
        <v>40</v>
      </c>
      <c r="E105" s="491">
        <f>$C$105/E23</f>
        <v>699.78361953869535</v>
      </c>
      <c r="F105" s="491">
        <f t="shared" ref="F105:G105" si="55">$C$105/F23</f>
        <v>3498.9180976934767</v>
      </c>
      <c r="G105" s="491">
        <f t="shared" si="55"/>
        <v>6997.8361953869535</v>
      </c>
      <c r="H105" s="622" t="s">
        <v>122</v>
      </c>
      <c r="I105" s="622" t="s">
        <v>122</v>
      </c>
      <c r="J105" s="639">
        <v>100</v>
      </c>
    </row>
    <row r="106" spans="1:10" x14ac:dyDescent="0.25">
      <c r="A106" s="625"/>
      <c r="B106" s="626"/>
      <c r="C106" s="627"/>
      <c r="D106" s="499" t="s">
        <v>38</v>
      </c>
      <c r="E106" s="491">
        <f>$C$105/E24</f>
        <v>233.26120651289844</v>
      </c>
      <c r="F106" s="491">
        <f t="shared" ref="F106:G106" si="56">$C$105/F24</f>
        <v>1166.3060325644922</v>
      </c>
      <c r="G106" s="491">
        <f t="shared" si="56"/>
        <v>2332.6120651289843</v>
      </c>
      <c r="H106" s="623"/>
      <c r="I106" s="623"/>
      <c r="J106" s="639"/>
    </row>
    <row r="107" spans="1:10" x14ac:dyDescent="0.25">
      <c r="A107" s="625"/>
      <c r="B107" s="626" t="s">
        <v>243</v>
      </c>
      <c r="C107" s="627">
        <v>11</v>
      </c>
      <c r="D107" s="499" t="s">
        <v>40</v>
      </c>
      <c r="E107" s="491">
        <f>$C$107/E23</f>
        <v>405.13788499608677</v>
      </c>
      <c r="F107" s="491">
        <f t="shared" ref="F107:G107" si="57">$C$107/F23</f>
        <v>2025.6894249804338</v>
      </c>
      <c r="G107" s="491">
        <f t="shared" si="57"/>
        <v>4051.3788499608677</v>
      </c>
      <c r="H107" s="623"/>
      <c r="I107" s="623"/>
      <c r="J107" s="639"/>
    </row>
    <row r="108" spans="1:10" x14ac:dyDescent="0.25">
      <c r="A108" s="625"/>
      <c r="B108" s="626"/>
      <c r="C108" s="627"/>
      <c r="D108" s="499" t="s">
        <v>38</v>
      </c>
      <c r="E108" s="491">
        <f>$C$107/E24</f>
        <v>135.04596166536226</v>
      </c>
      <c r="F108" s="491">
        <f t="shared" ref="F108:G108" si="58">$C$107/F24</f>
        <v>675.22980832681128</v>
      </c>
      <c r="G108" s="491">
        <f t="shared" si="58"/>
        <v>1350.4596166536226</v>
      </c>
      <c r="H108" s="623"/>
      <c r="I108" s="623"/>
      <c r="J108" s="639"/>
    </row>
    <row r="109" spans="1:10" ht="12.75" customHeight="1" x14ac:dyDescent="0.25">
      <c r="A109" s="625" t="s">
        <v>187</v>
      </c>
      <c r="B109" s="626" t="s">
        <v>188</v>
      </c>
      <c r="C109" s="627">
        <v>95</v>
      </c>
      <c r="D109" s="499" t="s">
        <v>40</v>
      </c>
      <c r="E109" s="491">
        <f>$C$109/E23</f>
        <v>3498.9180976934767</v>
      </c>
      <c r="F109" s="491">
        <f t="shared" ref="F109:G109" si="59">$C$109/F23</f>
        <v>17494.590488467384</v>
      </c>
      <c r="G109" s="491">
        <f t="shared" si="59"/>
        <v>34989.180976934767</v>
      </c>
      <c r="H109" s="623"/>
      <c r="I109" s="623"/>
      <c r="J109" s="639">
        <v>100</v>
      </c>
    </row>
    <row r="110" spans="1:10" ht="15" customHeight="1" x14ac:dyDescent="0.25">
      <c r="A110" s="625"/>
      <c r="B110" s="626"/>
      <c r="C110" s="627"/>
      <c r="D110" s="499" t="s">
        <v>38</v>
      </c>
      <c r="E110" s="491">
        <f>$C$109/E24</f>
        <v>1166.3060325644922</v>
      </c>
      <c r="F110" s="491">
        <f t="shared" ref="F110:G110" si="60">$C$109/F24</f>
        <v>5831.5301628224606</v>
      </c>
      <c r="G110" s="491">
        <f t="shared" si="60"/>
        <v>11663.060325644921</v>
      </c>
      <c r="H110" s="623"/>
      <c r="I110" s="623"/>
      <c r="J110" s="639"/>
    </row>
    <row r="111" spans="1:10" ht="15" customHeight="1" x14ac:dyDescent="0.25">
      <c r="A111" s="625"/>
      <c r="B111" s="626" t="s">
        <v>189</v>
      </c>
      <c r="C111" s="627">
        <v>115</v>
      </c>
      <c r="D111" s="487" t="s">
        <v>40</v>
      </c>
      <c r="E111" s="492">
        <f>$C$111/E23</f>
        <v>4235.5324340499983</v>
      </c>
      <c r="F111" s="492">
        <f t="shared" ref="F111:G111" si="61">$C$111/F23</f>
        <v>21177.662170249991</v>
      </c>
      <c r="G111" s="492">
        <f t="shared" si="61"/>
        <v>42355.324340499981</v>
      </c>
      <c r="H111" s="623"/>
      <c r="I111" s="623"/>
      <c r="J111" s="639"/>
    </row>
    <row r="112" spans="1:10" ht="15" customHeight="1" x14ac:dyDescent="0.25">
      <c r="A112" s="625"/>
      <c r="B112" s="626"/>
      <c r="C112" s="627"/>
      <c r="D112" s="487" t="s">
        <v>38</v>
      </c>
      <c r="E112" s="492">
        <f>$C$111/E24</f>
        <v>1411.8441446833326</v>
      </c>
      <c r="F112" s="492">
        <f t="shared" ref="F112:G112" si="62">$C$111/F24</f>
        <v>7059.2207234166626</v>
      </c>
      <c r="G112" s="492">
        <f t="shared" si="62"/>
        <v>14118.441446833325</v>
      </c>
      <c r="H112" s="623"/>
      <c r="I112" s="623"/>
      <c r="J112" s="639"/>
    </row>
    <row r="113" spans="1:10" ht="15" customHeight="1" x14ac:dyDescent="0.25">
      <c r="A113" s="625"/>
      <c r="B113" s="626" t="s">
        <v>190</v>
      </c>
      <c r="C113" s="627">
        <v>33</v>
      </c>
      <c r="D113" s="487" t="s">
        <v>40</v>
      </c>
      <c r="E113" s="492">
        <f>$C$113/E23</f>
        <v>1215.4136549882603</v>
      </c>
      <c r="F113" s="492">
        <f t="shared" ref="F113:G113" si="63">$C$113/F23</f>
        <v>6077.0682749413018</v>
      </c>
      <c r="G113" s="492">
        <f t="shared" si="63"/>
        <v>12154.136549882604</v>
      </c>
      <c r="H113" s="623"/>
      <c r="I113" s="623"/>
      <c r="J113" s="639"/>
    </row>
    <row r="114" spans="1:10" ht="15" customHeight="1" x14ac:dyDescent="0.25">
      <c r="A114" s="625"/>
      <c r="B114" s="626"/>
      <c r="C114" s="627"/>
      <c r="D114" s="487" t="s">
        <v>38</v>
      </c>
      <c r="E114" s="492">
        <f>$C$113/E24</f>
        <v>405.13788499608677</v>
      </c>
      <c r="F114" s="492">
        <f t="shared" ref="F114:G114" si="64">$C$113/F24</f>
        <v>2025.6894249804336</v>
      </c>
      <c r="G114" s="492">
        <f t="shared" si="64"/>
        <v>4051.3788499608672</v>
      </c>
      <c r="H114" s="623"/>
      <c r="I114" s="623"/>
      <c r="J114" s="639"/>
    </row>
    <row r="115" spans="1:10" ht="15" customHeight="1" x14ac:dyDescent="0.25">
      <c r="A115" s="625"/>
      <c r="B115" s="626" t="s">
        <v>242</v>
      </c>
      <c r="C115" s="627">
        <v>19</v>
      </c>
      <c r="D115" s="487" t="s">
        <v>40</v>
      </c>
      <c r="E115" s="492">
        <f>$C$115/(E23*$P$15)</f>
        <v>982.38854281393776</v>
      </c>
      <c r="F115" s="492">
        <f t="shared" ref="F115:G115" si="65">$C$115/(F23*$P$15)</f>
        <v>4911.9427140696889</v>
      </c>
      <c r="G115" s="492">
        <f t="shared" si="65"/>
        <v>9823.8854281393778</v>
      </c>
      <c r="H115" s="623"/>
      <c r="I115" s="623"/>
      <c r="J115" s="639"/>
    </row>
    <row r="116" spans="1:10" ht="15" customHeight="1" x14ac:dyDescent="0.25">
      <c r="A116" s="625"/>
      <c r="B116" s="626"/>
      <c r="C116" s="627"/>
      <c r="D116" s="487" t="s">
        <v>38</v>
      </c>
      <c r="E116" s="492">
        <f>$C$115/(E24*$P$15)</f>
        <v>327.4628476046459</v>
      </c>
      <c r="F116" s="492">
        <f t="shared" ref="F116:G116" si="66">$C$115/(F24*$P$15)</f>
        <v>1637.3142380232293</v>
      </c>
      <c r="G116" s="492">
        <f t="shared" si="66"/>
        <v>3274.6284760464587</v>
      </c>
      <c r="H116" s="623"/>
      <c r="I116" s="623"/>
      <c r="J116" s="639"/>
    </row>
    <row r="117" spans="1:10" x14ac:dyDescent="0.25">
      <c r="A117" s="625"/>
      <c r="B117" s="626" t="s">
        <v>243</v>
      </c>
      <c r="C117" s="627">
        <v>11</v>
      </c>
      <c r="D117" s="487" t="s">
        <v>40</v>
      </c>
      <c r="E117" s="492">
        <f>$C$117/(E23*$P$15)</f>
        <v>568.75126162912181</v>
      </c>
      <c r="F117" s="492">
        <f t="shared" ref="F117:G117" si="67">$C$117/(F23*$P$15)</f>
        <v>2843.7563081456092</v>
      </c>
      <c r="G117" s="492">
        <f t="shared" si="67"/>
        <v>5687.5126162912184</v>
      </c>
      <c r="H117" s="623"/>
      <c r="I117" s="623"/>
      <c r="J117" s="639"/>
    </row>
    <row r="118" spans="1:10" ht="15" customHeight="1" x14ac:dyDescent="0.25">
      <c r="A118" s="625"/>
      <c r="B118" s="626"/>
      <c r="C118" s="627"/>
      <c r="D118" s="487" t="s">
        <v>38</v>
      </c>
      <c r="E118" s="492">
        <f>$C$117/(E24*$P$15)</f>
        <v>189.58375387637395</v>
      </c>
      <c r="F118" s="492">
        <f t="shared" ref="F118:G118" si="68">$C$117/(F24*$P$15)</f>
        <v>947.91876938186965</v>
      </c>
      <c r="G118" s="492">
        <f t="shared" si="68"/>
        <v>1895.8375387637393</v>
      </c>
      <c r="H118" s="623"/>
      <c r="I118" s="623"/>
      <c r="J118" s="639"/>
    </row>
    <row r="119" spans="1:10" ht="15.75" customHeight="1" x14ac:dyDescent="0.25">
      <c r="A119" s="625"/>
      <c r="B119" s="626" t="s">
        <v>192</v>
      </c>
      <c r="C119" s="627">
        <v>16</v>
      </c>
      <c r="D119" s="499" t="s">
        <v>40</v>
      </c>
      <c r="E119" s="491">
        <f>$C$119/E23</f>
        <v>589.29146908521716</v>
      </c>
      <c r="F119" s="491">
        <f t="shared" ref="F119:G119" si="69">$C$119/F23</f>
        <v>2946.4573454260858</v>
      </c>
      <c r="G119" s="491">
        <f t="shared" si="69"/>
        <v>5892.9146908521716</v>
      </c>
      <c r="H119" s="623"/>
      <c r="I119" s="623"/>
      <c r="J119" s="639">
        <v>100</v>
      </c>
    </row>
    <row r="120" spans="1:10" ht="15" customHeight="1" x14ac:dyDescent="0.25">
      <c r="A120" s="625"/>
      <c r="B120" s="626"/>
      <c r="C120" s="627"/>
      <c r="D120" s="499" t="s">
        <v>38</v>
      </c>
      <c r="E120" s="491">
        <f>$C$119/E24</f>
        <v>196.43048969507237</v>
      </c>
      <c r="F120" s="491">
        <f t="shared" ref="F120:G120" si="70">$C$119/F24</f>
        <v>982.15244847536178</v>
      </c>
      <c r="G120" s="491">
        <f t="shared" si="70"/>
        <v>1964.3048969507236</v>
      </c>
      <c r="H120" s="624"/>
      <c r="I120" s="624"/>
      <c r="J120" s="639"/>
    </row>
    <row r="122" spans="1:10" x14ac:dyDescent="0.25">
      <c r="B122" s="214" t="s">
        <v>248</v>
      </c>
    </row>
    <row r="123" spans="1:10" ht="41.25" x14ac:dyDescent="0.25">
      <c r="B123" s="238" t="s">
        <v>26</v>
      </c>
      <c r="C123" s="484" t="s">
        <v>249</v>
      </c>
      <c r="D123" s="484" t="s">
        <v>27</v>
      </c>
      <c r="E123" s="382" t="s">
        <v>201</v>
      </c>
      <c r="F123" s="484" t="s">
        <v>202</v>
      </c>
      <c r="G123" s="484" t="s">
        <v>240</v>
      </c>
      <c r="H123" s="484" t="s">
        <v>241</v>
      </c>
      <c r="I123" s="484" t="s">
        <v>205</v>
      </c>
      <c r="J123" s="238" t="s">
        <v>75</v>
      </c>
    </row>
    <row r="124" spans="1:10" x14ac:dyDescent="0.25">
      <c r="A124" s="444" t="s">
        <v>215</v>
      </c>
      <c r="B124" s="626" t="s">
        <v>250</v>
      </c>
      <c r="C124" s="625">
        <v>6.0000000000000001E-3</v>
      </c>
      <c r="D124" s="499" t="s">
        <v>40</v>
      </c>
      <c r="E124" s="284">
        <f>$C$124*(E15*$O$4*$O$6)/($O$4*$O$7)</f>
        <v>6.474528846153846E-5</v>
      </c>
      <c r="F124" s="284">
        <f t="shared" ref="F124:H124" si="71">$C$124*(F15*$O$4*$O$6)/($O$4*$O$7)</f>
        <v>1.2949057692307692E-5</v>
      </c>
      <c r="G124" s="284">
        <f t="shared" si="71"/>
        <v>6.474528846153846E-6</v>
      </c>
      <c r="H124" s="284">
        <f t="shared" si="71"/>
        <v>3.237264423076923E-6</v>
      </c>
      <c r="I124" s="499" t="s">
        <v>122</v>
      </c>
      <c r="J124" s="638">
        <v>1E-4</v>
      </c>
    </row>
    <row r="125" spans="1:10" ht="15" customHeight="1" x14ac:dyDescent="0.25">
      <c r="A125" s="444" t="s">
        <v>215</v>
      </c>
      <c r="B125" s="626"/>
      <c r="C125" s="625"/>
      <c r="D125" s="499" t="s">
        <v>38</v>
      </c>
      <c r="E125" s="284">
        <f>$C$124*(E16*$O$4*$O$5)/($O$4*$O$7)</f>
        <v>2.5062692307692305E-4</v>
      </c>
      <c r="F125" s="284">
        <f t="shared" ref="F125:H125" si="72">$C$124*(F16*$O$4*$O$5)/($O$4*$O$7)</f>
        <v>5.0125384615384617E-5</v>
      </c>
      <c r="G125" s="284">
        <f t="shared" si="72"/>
        <v>2.5062692307692309E-5</v>
      </c>
      <c r="H125" s="284">
        <f t="shared" si="72"/>
        <v>1.2531346153846154E-5</v>
      </c>
      <c r="I125" s="499" t="s">
        <v>122</v>
      </c>
      <c r="J125" s="638"/>
    </row>
    <row r="126" spans="1:10" x14ac:dyDescent="0.25">
      <c r="A126" s="444" t="s">
        <v>221</v>
      </c>
      <c r="B126" s="626" t="s">
        <v>244</v>
      </c>
      <c r="C126" s="625"/>
      <c r="D126" s="499" t="s">
        <v>40</v>
      </c>
      <c r="E126" s="284">
        <f>$C$124*(E17*$O$4*$O$6)/($O$4*$O$7)</f>
        <v>6.2802929807692306E-5</v>
      </c>
      <c r="F126" s="284">
        <f t="shared" ref="F126:H126" si="73">$C$124*(F17*$O$4*$O$6)/($O$4*$O$7)</f>
        <v>1.2560585961538461E-5</v>
      </c>
      <c r="G126" s="284">
        <f t="shared" si="73"/>
        <v>6.2802929807692306E-6</v>
      </c>
      <c r="H126" s="284">
        <f t="shared" si="73"/>
        <v>3.1401464903846153E-6</v>
      </c>
      <c r="I126" s="284">
        <f t="shared" ref="I126:I131" si="74">$C$124*(I17*$O$3*$O$4*$O$5)/($O$3*$O$4*$O$7)</f>
        <v>2.7943461538461539E-2</v>
      </c>
      <c r="J126" s="638">
        <v>1E-4</v>
      </c>
    </row>
    <row r="127" spans="1:10" ht="15" customHeight="1" x14ac:dyDescent="0.25">
      <c r="A127" s="444" t="s">
        <v>221</v>
      </c>
      <c r="B127" s="626"/>
      <c r="C127" s="625"/>
      <c r="D127" s="499" t="s">
        <v>38</v>
      </c>
      <c r="E127" s="284">
        <f>$C$124*(E18*$O$4*$O$5)/($O$4*$O$7)</f>
        <v>2.431081153846154E-4</v>
      </c>
      <c r="F127" s="284">
        <f t="shared" ref="F127:H127" si="75">$C$124*(F18*$O$4*$O$5)/($O$4*$O$7)</f>
        <v>4.8621623076923072E-5</v>
      </c>
      <c r="G127" s="284">
        <f t="shared" si="75"/>
        <v>2.4310811538461536E-5</v>
      </c>
      <c r="H127" s="284">
        <f t="shared" si="75"/>
        <v>1.2155405769230768E-5</v>
      </c>
      <c r="I127" s="284">
        <f t="shared" si="74"/>
        <v>8.3830384615384626E-2</v>
      </c>
      <c r="J127" s="638"/>
    </row>
    <row r="128" spans="1:10" x14ac:dyDescent="0.25">
      <c r="A128" s="444" t="s">
        <v>223</v>
      </c>
      <c r="B128" s="626" t="s">
        <v>245</v>
      </c>
      <c r="C128" s="625"/>
      <c r="D128" s="499" t="s">
        <v>40</v>
      </c>
      <c r="E128" s="284">
        <f>$C$124*(E19*$O$4*$O$6)/($O$4*$O$7)</f>
        <v>5.1796230769230775E-5</v>
      </c>
      <c r="F128" s="284">
        <f t="shared" ref="F128:G128" si="76">$C$124*(F19*$O$4*$O$6)/($O$4*$O$7)</f>
        <v>1.0359246153846155E-5</v>
      </c>
      <c r="G128" s="284">
        <f t="shared" si="76"/>
        <v>5.1796230769230776E-6</v>
      </c>
      <c r="H128" s="284" t="s">
        <v>122</v>
      </c>
      <c r="I128" s="284">
        <f t="shared" si="74"/>
        <v>2.3046153846153848E-2</v>
      </c>
      <c r="J128" s="638">
        <v>1E-4</v>
      </c>
    </row>
    <row r="129" spans="1:10" ht="15" customHeight="1" x14ac:dyDescent="0.25">
      <c r="A129" s="444" t="s">
        <v>223</v>
      </c>
      <c r="B129" s="626"/>
      <c r="C129" s="625"/>
      <c r="D129" s="499" t="s">
        <v>38</v>
      </c>
      <c r="E129" s="284">
        <f>$C$124*(E20*$O$4*$O$5)/($O$4*$O$7)</f>
        <v>2.0050153846153847E-4</v>
      </c>
      <c r="F129" s="284">
        <f t="shared" ref="F129:G129" si="77">$C$124*(F20*$O$4*$O$5)/($O$4*$O$7)</f>
        <v>4.0100307692307694E-5</v>
      </c>
      <c r="G129" s="284">
        <f t="shared" si="77"/>
        <v>2.0050153846153847E-5</v>
      </c>
      <c r="H129" s="284" t="s">
        <v>122</v>
      </c>
      <c r="I129" s="284">
        <f t="shared" si="74"/>
        <v>6.9138461538461551E-2</v>
      </c>
      <c r="J129" s="638"/>
    </row>
    <row r="130" spans="1:10" x14ac:dyDescent="0.25">
      <c r="A130" s="444" t="s">
        <v>227</v>
      </c>
      <c r="B130" s="626" t="s">
        <v>246</v>
      </c>
      <c r="C130" s="625"/>
      <c r="D130" s="499" t="s">
        <v>40</v>
      </c>
      <c r="E130" s="284">
        <f>$C$124*(E21*$O$4*$O$6)/($O$4*$O$7)</f>
        <v>6.0860571153846159E-5</v>
      </c>
      <c r="F130" s="284">
        <f t="shared" ref="F130:G130" si="78">$C$124*(F21*$O$4*$O$6)/($O$4*$O$7)</f>
        <v>1.217211423076923E-5</v>
      </c>
      <c r="G130" s="284">
        <f t="shared" si="78"/>
        <v>6.0860571153846152E-6</v>
      </c>
      <c r="H130" s="284" t="s">
        <v>122</v>
      </c>
      <c r="I130" s="284">
        <f t="shared" si="74"/>
        <v>2.7079230769230769E-2</v>
      </c>
      <c r="J130" s="638">
        <v>1E-4</v>
      </c>
    </row>
    <row r="131" spans="1:10" ht="15" customHeight="1" x14ac:dyDescent="0.25">
      <c r="A131" s="444" t="s">
        <v>227</v>
      </c>
      <c r="B131" s="626"/>
      <c r="C131" s="625"/>
      <c r="D131" s="499" t="s">
        <v>38</v>
      </c>
      <c r="E131" s="284">
        <f>$C$124*(E22*$O$4*$O$5)/($O$4*$O$7)</f>
        <v>2.3558930769230766E-4</v>
      </c>
      <c r="F131" s="284">
        <f t="shared" ref="F131:G131" si="79">$C$124*(F22*$O$4*$O$5)/($O$4*$O$7)</f>
        <v>4.7117861538461526E-5</v>
      </c>
      <c r="G131" s="284">
        <f t="shared" si="79"/>
        <v>2.3558930769230763E-5</v>
      </c>
      <c r="H131" s="284" t="s">
        <v>122</v>
      </c>
      <c r="I131" s="284">
        <f t="shared" si="74"/>
        <v>8.1237692307692316E-2</v>
      </c>
      <c r="J131" s="638"/>
    </row>
    <row r="132" spans="1:10" x14ac:dyDescent="0.25">
      <c r="A132" s="445" t="s">
        <v>229</v>
      </c>
      <c r="B132" s="626" t="s">
        <v>251</v>
      </c>
      <c r="C132" s="625"/>
      <c r="D132" s="499" t="s">
        <v>40</v>
      </c>
      <c r="E132" s="284">
        <f>$C$124*(E23*$O$4*$O$6)/($O$4*$O$7)</f>
        <v>6.474528846153846E-5</v>
      </c>
      <c r="F132" s="284">
        <f t="shared" ref="F132:G132" si="80">$C$124*(F23*$O$4*$O$6)/($O$4*$O$7)</f>
        <v>1.2949057692307692E-5</v>
      </c>
      <c r="G132" s="284">
        <f t="shared" si="80"/>
        <v>6.474528846153846E-6</v>
      </c>
      <c r="H132" s="284" t="s">
        <v>122</v>
      </c>
      <c r="I132" s="284" t="s">
        <v>122</v>
      </c>
      <c r="J132" s="638">
        <v>1E-4</v>
      </c>
    </row>
    <row r="133" spans="1:10" ht="15" customHeight="1" x14ac:dyDescent="0.25">
      <c r="A133" s="445" t="s">
        <v>229</v>
      </c>
      <c r="B133" s="626"/>
      <c r="C133" s="625"/>
      <c r="D133" s="499" t="s">
        <v>38</v>
      </c>
      <c r="E133" s="284">
        <f>$C$124*(E24*$O$4*$O$5)/($O$4*$O$7)</f>
        <v>2.5062692307692305E-4</v>
      </c>
      <c r="F133" s="284">
        <f t="shared" ref="F133:G133" si="81">$C$124*(F24*$O$4*$O$5)/($O$4*$O$7)</f>
        <v>5.0125384615384617E-5</v>
      </c>
      <c r="G133" s="284">
        <f t="shared" si="81"/>
        <v>2.5062692307692309E-5</v>
      </c>
      <c r="H133" s="284" t="s">
        <v>122</v>
      </c>
      <c r="I133" s="284" t="s">
        <v>122</v>
      </c>
      <c r="J133" s="638"/>
    </row>
    <row r="136" spans="1:10" x14ac:dyDescent="0.25">
      <c r="G136" s="291"/>
    </row>
  </sheetData>
  <sheetProtection algorithmName="SHA-512" hashValue="TVcNucve4OB/bFHkNX518dYsQVXvIkdQvYvfQWUHpCjjA8/V0JWzdGrHn5r31aIKXXuyGr7RRUMKqLZzmxNyfA==" saltValue="P4BFT+7ultzPMxiQT7898Q==" spinCount="100000" sheet="1" objects="1" scenarios="1"/>
  <mergeCells count="150">
    <mergeCell ref="M5:M6"/>
    <mergeCell ref="J128:J129"/>
    <mergeCell ref="J130:J131"/>
    <mergeCell ref="J132:J133"/>
    <mergeCell ref="H105:H120"/>
    <mergeCell ref="I105:I120"/>
    <mergeCell ref="J119:J120"/>
    <mergeCell ref="J109:J118"/>
    <mergeCell ref="J105:J108"/>
    <mergeCell ref="J124:J125"/>
    <mergeCell ref="J126:J127"/>
    <mergeCell ref="I29:I44"/>
    <mergeCell ref="J29:J32"/>
    <mergeCell ref="J33:J42"/>
    <mergeCell ref="J43:J44"/>
    <mergeCell ref="J90:J99"/>
    <mergeCell ref="H86:H101"/>
    <mergeCell ref="J100:J101"/>
    <mergeCell ref="J86:J89"/>
    <mergeCell ref="J48:J51"/>
    <mergeCell ref="J52:J61"/>
    <mergeCell ref="J62:J63"/>
    <mergeCell ref="J81:J82"/>
    <mergeCell ref="J71:J80"/>
    <mergeCell ref="C107:C108"/>
    <mergeCell ref="C109:C110"/>
    <mergeCell ref="C111:C112"/>
    <mergeCell ref="C113:C114"/>
    <mergeCell ref="B132:B133"/>
    <mergeCell ref="B130:B131"/>
    <mergeCell ref="B128:B129"/>
    <mergeCell ref="B126:B127"/>
    <mergeCell ref="B124:B125"/>
    <mergeCell ref="C124:C133"/>
    <mergeCell ref="B109:B110"/>
    <mergeCell ref="B107:B108"/>
    <mergeCell ref="A29:A32"/>
    <mergeCell ref="C31:C32"/>
    <mergeCell ref="B73:B74"/>
    <mergeCell ref="B96:B97"/>
    <mergeCell ref="B86:B87"/>
    <mergeCell ref="B88:B89"/>
    <mergeCell ref="B90:B91"/>
    <mergeCell ref="B92:B93"/>
    <mergeCell ref="B94:B95"/>
    <mergeCell ref="C86:C87"/>
    <mergeCell ref="C88:C89"/>
    <mergeCell ref="C90:C91"/>
    <mergeCell ref="C92:C93"/>
    <mergeCell ref="C94:C95"/>
    <mergeCell ref="C96:C97"/>
    <mergeCell ref="A33:A44"/>
    <mergeCell ref="C33:C34"/>
    <mergeCell ref="C35:C36"/>
    <mergeCell ref="C37:C38"/>
    <mergeCell ref="C39:C40"/>
    <mergeCell ref="C41:C42"/>
    <mergeCell ref="C43:C44"/>
    <mergeCell ref="B33:B34"/>
    <mergeCell ref="B35:B36"/>
    <mergeCell ref="B29:B30"/>
    <mergeCell ref="B31:B32"/>
    <mergeCell ref="C54:C55"/>
    <mergeCell ref="C56:C57"/>
    <mergeCell ref="C58:C59"/>
    <mergeCell ref="C60:C61"/>
    <mergeCell ref="C62:C63"/>
    <mergeCell ref="B67:B68"/>
    <mergeCell ref="B69:B70"/>
    <mergeCell ref="C21:C22"/>
    <mergeCell ref="C23:C24"/>
    <mergeCell ref="C4:C5"/>
    <mergeCell ref="B75:B76"/>
    <mergeCell ref="B77:B78"/>
    <mergeCell ref="B79:B80"/>
    <mergeCell ref="B81:B82"/>
    <mergeCell ref="A71:A82"/>
    <mergeCell ref="C81:C82"/>
    <mergeCell ref="C79:C80"/>
    <mergeCell ref="C77:C78"/>
    <mergeCell ref="C75:C76"/>
    <mergeCell ref="C73:C74"/>
    <mergeCell ref="C71:C72"/>
    <mergeCell ref="B37:B38"/>
    <mergeCell ref="B39:B40"/>
    <mergeCell ref="B41:B42"/>
    <mergeCell ref="C69:C70"/>
    <mergeCell ref="C6:C7"/>
    <mergeCell ref="C8:C9"/>
    <mergeCell ref="C10:C11"/>
    <mergeCell ref="C12:C13"/>
    <mergeCell ref="B43:B44"/>
    <mergeCell ref="C29:C30"/>
    <mergeCell ref="C100:C101"/>
    <mergeCell ref="B71:B72"/>
    <mergeCell ref="C67:C68"/>
    <mergeCell ref="E3:I3"/>
    <mergeCell ref="E14:I14"/>
    <mergeCell ref="E27:I27"/>
    <mergeCell ref="A4:A5"/>
    <mergeCell ref="A6:A7"/>
    <mergeCell ref="A8:A9"/>
    <mergeCell ref="A10:A11"/>
    <mergeCell ref="A12:A13"/>
    <mergeCell ref="B4:B5"/>
    <mergeCell ref="B6:B7"/>
    <mergeCell ref="B8:B9"/>
    <mergeCell ref="B10:B11"/>
    <mergeCell ref="B12:B13"/>
    <mergeCell ref="B15:B16"/>
    <mergeCell ref="B17:B18"/>
    <mergeCell ref="B19:B20"/>
    <mergeCell ref="B21:B22"/>
    <mergeCell ref="B23:B24"/>
    <mergeCell ref="C15:C16"/>
    <mergeCell ref="C17:C18"/>
    <mergeCell ref="C19:C20"/>
    <mergeCell ref="A109:A120"/>
    <mergeCell ref="B119:B120"/>
    <mergeCell ref="C119:C120"/>
    <mergeCell ref="B117:B118"/>
    <mergeCell ref="C117:C118"/>
    <mergeCell ref="B115:B116"/>
    <mergeCell ref="C115:C116"/>
    <mergeCell ref="B113:B114"/>
    <mergeCell ref="B111:B112"/>
    <mergeCell ref="J67:J70"/>
    <mergeCell ref="H67:H82"/>
    <mergeCell ref="A105:A108"/>
    <mergeCell ref="B105:B106"/>
    <mergeCell ref="C105:C106"/>
    <mergeCell ref="A52:A63"/>
    <mergeCell ref="A48:A51"/>
    <mergeCell ref="B48:B49"/>
    <mergeCell ref="B50:B51"/>
    <mergeCell ref="B52:B53"/>
    <mergeCell ref="B54:B55"/>
    <mergeCell ref="B56:B57"/>
    <mergeCell ref="B58:B59"/>
    <mergeCell ref="B60:B61"/>
    <mergeCell ref="B62:B63"/>
    <mergeCell ref="C48:C49"/>
    <mergeCell ref="C50:C51"/>
    <mergeCell ref="C52:C53"/>
    <mergeCell ref="A67:A70"/>
    <mergeCell ref="B98:B99"/>
    <mergeCell ref="B100:B101"/>
    <mergeCell ref="A90:A101"/>
    <mergeCell ref="A86:A89"/>
    <mergeCell ref="C98:C99"/>
  </mergeCells>
  <conditionalFormatting sqref="E29:H42">
    <cfRule type="cellIs" dxfId="20" priority="6" operator="lessThan">
      <formula>$J$29</formula>
    </cfRule>
  </conditionalFormatting>
  <conditionalFormatting sqref="E43:H44">
    <cfRule type="cellIs" dxfId="19" priority="18" operator="lessThan">
      <formula>$J$43</formula>
    </cfRule>
  </conditionalFormatting>
  <conditionalFormatting sqref="E48:I61">
    <cfRule type="cellIs" dxfId="18" priority="17" operator="lessThan">
      <formula>$J$52</formula>
    </cfRule>
  </conditionalFormatting>
  <conditionalFormatting sqref="E62:I63">
    <cfRule type="cellIs" dxfId="17" priority="16" operator="lessThan">
      <formula>$J$62</formula>
    </cfRule>
  </conditionalFormatting>
  <conditionalFormatting sqref="E67:I67 I68:I80 E68:G80">
    <cfRule type="cellIs" dxfId="16" priority="15" operator="lessThan">
      <formula>$J$71</formula>
    </cfRule>
  </conditionalFormatting>
  <conditionalFormatting sqref="I81:I82 E81:G82">
    <cfRule type="cellIs" dxfId="15" priority="14" operator="lessThan">
      <formula>$J$81</formula>
    </cfRule>
  </conditionalFormatting>
  <conditionalFormatting sqref="I86:I99 E86:G99">
    <cfRule type="cellIs" dxfId="14" priority="13" operator="lessThan">
      <formula>$J$90</formula>
    </cfRule>
  </conditionalFormatting>
  <conditionalFormatting sqref="E100:G101 I100:I101">
    <cfRule type="cellIs" dxfId="13" priority="12" operator="lessThan">
      <formula>$J$100</formula>
    </cfRule>
  </conditionalFormatting>
  <conditionalFormatting sqref="H86">
    <cfRule type="cellIs" dxfId="12" priority="11" operator="lessThan">
      <formula>$J$71</formula>
    </cfRule>
  </conditionalFormatting>
  <conditionalFormatting sqref="H105">
    <cfRule type="cellIs" dxfId="11" priority="10" operator="lessThan">
      <formula>$J$71</formula>
    </cfRule>
  </conditionalFormatting>
  <conditionalFormatting sqref="I105">
    <cfRule type="cellIs" dxfId="10" priority="9" operator="lessThan">
      <formula>$J$71</formula>
    </cfRule>
  </conditionalFormatting>
  <conditionalFormatting sqref="E105:G118">
    <cfRule type="cellIs" dxfId="9" priority="8" operator="lessThan">
      <formula>$J$109</formula>
    </cfRule>
  </conditionalFormatting>
  <conditionalFormatting sqref="E119:G120">
    <cfRule type="cellIs" dxfId="8" priority="7" operator="lessThan">
      <formula>$J$119</formula>
    </cfRule>
  </conditionalFormatting>
  <conditionalFormatting sqref="I128:I131 E124:H125 E126:I127 E128:G133">
    <cfRule type="cellIs" dxfId="7" priority="5" operator="greaterThan">
      <formula>$J$124</formula>
    </cfRule>
  </conditionalFormatting>
  <pageMargins left="0.7" right="0.7" top="0.75" bottom="0.75" header="0.3" footer="0.3"/>
  <pageSetup scale="57" orientation="portrait" r:id="rId1"/>
  <rowBreaks count="2" manualBreakCount="2">
    <brk id="64" max="18" man="1"/>
    <brk id="102" max="18" man="1"/>
  </rowBreaks>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S46"/>
  <sheetViews>
    <sheetView workbookViewId="0"/>
  </sheetViews>
  <sheetFormatPr defaultRowHeight="12.75" x14ac:dyDescent="0.2"/>
  <cols>
    <col min="1" max="1" width="9.140625" style="37"/>
    <col min="2" max="2" width="24.28515625" style="40" customWidth="1"/>
    <col min="3" max="3" width="13.5703125" style="40" customWidth="1"/>
    <col min="4" max="4" width="12.140625" style="40" bestFit="1" customWidth="1"/>
    <col min="5" max="11" width="9.140625" style="40"/>
    <col min="12" max="12" width="9.85546875" style="40" customWidth="1"/>
    <col min="13" max="13" width="13" style="511" customWidth="1"/>
    <col min="14" max="14" width="13.7109375" style="511" customWidth="1"/>
    <col min="15" max="15" width="9.140625" style="506"/>
    <col min="16" max="16" width="30.140625" style="507" customWidth="1"/>
    <col min="17" max="17" width="21.85546875" style="37" bestFit="1" customWidth="1"/>
    <col min="18" max="16384" width="9.140625" style="40"/>
  </cols>
  <sheetData>
    <row r="1" spans="1:19" ht="13.5" thickBot="1" x14ac:dyDescent="0.25">
      <c r="B1" s="38" t="s">
        <v>252</v>
      </c>
      <c r="C1" s="39"/>
      <c r="D1" s="39"/>
      <c r="E1" s="39"/>
      <c r="F1" s="39"/>
      <c r="G1" s="39"/>
      <c r="H1" s="39"/>
      <c r="I1" s="39"/>
      <c r="J1" s="39"/>
      <c r="K1" s="39"/>
      <c r="L1" s="39"/>
      <c r="M1" s="505"/>
      <c r="N1" s="505"/>
    </row>
    <row r="2" spans="1:19" ht="24.75" customHeight="1" x14ac:dyDescent="0.2">
      <c r="A2" s="641" t="s">
        <v>110</v>
      </c>
      <c r="B2" s="643" t="s">
        <v>111</v>
      </c>
      <c r="C2" s="645" t="s">
        <v>253</v>
      </c>
      <c r="D2" s="645" t="s">
        <v>26</v>
      </c>
      <c r="E2" s="647" t="s">
        <v>28</v>
      </c>
      <c r="F2" s="647"/>
      <c r="G2" s="647" t="s">
        <v>29</v>
      </c>
      <c r="H2" s="647"/>
      <c r="I2" s="647" t="s">
        <v>30</v>
      </c>
      <c r="J2" s="647"/>
      <c r="K2" s="647" t="s">
        <v>31</v>
      </c>
      <c r="L2" s="647"/>
      <c r="M2" s="647" t="s">
        <v>254</v>
      </c>
      <c r="N2" s="647"/>
      <c r="O2" s="647" t="s">
        <v>115</v>
      </c>
      <c r="P2" s="649" t="s">
        <v>255</v>
      </c>
      <c r="Q2" s="651" t="s">
        <v>20</v>
      </c>
    </row>
    <row r="3" spans="1:19" x14ac:dyDescent="0.2">
      <c r="A3" s="642"/>
      <c r="B3" s="644"/>
      <c r="C3" s="646"/>
      <c r="D3" s="646"/>
      <c r="E3" s="648" t="s">
        <v>256</v>
      </c>
      <c r="F3" s="653"/>
      <c r="G3" s="648" t="s">
        <v>257</v>
      </c>
      <c r="H3" s="653"/>
      <c r="I3" s="648" t="s">
        <v>258</v>
      </c>
      <c r="J3" s="653"/>
      <c r="K3" s="648" t="s">
        <v>259</v>
      </c>
      <c r="L3" s="653"/>
      <c r="M3" s="648" t="s">
        <v>260</v>
      </c>
      <c r="N3" s="654"/>
      <c r="O3" s="648"/>
      <c r="P3" s="650"/>
      <c r="Q3" s="652"/>
    </row>
    <row r="4" spans="1:19" ht="25.5" x14ac:dyDescent="0.2">
      <c r="A4" s="642"/>
      <c r="B4" s="644"/>
      <c r="C4" s="646"/>
      <c r="D4" s="646"/>
      <c r="E4" s="493" t="s">
        <v>83</v>
      </c>
      <c r="F4" s="493" t="s">
        <v>85</v>
      </c>
      <c r="G4" s="493" t="s">
        <v>83</v>
      </c>
      <c r="H4" s="493" t="s">
        <v>85</v>
      </c>
      <c r="I4" s="493" t="s">
        <v>83</v>
      </c>
      <c r="J4" s="493" t="s">
        <v>85</v>
      </c>
      <c r="K4" s="493" t="s">
        <v>83</v>
      </c>
      <c r="L4" s="493" t="s">
        <v>85</v>
      </c>
      <c r="M4" s="508" t="s">
        <v>83</v>
      </c>
      <c r="N4" s="508" t="s">
        <v>85</v>
      </c>
      <c r="O4" s="648"/>
      <c r="P4" s="650"/>
      <c r="Q4" s="652"/>
    </row>
    <row r="5" spans="1:19" ht="25.5" x14ac:dyDescent="0.25">
      <c r="A5" s="297">
        <v>1</v>
      </c>
      <c r="B5" s="298" t="s">
        <v>21</v>
      </c>
      <c r="C5" s="298" t="s">
        <v>118</v>
      </c>
      <c r="D5" s="299" t="s">
        <v>37</v>
      </c>
      <c r="E5" s="300">
        <v>0.27</v>
      </c>
      <c r="F5" s="300">
        <v>0.09</v>
      </c>
      <c r="G5" s="300">
        <v>0.27</v>
      </c>
      <c r="H5" s="301">
        <v>0.09</v>
      </c>
      <c r="I5" s="302">
        <v>0.27</v>
      </c>
      <c r="J5" s="302">
        <v>0.09</v>
      </c>
      <c r="K5" s="302">
        <v>0.13846153846153847</v>
      </c>
      <c r="L5" s="302">
        <v>3.5769230769230768E-2</v>
      </c>
      <c r="M5" s="302">
        <f>I5*260/365</f>
        <v>0.19232876712328767</v>
      </c>
      <c r="N5" s="302">
        <f>J5*260/365</f>
        <v>6.4109589041095885E-2</v>
      </c>
      <c r="O5" s="303">
        <v>3</v>
      </c>
      <c r="P5" s="304" t="s">
        <v>261</v>
      </c>
      <c r="Q5" s="42" t="s">
        <v>80</v>
      </c>
      <c r="S5" s="43"/>
    </row>
    <row r="6" spans="1:19" ht="25.5" x14ac:dyDescent="0.2">
      <c r="A6" s="297">
        <v>4</v>
      </c>
      <c r="B6" s="442" t="s">
        <v>124</v>
      </c>
      <c r="C6" s="298" t="s">
        <v>118</v>
      </c>
      <c r="D6" s="299" t="s">
        <v>37</v>
      </c>
      <c r="E6" s="301"/>
      <c r="F6" s="300">
        <v>7.2</v>
      </c>
      <c r="G6" s="301"/>
      <c r="H6" s="300">
        <v>7.2</v>
      </c>
      <c r="I6" s="301"/>
      <c r="J6" s="300">
        <v>7.2</v>
      </c>
      <c r="K6" s="300"/>
      <c r="L6" s="300">
        <v>2.8615384615384616</v>
      </c>
      <c r="M6" s="302"/>
      <c r="N6" s="302">
        <f t="shared" ref="N6:N44" si="0">J6*260/365</f>
        <v>5.1287671232876715</v>
      </c>
      <c r="O6" s="303">
        <v>1</v>
      </c>
      <c r="P6" s="442" t="s">
        <v>262</v>
      </c>
      <c r="Q6" s="42" t="s">
        <v>80</v>
      </c>
    </row>
    <row r="7" spans="1:19" ht="25.5" x14ac:dyDescent="0.2">
      <c r="A7" s="297">
        <v>4</v>
      </c>
      <c r="B7" s="442" t="s">
        <v>124</v>
      </c>
      <c r="C7" s="298" t="s">
        <v>118</v>
      </c>
      <c r="D7" s="299" t="s">
        <v>39</v>
      </c>
      <c r="E7" s="300">
        <v>0.27550000000000002</v>
      </c>
      <c r="F7" s="300">
        <v>0.155</v>
      </c>
      <c r="G7" s="300">
        <v>0.27550000000000002</v>
      </c>
      <c r="H7" s="300">
        <v>0.155</v>
      </c>
      <c r="I7" s="300">
        <v>0.27550000000000002</v>
      </c>
      <c r="J7" s="300">
        <v>0.155</v>
      </c>
      <c r="K7" s="300">
        <v>0.14128205128205129</v>
      </c>
      <c r="L7" s="300">
        <v>6.1602564102564102E-2</v>
      </c>
      <c r="M7" s="302">
        <f t="shared" ref="M7:M44" si="1">I7*260/365</f>
        <v>0.19624657534246578</v>
      </c>
      <c r="N7" s="302">
        <f t="shared" si="0"/>
        <v>0.11041095890410958</v>
      </c>
      <c r="O7" s="303">
        <v>10</v>
      </c>
      <c r="P7" s="442" t="s">
        <v>262</v>
      </c>
      <c r="Q7" s="42" t="s">
        <v>80</v>
      </c>
    </row>
    <row r="8" spans="1:19" x14ac:dyDescent="0.2">
      <c r="A8" s="297" t="s">
        <v>127</v>
      </c>
      <c r="B8" s="298" t="s">
        <v>128</v>
      </c>
      <c r="C8" s="298" t="s">
        <v>118</v>
      </c>
      <c r="D8" s="305" t="s">
        <v>37</v>
      </c>
      <c r="E8" s="300">
        <v>49.3</v>
      </c>
      <c r="F8" s="300">
        <v>6.7</v>
      </c>
      <c r="G8" s="300">
        <v>49.3</v>
      </c>
      <c r="H8" s="300">
        <v>6.7</v>
      </c>
      <c r="I8" s="300">
        <v>49.3</v>
      </c>
      <c r="J8" s="300">
        <v>6.7</v>
      </c>
      <c r="K8" s="300">
        <v>25.282051282051277</v>
      </c>
      <c r="L8" s="300">
        <v>2.6628205128205127</v>
      </c>
      <c r="M8" s="302">
        <f t="shared" si="1"/>
        <v>35.11780821917808</v>
      </c>
      <c r="N8" s="302">
        <f t="shared" si="0"/>
        <v>4.7726027397260271</v>
      </c>
      <c r="O8" s="303">
        <v>155</v>
      </c>
      <c r="P8" s="304" t="s">
        <v>263</v>
      </c>
      <c r="Q8" s="42" t="s">
        <v>80</v>
      </c>
    </row>
    <row r="9" spans="1:19" x14ac:dyDescent="0.2">
      <c r="A9" s="297" t="s">
        <v>127</v>
      </c>
      <c r="B9" s="298" t="s">
        <v>128</v>
      </c>
      <c r="C9" s="298" t="s">
        <v>118</v>
      </c>
      <c r="D9" s="299" t="s">
        <v>39</v>
      </c>
      <c r="E9" s="300">
        <v>0.45999999999999941</v>
      </c>
      <c r="F9" s="300">
        <v>0.1</v>
      </c>
      <c r="G9" s="300">
        <v>0.45999999999999941</v>
      </c>
      <c r="H9" s="300">
        <v>0.1</v>
      </c>
      <c r="I9" s="300">
        <v>0.45999999999999941</v>
      </c>
      <c r="J9" s="300">
        <v>0.1</v>
      </c>
      <c r="K9" s="300">
        <v>0.23589743589743564</v>
      </c>
      <c r="L9" s="300">
        <v>3.9743589743589741E-2</v>
      </c>
      <c r="M9" s="302">
        <f t="shared" si="1"/>
        <v>0.3276712328767119</v>
      </c>
      <c r="N9" s="302">
        <f t="shared" si="0"/>
        <v>7.1232876712328766E-2</v>
      </c>
      <c r="O9" s="303">
        <v>75</v>
      </c>
      <c r="P9" s="304" t="s">
        <v>263</v>
      </c>
      <c r="Q9" s="42" t="s">
        <v>80</v>
      </c>
    </row>
    <row r="10" spans="1:19" ht="25.5" x14ac:dyDescent="0.2">
      <c r="A10" s="297">
        <v>8</v>
      </c>
      <c r="B10" s="298" t="s">
        <v>141</v>
      </c>
      <c r="C10" s="298" t="s">
        <v>118</v>
      </c>
      <c r="D10" s="305" t="s">
        <v>37</v>
      </c>
      <c r="E10" s="300">
        <v>7.4</v>
      </c>
      <c r="F10" s="301">
        <v>4.3</v>
      </c>
      <c r="G10" s="301">
        <v>7.4</v>
      </c>
      <c r="H10" s="301">
        <v>4.3</v>
      </c>
      <c r="I10" s="301">
        <v>7.4</v>
      </c>
      <c r="J10" s="301">
        <v>4.3</v>
      </c>
      <c r="K10" s="301">
        <v>3.7948717948717947</v>
      </c>
      <c r="L10" s="300">
        <v>1.7089743589743589</v>
      </c>
      <c r="M10" s="302">
        <f t="shared" si="1"/>
        <v>5.2712328767123289</v>
      </c>
      <c r="N10" s="302">
        <f t="shared" si="0"/>
        <v>3.0630136986301371</v>
      </c>
      <c r="O10" s="303">
        <v>5</v>
      </c>
      <c r="P10" s="304" t="s">
        <v>264</v>
      </c>
      <c r="Q10" s="42" t="s">
        <v>80</v>
      </c>
    </row>
    <row r="11" spans="1:19" ht="25.5" x14ac:dyDescent="0.2">
      <c r="A11" s="297">
        <v>8</v>
      </c>
      <c r="B11" s="298" t="s">
        <v>141</v>
      </c>
      <c r="C11" s="298" t="s">
        <v>118</v>
      </c>
      <c r="D11" s="305" t="s">
        <v>39</v>
      </c>
      <c r="E11" s="300">
        <v>2.6</v>
      </c>
      <c r="F11" s="300">
        <v>2.6</v>
      </c>
      <c r="G11" s="300">
        <v>2.6</v>
      </c>
      <c r="H11" s="300">
        <v>2.6</v>
      </c>
      <c r="I11" s="300">
        <v>2.6</v>
      </c>
      <c r="J11" s="300">
        <v>2.6</v>
      </c>
      <c r="K11" s="300">
        <v>1.3333333333333333</v>
      </c>
      <c r="L11" s="300">
        <v>1.0333333333333334</v>
      </c>
      <c r="M11" s="302">
        <f t="shared" si="1"/>
        <v>1.8520547945205479</v>
      </c>
      <c r="N11" s="302">
        <f t="shared" si="0"/>
        <v>1.8520547945205479</v>
      </c>
      <c r="O11" s="303">
        <v>1</v>
      </c>
      <c r="P11" s="304" t="s">
        <v>265</v>
      </c>
      <c r="Q11" s="42" t="s">
        <v>80</v>
      </c>
    </row>
    <row r="12" spans="1:19" x14ac:dyDescent="0.2">
      <c r="A12" s="297">
        <v>9</v>
      </c>
      <c r="B12" s="298" t="s">
        <v>146</v>
      </c>
      <c r="C12" s="298" t="s">
        <v>131</v>
      </c>
      <c r="D12" s="305" t="s">
        <v>37</v>
      </c>
      <c r="E12" s="300">
        <v>31.55</v>
      </c>
      <c r="F12" s="300">
        <v>16.05</v>
      </c>
      <c r="G12" s="300">
        <v>31.55</v>
      </c>
      <c r="H12" s="300">
        <v>16.05</v>
      </c>
      <c r="I12" s="300">
        <v>31.55</v>
      </c>
      <c r="J12" s="300">
        <v>16.05</v>
      </c>
      <c r="K12" s="300">
        <v>16.179487179487179</v>
      </c>
      <c r="L12" s="300">
        <v>6.3788461538461538</v>
      </c>
      <c r="M12" s="302">
        <f t="shared" si="1"/>
        <v>22.473972602739725</v>
      </c>
      <c r="N12" s="302">
        <f t="shared" si="0"/>
        <v>11.432876712328767</v>
      </c>
      <c r="O12" s="303">
        <v>6</v>
      </c>
      <c r="P12" s="304" t="s">
        <v>266</v>
      </c>
      <c r="Q12" s="42" t="s">
        <v>80</v>
      </c>
    </row>
    <row r="13" spans="1:19" x14ac:dyDescent="0.2">
      <c r="A13" s="297">
        <v>9</v>
      </c>
      <c r="B13" s="298" t="s">
        <v>146</v>
      </c>
      <c r="C13" s="298" t="s">
        <v>133</v>
      </c>
      <c r="D13" s="305" t="s">
        <v>37</v>
      </c>
      <c r="E13" s="300">
        <v>5.5</v>
      </c>
      <c r="F13" s="300">
        <v>5.5</v>
      </c>
      <c r="G13" s="300">
        <v>5.5</v>
      </c>
      <c r="H13" s="300"/>
      <c r="I13" s="300">
        <v>5.5</v>
      </c>
      <c r="J13" s="300"/>
      <c r="K13" s="300">
        <v>2.8205128205128207</v>
      </c>
      <c r="L13" s="300">
        <v>2.1858974358974357</v>
      </c>
      <c r="M13" s="302">
        <f t="shared" si="1"/>
        <v>3.9178082191780823</v>
      </c>
      <c r="N13" s="302">
        <f t="shared" si="0"/>
        <v>0</v>
      </c>
      <c r="O13" s="303">
        <v>1</v>
      </c>
      <c r="P13" s="304" t="s">
        <v>267</v>
      </c>
      <c r="Q13" s="42" t="s">
        <v>80</v>
      </c>
    </row>
    <row r="14" spans="1:19" x14ac:dyDescent="0.2">
      <c r="A14" s="297">
        <v>10</v>
      </c>
      <c r="B14" s="298" t="s">
        <v>79</v>
      </c>
      <c r="C14" s="298" t="s">
        <v>131</v>
      </c>
      <c r="D14" s="299" t="s">
        <v>82</v>
      </c>
      <c r="E14" s="301">
        <v>253.57999999999998</v>
      </c>
      <c r="F14" s="301">
        <v>132.80000000000001</v>
      </c>
      <c r="G14" s="301">
        <v>253.57999999999998</v>
      </c>
      <c r="H14" s="301">
        <v>132.80000000000001</v>
      </c>
      <c r="I14" s="301">
        <v>253.58</v>
      </c>
      <c r="J14" s="301">
        <v>132.80000000000001</v>
      </c>
      <c r="K14" s="301">
        <v>130.04102564102564</v>
      </c>
      <c r="L14" s="301">
        <v>52.779487179487177</v>
      </c>
      <c r="M14" s="302">
        <f t="shared" si="1"/>
        <v>180.63232876712328</v>
      </c>
      <c r="N14" s="302">
        <f t="shared" si="0"/>
        <v>94.597260273972609</v>
      </c>
      <c r="O14" s="303">
        <v>83</v>
      </c>
      <c r="P14" s="304" t="s">
        <v>263</v>
      </c>
      <c r="Q14" s="42" t="s">
        <v>268</v>
      </c>
    </row>
    <row r="15" spans="1:19" x14ac:dyDescent="0.2">
      <c r="A15" s="297">
        <v>10</v>
      </c>
      <c r="B15" s="298" t="s">
        <v>79</v>
      </c>
      <c r="C15" s="298" t="s">
        <v>133</v>
      </c>
      <c r="D15" s="299" t="s">
        <v>82</v>
      </c>
      <c r="E15" s="300">
        <v>41.899999999999949</v>
      </c>
      <c r="F15" s="300">
        <v>17.809999999999999</v>
      </c>
      <c r="G15" s="300">
        <v>41.899999999999949</v>
      </c>
      <c r="H15" s="300">
        <v>17.809999999999999</v>
      </c>
      <c r="I15" s="300">
        <v>41.899999999999949</v>
      </c>
      <c r="J15" s="300">
        <v>17.809999999999999</v>
      </c>
      <c r="K15" s="300">
        <v>21.487179487179461</v>
      </c>
      <c r="L15" s="300">
        <v>7.0783333333333323</v>
      </c>
      <c r="M15" s="302">
        <f t="shared" si="1"/>
        <v>29.846575342465719</v>
      </c>
      <c r="N15" s="302">
        <f t="shared" si="0"/>
        <v>12.686575342465751</v>
      </c>
      <c r="O15" s="303">
        <v>49</v>
      </c>
      <c r="P15" s="304" t="s">
        <v>263</v>
      </c>
      <c r="Q15" s="42" t="s">
        <v>269</v>
      </c>
    </row>
    <row r="16" spans="1:19" x14ac:dyDescent="0.2">
      <c r="A16" s="297">
        <v>10</v>
      </c>
      <c r="B16" s="298" t="s">
        <v>79</v>
      </c>
      <c r="C16" s="298" t="s">
        <v>131</v>
      </c>
      <c r="D16" s="299" t="s">
        <v>84</v>
      </c>
      <c r="E16" s="301">
        <v>210.85000000000002</v>
      </c>
      <c r="F16" s="301">
        <v>127.2</v>
      </c>
      <c r="G16" s="301">
        <v>210.85000000000002</v>
      </c>
      <c r="H16" s="301">
        <v>127.2</v>
      </c>
      <c r="I16" s="301">
        <v>210.85000000000005</v>
      </c>
      <c r="J16" s="301">
        <v>127.2</v>
      </c>
      <c r="K16" s="301">
        <v>108.12820512820515</v>
      </c>
      <c r="L16" s="301">
        <v>50.553846153846152</v>
      </c>
      <c r="M16" s="302">
        <f t="shared" si="1"/>
        <v>150.19452054794525</v>
      </c>
      <c r="N16" s="302">
        <f t="shared" si="0"/>
        <v>90.608219178082194</v>
      </c>
      <c r="O16" s="303">
        <v>31</v>
      </c>
      <c r="P16" s="304" t="s">
        <v>263</v>
      </c>
      <c r="Q16" s="42" t="s">
        <v>268</v>
      </c>
      <c r="R16" s="40" t="s">
        <v>270</v>
      </c>
    </row>
    <row r="17" spans="1:18" x14ac:dyDescent="0.2">
      <c r="A17" s="297">
        <v>10</v>
      </c>
      <c r="B17" s="298" t="s">
        <v>79</v>
      </c>
      <c r="C17" s="298" t="s">
        <v>133</v>
      </c>
      <c r="D17" s="299" t="s">
        <v>84</v>
      </c>
      <c r="E17" s="300">
        <v>28.839999999999996</v>
      </c>
      <c r="F17" s="300">
        <v>18</v>
      </c>
      <c r="G17" s="300">
        <v>28.839999999999996</v>
      </c>
      <c r="H17" s="300">
        <v>18</v>
      </c>
      <c r="I17" s="300">
        <v>28.839999999999993</v>
      </c>
      <c r="J17" s="300">
        <v>18</v>
      </c>
      <c r="K17" s="300">
        <v>14.789743589743587</v>
      </c>
      <c r="L17" s="300">
        <v>7.1538461538461542</v>
      </c>
      <c r="M17" s="302">
        <f t="shared" si="1"/>
        <v>20.543561643835609</v>
      </c>
      <c r="N17" s="302">
        <f t="shared" si="0"/>
        <v>12.821917808219178</v>
      </c>
      <c r="O17" s="303">
        <v>9</v>
      </c>
      <c r="P17" s="304" t="s">
        <v>263</v>
      </c>
      <c r="Q17" s="42" t="s">
        <v>269</v>
      </c>
      <c r="R17" s="40" t="s">
        <v>270</v>
      </c>
    </row>
    <row r="18" spans="1:18" x14ac:dyDescent="0.2">
      <c r="A18" s="297">
        <v>10</v>
      </c>
      <c r="B18" s="298" t="s">
        <v>79</v>
      </c>
      <c r="C18" s="298" t="s">
        <v>131</v>
      </c>
      <c r="D18" s="299" t="s">
        <v>39</v>
      </c>
      <c r="E18" s="300">
        <v>128.66000000000003</v>
      </c>
      <c r="F18" s="300">
        <v>3</v>
      </c>
      <c r="G18" s="300">
        <v>128.66000000000003</v>
      </c>
      <c r="H18" s="300">
        <v>3</v>
      </c>
      <c r="I18" s="300">
        <v>128.66000000000003</v>
      </c>
      <c r="J18" s="300">
        <v>3</v>
      </c>
      <c r="K18" s="300">
        <v>65.979487179487194</v>
      </c>
      <c r="L18" s="300">
        <v>1.1923076923076923</v>
      </c>
      <c r="M18" s="302">
        <f t="shared" si="1"/>
        <v>91.648219178082201</v>
      </c>
      <c r="N18" s="302">
        <f t="shared" si="0"/>
        <v>2.1369863013698631</v>
      </c>
      <c r="O18" s="303">
        <v>39</v>
      </c>
      <c r="P18" s="304" t="s">
        <v>263</v>
      </c>
      <c r="Q18" s="42" t="s">
        <v>268</v>
      </c>
      <c r="R18" s="40" t="s">
        <v>271</v>
      </c>
    </row>
    <row r="19" spans="1:18" x14ac:dyDescent="0.2">
      <c r="A19" s="297">
        <v>10</v>
      </c>
      <c r="B19" s="298" t="s">
        <v>79</v>
      </c>
      <c r="C19" s="298" t="s">
        <v>133</v>
      </c>
      <c r="D19" s="299" t="s">
        <v>39</v>
      </c>
      <c r="E19" s="300">
        <v>5.4799999999999995</v>
      </c>
      <c r="F19" s="300">
        <v>2</v>
      </c>
      <c r="G19" s="300">
        <v>5.4799999999999995</v>
      </c>
      <c r="H19" s="300">
        <v>2</v>
      </c>
      <c r="I19" s="300">
        <v>5.48</v>
      </c>
      <c r="J19" s="300">
        <v>2</v>
      </c>
      <c r="K19" s="300">
        <v>2.81025641025641</v>
      </c>
      <c r="L19" s="300">
        <v>0.79487179487179482</v>
      </c>
      <c r="M19" s="302">
        <f t="shared" si="1"/>
        <v>3.9035616438356171</v>
      </c>
      <c r="N19" s="302">
        <f t="shared" si="0"/>
        <v>1.4246575342465753</v>
      </c>
      <c r="O19" s="303">
        <v>17</v>
      </c>
      <c r="P19" s="304" t="s">
        <v>263</v>
      </c>
      <c r="Q19" s="42" t="s">
        <v>269</v>
      </c>
      <c r="R19" s="40" t="s">
        <v>271</v>
      </c>
    </row>
    <row r="20" spans="1:18" ht="25.5" x14ac:dyDescent="0.2">
      <c r="A20" s="453">
        <v>12</v>
      </c>
      <c r="B20" s="454" t="s">
        <v>95</v>
      </c>
      <c r="C20" s="454" t="s">
        <v>118</v>
      </c>
      <c r="D20" s="455" t="s">
        <v>37</v>
      </c>
      <c r="E20" s="456">
        <v>50.202999999999989</v>
      </c>
      <c r="F20" s="457">
        <v>29.384999999999998</v>
      </c>
      <c r="G20" s="457">
        <v>50.202999999999989</v>
      </c>
      <c r="H20" s="457">
        <v>29.384999999999998</v>
      </c>
      <c r="I20" s="457">
        <v>50.202999999999996</v>
      </c>
      <c r="J20" s="457">
        <v>29.385000000000002</v>
      </c>
      <c r="K20" s="457">
        <v>25.7451282051282</v>
      </c>
      <c r="L20" s="457">
        <v>11.678653846153846</v>
      </c>
      <c r="M20" s="509">
        <f>I20*293/365</f>
        <v>40.299942465753425</v>
      </c>
      <c r="N20" s="509">
        <f>J20*258/365</f>
        <v>20.770767123287673</v>
      </c>
      <c r="O20" s="458">
        <v>8</v>
      </c>
      <c r="P20" s="459" t="s">
        <v>272</v>
      </c>
      <c r="Q20" s="460" t="s">
        <v>80</v>
      </c>
    </row>
    <row r="21" spans="1:18" ht="25.5" x14ac:dyDescent="0.2">
      <c r="A21" s="453">
        <v>12</v>
      </c>
      <c r="B21" s="454" t="s">
        <v>95</v>
      </c>
      <c r="C21" s="454" t="s">
        <v>118</v>
      </c>
      <c r="D21" s="455" t="s">
        <v>39</v>
      </c>
      <c r="E21" s="456">
        <v>20.637500000000003</v>
      </c>
      <c r="F21" s="457">
        <v>12.065000000000001</v>
      </c>
      <c r="G21" s="457">
        <v>20.637500000000003</v>
      </c>
      <c r="H21" s="457">
        <v>12.065000000000001</v>
      </c>
      <c r="I21" s="457">
        <v>20.637500000000006</v>
      </c>
      <c r="J21" s="457">
        <v>12.065000000000001</v>
      </c>
      <c r="K21" s="457">
        <v>10.583333333333336</v>
      </c>
      <c r="L21" s="456">
        <v>4.795064102564103</v>
      </c>
      <c r="M21" s="509">
        <f>I21*293/365</f>
        <v>16.566541095890418</v>
      </c>
      <c r="N21" s="509">
        <f>J21*258/365</f>
        <v>8.5281369863013712</v>
      </c>
      <c r="O21" s="458">
        <v>6</v>
      </c>
      <c r="P21" s="459" t="s">
        <v>272</v>
      </c>
      <c r="Q21" s="460" t="s">
        <v>80</v>
      </c>
    </row>
    <row r="22" spans="1:18" x14ac:dyDescent="0.2">
      <c r="A22" s="297" t="s">
        <v>273</v>
      </c>
      <c r="B22" s="298" t="s">
        <v>166</v>
      </c>
      <c r="C22" s="298" t="s">
        <v>118</v>
      </c>
      <c r="D22" s="305" t="s">
        <v>37</v>
      </c>
      <c r="E22" s="300">
        <v>4.7250000000000005</v>
      </c>
      <c r="F22" s="300">
        <v>0.89999999999999991</v>
      </c>
      <c r="G22" s="300">
        <v>4.7250000000000005</v>
      </c>
      <c r="H22" s="300">
        <v>0.89999999999999991</v>
      </c>
      <c r="I22" s="300">
        <v>4.7250000000000005</v>
      </c>
      <c r="J22" s="300">
        <v>0.89999999999999991</v>
      </c>
      <c r="K22" s="300">
        <v>2.4230769230769234</v>
      </c>
      <c r="L22" s="300">
        <v>0.35769230769230764</v>
      </c>
      <c r="M22" s="302">
        <f t="shared" si="1"/>
        <v>3.3657534246575347</v>
      </c>
      <c r="N22" s="302">
        <f t="shared" si="0"/>
        <v>0.64109589041095882</v>
      </c>
      <c r="O22" s="303">
        <v>6</v>
      </c>
      <c r="P22" s="304" t="s">
        <v>274</v>
      </c>
      <c r="Q22" s="42" t="s">
        <v>80</v>
      </c>
    </row>
    <row r="23" spans="1:18" ht="38.25" x14ac:dyDescent="0.2">
      <c r="A23" s="306" t="s">
        <v>120</v>
      </c>
      <c r="B23" s="298" t="s">
        <v>275</v>
      </c>
      <c r="C23" s="298" t="s">
        <v>118</v>
      </c>
      <c r="D23" s="305" t="s">
        <v>37</v>
      </c>
      <c r="E23" s="379">
        <v>5.6735647905710188E-2</v>
      </c>
      <c r="F23" s="379">
        <v>3.8276951008507105E-3</v>
      </c>
      <c r="G23" s="379">
        <v>5.6735647905710188E-2</v>
      </c>
      <c r="H23" s="379">
        <v>3.8276951008507105E-3</v>
      </c>
      <c r="I23" s="379">
        <v>5.6735647905710188E-2</v>
      </c>
      <c r="J23" s="379">
        <v>3.8276951008507105E-3</v>
      </c>
      <c r="K23" s="379">
        <v>2.9095204054210351E-2</v>
      </c>
      <c r="L23" s="379">
        <v>1.52126343751759E-3</v>
      </c>
      <c r="M23" s="302">
        <f t="shared" si="1"/>
        <v>4.0414434124615477E-2</v>
      </c>
      <c r="N23" s="302">
        <f t="shared" si="0"/>
        <v>2.7265773321128351E-3</v>
      </c>
      <c r="O23" s="307" t="s">
        <v>122</v>
      </c>
      <c r="P23" s="52" t="s">
        <v>276</v>
      </c>
      <c r="Q23" s="42" t="s">
        <v>22</v>
      </c>
    </row>
    <row r="24" spans="1:18" ht="38.25" x14ac:dyDescent="0.2">
      <c r="A24" s="297">
        <v>6</v>
      </c>
      <c r="B24" s="308" t="s">
        <v>170</v>
      </c>
      <c r="C24" s="298" t="s">
        <v>118</v>
      </c>
      <c r="D24" s="305" t="s">
        <v>37</v>
      </c>
      <c r="E24" s="300">
        <v>5.6735647905710188E-2</v>
      </c>
      <c r="F24" s="379">
        <v>3.8276951008507105E-3</v>
      </c>
      <c r="G24" s="300">
        <v>5.6735647905710188E-2</v>
      </c>
      <c r="H24" s="379">
        <v>3.8276951008507105E-3</v>
      </c>
      <c r="I24" s="300">
        <v>5.6735647905710188E-2</v>
      </c>
      <c r="J24" s="379">
        <v>3.8276951008507105E-3</v>
      </c>
      <c r="K24" s="300">
        <v>2.9095204054210351E-2</v>
      </c>
      <c r="L24" s="379">
        <v>1.52126343751759E-3</v>
      </c>
      <c r="M24" s="302">
        <f t="shared" si="1"/>
        <v>4.0414434124615477E-2</v>
      </c>
      <c r="N24" s="302">
        <f t="shared" si="0"/>
        <v>2.7265773321128351E-3</v>
      </c>
      <c r="O24" s="307" t="s">
        <v>122</v>
      </c>
      <c r="P24" s="52" t="s">
        <v>276</v>
      </c>
      <c r="Q24" s="42" t="s">
        <v>22</v>
      </c>
    </row>
    <row r="25" spans="1:18" x14ac:dyDescent="0.2">
      <c r="A25" s="297" t="s">
        <v>127</v>
      </c>
      <c r="B25" s="298" t="s">
        <v>128</v>
      </c>
      <c r="C25" s="298" t="s">
        <v>131</v>
      </c>
      <c r="D25" s="307" t="s">
        <v>37</v>
      </c>
      <c r="E25" s="50">
        <v>23.920133169087983</v>
      </c>
      <c r="F25" s="309">
        <v>1.8905581385715959</v>
      </c>
      <c r="G25" s="50">
        <v>23.920133169087983</v>
      </c>
      <c r="H25" s="309">
        <v>1.8905581385715959</v>
      </c>
      <c r="I25" s="50">
        <v>23.920133169087983</v>
      </c>
      <c r="J25" s="309">
        <v>1.8905581385715959</v>
      </c>
      <c r="K25" s="51">
        <v>9.1906205336949274</v>
      </c>
      <c r="L25" s="51">
        <v>0.70415209401355316</v>
      </c>
      <c r="M25" s="302">
        <f t="shared" si="1"/>
        <v>17.038998969761302</v>
      </c>
      <c r="N25" s="302">
        <f t="shared" si="0"/>
        <v>1.3466989480236025</v>
      </c>
      <c r="O25" s="307" t="s">
        <v>122</v>
      </c>
      <c r="P25" s="52" t="s">
        <v>277</v>
      </c>
      <c r="Q25" s="42" t="s">
        <v>22</v>
      </c>
    </row>
    <row r="26" spans="1:18" x14ac:dyDescent="0.2">
      <c r="A26" s="297" t="s">
        <v>127</v>
      </c>
      <c r="B26" s="298" t="s">
        <v>128</v>
      </c>
      <c r="C26" s="298" t="s">
        <v>133</v>
      </c>
      <c r="D26" s="307" t="s">
        <v>37</v>
      </c>
      <c r="E26" s="300">
        <f>E25*0.1</f>
        <v>2.3920133169087983</v>
      </c>
      <c r="F26" s="300">
        <f t="shared" ref="F26:L26" si="2">F25*0.1</f>
        <v>0.18905581385715961</v>
      </c>
      <c r="G26" s="300">
        <f t="shared" si="2"/>
        <v>2.3920133169087983</v>
      </c>
      <c r="H26" s="300">
        <f t="shared" si="2"/>
        <v>0.18905581385715961</v>
      </c>
      <c r="I26" s="300">
        <f t="shared" si="2"/>
        <v>2.3920133169087983</v>
      </c>
      <c r="J26" s="300">
        <f t="shared" si="2"/>
        <v>0.18905581385715961</v>
      </c>
      <c r="K26" s="300">
        <f t="shared" si="2"/>
        <v>0.91906205336949276</v>
      </c>
      <c r="L26" s="300">
        <f t="shared" si="2"/>
        <v>7.0415209401355316E-2</v>
      </c>
      <c r="M26" s="302">
        <f t="shared" si="1"/>
        <v>1.7038998969761301</v>
      </c>
      <c r="N26" s="302">
        <f t="shared" si="0"/>
        <v>0.13466989480236027</v>
      </c>
      <c r="O26" s="307" t="s">
        <v>122</v>
      </c>
      <c r="P26" s="52" t="s">
        <v>278</v>
      </c>
      <c r="Q26" s="42" t="s">
        <v>22</v>
      </c>
    </row>
    <row r="27" spans="1:18" x14ac:dyDescent="0.2">
      <c r="A27" s="297" t="s">
        <v>127</v>
      </c>
      <c r="B27" s="298" t="s">
        <v>128</v>
      </c>
      <c r="C27" s="298" t="s">
        <v>131</v>
      </c>
      <c r="D27" s="307" t="s">
        <v>39</v>
      </c>
      <c r="E27" s="53">
        <v>13.503685579547476</v>
      </c>
      <c r="F27" s="54">
        <v>0.99321211455798364</v>
      </c>
      <c r="G27" s="53">
        <v>13.503685579547476</v>
      </c>
      <c r="H27" s="54">
        <v>0.99321211455798364</v>
      </c>
      <c r="I27" s="53">
        <v>13.503685579547476</v>
      </c>
      <c r="J27" s="54">
        <v>0.99321211455798364</v>
      </c>
      <c r="K27" s="51">
        <v>5.2331719026842798</v>
      </c>
      <c r="L27" s="51">
        <v>0.37142214305275534</v>
      </c>
      <c r="M27" s="302">
        <f t="shared" si="1"/>
        <v>9.6190637004995718</v>
      </c>
      <c r="N27" s="302">
        <f t="shared" si="0"/>
        <v>0.70749356105500205</v>
      </c>
      <c r="O27" s="307" t="s">
        <v>122</v>
      </c>
      <c r="P27" s="52" t="s">
        <v>277</v>
      </c>
      <c r="Q27" s="42" t="s">
        <v>22</v>
      </c>
    </row>
    <row r="28" spans="1:18" x14ac:dyDescent="0.2">
      <c r="A28" s="297" t="s">
        <v>127</v>
      </c>
      <c r="B28" s="298" t="s">
        <v>128</v>
      </c>
      <c r="C28" s="298" t="s">
        <v>133</v>
      </c>
      <c r="D28" s="307" t="s">
        <v>39</v>
      </c>
      <c r="E28" s="300">
        <f>E27*0.1</f>
        <v>1.3503685579547478</v>
      </c>
      <c r="F28" s="300">
        <f t="shared" ref="F28:L28" si="3">F27*0.1</f>
        <v>9.9321211455798364E-2</v>
      </c>
      <c r="G28" s="300">
        <f t="shared" si="3"/>
        <v>1.3503685579547478</v>
      </c>
      <c r="H28" s="300">
        <f t="shared" si="3"/>
        <v>9.9321211455798364E-2</v>
      </c>
      <c r="I28" s="300">
        <f t="shared" si="3"/>
        <v>1.3503685579547478</v>
      </c>
      <c r="J28" s="300">
        <f t="shared" si="3"/>
        <v>9.9321211455798364E-2</v>
      </c>
      <c r="K28" s="300">
        <f t="shared" si="3"/>
        <v>0.52331719026842805</v>
      </c>
      <c r="L28" s="300">
        <f t="shared" si="3"/>
        <v>3.7142214305275534E-2</v>
      </c>
      <c r="M28" s="302">
        <f t="shared" si="1"/>
        <v>0.96190637004995738</v>
      </c>
      <c r="N28" s="302">
        <f t="shared" si="0"/>
        <v>7.0749356105500205E-2</v>
      </c>
      <c r="O28" s="307" t="s">
        <v>122</v>
      </c>
      <c r="P28" s="52" t="s">
        <v>278</v>
      </c>
      <c r="Q28" s="42" t="s">
        <v>22</v>
      </c>
    </row>
    <row r="29" spans="1:18" ht="25.5" x14ac:dyDescent="0.2">
      <c r="A29" s="297" t="s">
        <v>137</v>
      </c>
      <c r="B29" s="308" t="s">
        <v>138</v>
      </c>
      <c r="C29" s="298" t="s">
        <v>118</v>
      </c>
      <c r="D29" s="303" t="s">
        <v>37</v>
      </c>
      <c r="E29" s="300">
        <f>E25*0.02</f>
        <v>0.47840266338175969</v>
      </c>
      <c r="F29" s="300">
        <f>F25*0.02</f>
        <v>3.7811162771431921E-2</v>
      </c>
      <c r="G29" s="300">
        <f t="shared" ref="G29:L29" si="4">G25*0.02</f>
        <v>0.47840266338175969</v>
      </c>
      <c r="H29" s="300">
        <f t="shared" si="4"/>
        <v>3.7811162771431921E-2</v>
      </c>
      <c r="I29" s="300">
        <f t="shared" si="4"/>
        <v>0.47840266338175969</v>
      </c>
      <c r="J29" s="300">
        <f t="shared" si="4"/>
        <v>3.7811162771431921E-2</v>
      </c>
      <c r="K29" s="300">
        <f t="shared" si="4"/>
        <v>0.18381241067389856</v>
      </c>
      <c r="L29" s="300">
        <f t="shared" si="4"/>
        <v>1.4083041880271064E-2</v>
      </c>
      <c r="M29" s="302">
        <f t="shared" si="1"/>
        <v>0.34077997939522608</v>
      </c>
      <c r="N29" s="302">
        <f t="shared" si="0"/>
        <v>2.6933978960472053E-2</v>
      </c>
      <c r="O29" s="303" t="s">
        <v>122</v>
      </c>
      <c r="P29" s="52" t="s">
        <v>279</v>
      </c>
      <c r="Q29" s="42" t="s">
        <v>22</v>
      </c>
    </row>
    <row r="30" spans="1:18" ht="25.5" x14ac:dyDescent="0.2">
      <c r="A30" s="297" t="s">
        <v>137</v>
      </c>
      <c r="B30" s="308" t="s">
        <v>138</v>
      </c>
      <c r="C30" s="298" t="s">
        <v>118</v>
      </c>
      <c r="D30" s="303" t="s">
        <v>39</v>
      </c>
      <c r="E30" s="300">
        <f>E27*0.02</f>
        <v>0.27007371159094951</v>
      </c>
      <c r="F30" s="300">
        <f>F27*0.02</f>
        <v>1.9864242291159673E-2</v>
      </c>
      <c r="G30" s="300">
        <f t="shared" ref="G30:L30" si="5">G27*0.02</f>
        <v>0.27007371159094951</v>
      </c>
      <c r="H30" s="300">
        <f t="shared" si="5"/>
        <v>1.9864242291159673E-2</v>
      </c>
      <c r="I30" s="300">
        <f t="shared" si="5"/>
        <v>0.27007371159094951</v>
      </c>
      <c r="J30" s="300">
        <f t="shared" si="5"/>
        <v>1.9864242291159673E-2</v>
      </c>
      <c r="K30" s="300">
        <f t="shared" si="5"/>
        <v>0.1046634380536856</v>
      </c>
      <c r="L30" s="300">
        <f t="shared" si="5"/>
        <v>7.4284428610551069E-3</v>
      </c>
      <c r="M30" s="302">
        <f t="shared" si="1"/>
        <v>0.19238127400999144</v>
      </c>
      <c r="N30" s="302">
        <f t="shared" si="0"/>
        <v>1.4149871221100041E-2</v>
      </c>
      <c r="O30" s="303" t="s">
        <v>122</v>
      </c>
      <c r="P30" s="52" t="s">
        <v>279</v>
      </c>
      <c r="Q30" s="42" t="s">
        <v>22</v>
      </c>
    </row>
    <row r="31" spans="1:18" x14ac:dyDescent="0.2">
      <c r="A31" s="297">
        <v>8</v>
      </c>
      <c r="B31" s="298" t="s">
        <v>141</v>
      </c>
      <c r="C31" s="310" t="s">
        <v>131</v>
      </c>
      <c r="D31" s="311" t="s">
        <v>37</v>
      </c>
      <c r="E31" s="312">
        <v>11.906980692228602</v>
      </c>
      <c r="F31" s="312">
        <v>0.54917448007285896</v>
      </c>
      <c r="G31" s="312">
        <v>11.906980692228602</v>
      </c>
      <c r="H31" s="312">
        <v>0.54917448007285896</v>
      </c>
      <c r="I31" s="312">
        <v>11.906980692228602</v>
      </c>
      <c r="J31" s="312">
        <v>0.54917448007285896</v>
      </c>
      <c r="K31" s="55">
        <v>4.5876015763268558</v>
      </c>
      <c r="L31" s="55">
        <v>0.20580223559421534</v>
      </c>
      <c r="M31" s="302">
        <f t="shared" si="1"/>
        <v>8.48168487665599</v>
      </c>
      <c r="N31" s="302">
        <f t="shared" si="0"/>
        <v>0.39119278032587212</v>
      </c>
      <c r="O31" s="311" t="s">
        <v>122</v>
      </c>
      <c r="P31" s="52" t="s">
        <v>280</v>
      </c>
      <c r="Q31" s="42" t="s">
        <v>22</v>
      </c>
    </row>
    <row r="32" spans="1:18" x14ac:dyDescent="0.2">
      <c r="A32" s="297">
        <v>8</v>
      </c>
      <c r="B32" s="298" t="s">
        <v>141</v>
      </c>
      <c r="C32" s="298" t="s">
        <v>131</v>
      </c>
      <c r="D32" s="307" t="s">
        <v>39</v>
      </c>
      <c r="E32" s="54">
        <v>6.8336608657196898</v>
      </c>
      <c r="F32" s="54">
        <v>0.28903529754944107</v>
      </c>
      <c r="G32" s="54">
        <v>6.8336608657196898</v>
      </c>
      <c r="H32" s="54">
        <v>0.28903529754944107</v>
      </c>
      <c r="I32" s="54">
        <v>6.8336608657196898</v>
      </c>
      <c r="J32" s="54">
        <v>0.28903529754944107</v>
      </c>
      <c r="K32" s="51">
        <v>2.6348398633942103</v>
      </c>
      <c r="L32" s="51">
        <v>0.10822382341502729</v>
      </c>
      <c r="M32" s="302">
        <f t="shared" si="1"/>
        <v>4.8678132194167656</v>
      </c>
      <c r="N32" s="302">
        <f t="shared" si="0"/>
        <v>0.20588815715850595</v>
      </c>
      <c r="O32" s="307" t="s">
        <v>122</v>
      </c>
      <c r="P32" s="52" t="s">
        <v>280</v>
      </c>
      <c r="Q32" s="42" t="s">
        <v>22</v>
      </c>
    </row>
    <row r="33" spans="1:17" x14ac:dyDescent="0.2">
      <c r="A33" s="297">
        <v>9</v>
      </c>
      <c r="B33" s="298" t="s">
        <v>146</v>
      </c>
      <c r="C33" s="298" t="s">
        <v>118</v>
      </c>
      <c r="D33" s="307" t="s">
        <v>37</v>
      </c>
      <c r="E33" s="303">
        <v>22.53</v>
      </c>
      <c r="F33" s="300">
        <v>6.37</v>
      </c>
      <c r="G33" s="303">
        <v>22.53</v>
      </c>
      <c r="H33" s="300">
        <v>6.37</v>
      </c>
      <c r="I33" s="303">
        <v>22.53</v>
      </c>
      <c r="J33" s="300">
        <v>6.37</v>
      </c>
      <c r="K33" s="303">
        <v>9.0500000000000007</v>
      </c>
      <c r="L33" s="303">
        <v>2.38</v>
      </c>
      <c r="M33" s="302">
        <f t="shared" si="1"/>
        <v>16.048767123287671</v>
      </c>
      <c r="N33" s="302">
        <f t="shared" si="0"/>
        <v>4.5375342465753423</v>
      </c>
      <c r="O33" s="307" t="s">
        <v>122</v>
      </c>
      <c r="P33" s="52" t="s">
        <v>281</v>
      </c>
      <c r="Q33" s="42" t="s">
        <v>22</v>
      </c>
    </row>
    <row r="34" spans="1:17" x14ac:dyDescent="0.2">
      <c r="A34" s="297">
        <v>9</v>
      </c>
      <c r="B34" s="298" t="s">
        <v>146</v>
      </c>
      <c r="C34" s="298" t="s">
        <v>118</v>
      </c>
      <c r="D34" s="307" t="s">
        <v>39</v>
      </c>
      <c r="E34" s="303">
        <v>0.93</v>
      </c>
      <c r="F34" s="300">
        <v>0.11</v>
      </c>
      <c r="G34" s="303">
        <v>0.93</v>
      </c>
      <c r="H34" s="300">
        <v>0.11</v>
      </c>
      <c r="I34" s="303">
        <v>0.93</v>
      </c>
      <c r="J34" s="300">
        <v>0.11</v>
      </c>
      <c r="K34" s="303">
        <v>0.36</v>
      </c>
      <c r="L34" s="303">
        <v>0.04</v>
      </c>
      <c r="M34" s="302">
        <f t="shared" si="1"/>
        <v>0.66246575342465752</v>
      </c>
      <c r="N34" s="302">
        <f t="shared" si="0"/>
        <v>7.8356164383561647E-2</v>
      </c>
      <c r="O34" s="307" t="s">
        <v>122</v>
      </c>
      <c r="P34" s="52" t="s">
        <v>281</v>
      </c>
      <c r="Q34" s="42" t="s">
        <v>22</v>
      </c>
    </row>
    <row r="35" spans="1:17" ht="15" x14ac:dyDescent="0.25">
      <c r="A35" s="453">
        <v>12</v>
      </c>
      <c r="B35" s="454" t="s">
        <v>95</v>
      </c>
      <c r="C35" s="454" t="s">
        <v>159</v>
      </c>
      <c r="D35" s="461" t="s">
        <v>102</v>
      </c>
      <c r="E35" s="462">
        <v>7.9330711125810982</v>
      </c>
      <c r="F35" s="462">
        <v>2.934052504733085</v>
      </c>
      <c r="G35" s="463">
        <v>3.9665355562905491</v>
      </c>
      <c r="H35" s="463">
        <v>1.4670262523665425</v>
      </c>
      <c r="I35" s="463">
        <v>2.8343764407041832</v>
      </c>
      <c r="J35" s="463">
        <v>1.0326165807882532</v>
      </c>
      <c r="K35" s="463">
        <v>1.1449651643577905</v>
      </c>
      <c r="L35" s="463">
        <v>0.39363769623968931</v>
      </c>
      <c r="M35" s="509">
        <f>I35*293/365</f>
        <v>2.2752665674693855</v>
      </c>
      <c r="N35" s="509">
        <f>J35*258/365</f>
        <v>0.72990432285854612</v>
      </c>
      <c r="O35" s="461" t="s">
        <v>122</v>
      </c>
      <c r="P35" s="464" t="s">
        <v>282</v>
      </c>
      <c r="Q35" s="460" t="s">
        <v>22</v>
      </c>
    </row>
    <row r="36" spans="1:17" ht="15" x14ac:dyDescent="0.25">
      <c r="A36" s="453">
        <v>12</v>
      </c>
      <c r="B36" s="454" t="s">
        <v>95</v>
      </c>
      <c r="C36" s="454" t="s">
        <v>159</v>
      </c>
      <c r="D36" s="461" t="s">
        <v>103</v>
      </c>
      <c r="E36" s="462">
        <v>60.531350655556174</v>
      </c>
      <c r="F36" s="462">
        <v>14.126509552273406</v>
      </c>
      <c r="G36" s="463">
        <v>30.265675327778087</v>
      </c>
      <c r="H36" s="463">
        <v>7.0632547761367031</v>
      </c>
      <c r="I36" s="463">
        <v>21.697068846428085</v>
      </c>
      <c r="J36" s="463">
        <v>4.9823414741695053</v>
      </c>
      <c r="K36" s="463">
        <v>8.5727851755768363</v>
      </c>
      <c r="L36" s="463">
        <v>1.8861002186482227</v>
      </c>
      <c r="M36" s="509">
        <f t="shared" ref="M36:M41" si="6">I36*293/365</f>
        <v>17.417099101379257</v>
      </c>
      <c r="N36" s="509">
        <f t="shared" ref="N36:N41" si="7">J36*258/365</f>
        <v>3.5217646584540612</v>
      </c>
      <c r="O36" s="461" t="s">
        <v>122</v>
      </c>
      <c r="P36" s="464" t="s">
        <v>282</v>
      </c>
      <c r="Q36" s="460" t="s">
        <v>22</v>
      </c>
    </row>
    <row r="37" spans="1:17" ht="15" x14ac:dyDescent="0.25">
      <c r="A37" s="453">
        <v>12</v>
      </c>
      <c r="B37" s="454" t="s">
        <v>95</v>
      </c>
      <c r="C37" s="454" t="s">
        <v>159</v>
      </c>
      <c r="D37" s="461" t="s">
        <v>39</v>
      </c>
      <c r="E37" s="462">
        <v>6.6536528276042342</v>
      </c>
      <c r="F37" s="462">
        <v>1.8184584228223633</v>
      </c>
      <c r="G37" s="463">
        <v>3.3268264138021171</v>
      </c>
      <c r="H37" s="463">
        <v>0.90922921141118163</v>
      </c>
      <c r="I37" s="463">
        <v>2.3713608171096299</v>
      </c>
      <c r="J37" s="463">
        <v>0.64049582774382019</v>
      </c>
      <c r="K37" s="463">
        <v>0.94893197804230112</v>
      </c>
      <c r="L37" s="463">
        <v>0.24269643990989387</v>
      </c>
      <c r="M37" s="509">
        <f t="shared" si="6"/>
        <v>1.9035855326386892</v>
      </c>
      <c r="N37" s="509">
        <f t="shared" si="7"/>
        <v>0.45273403714494687</v>
      </c>
      <c r="O37" s="461" t="s">
        <v>122</v>
      </c>
      <c r="P37" s="464" t="s">
        <v>282</v>
      </c>
      <c r="Q37" s="460" t="s">
        <v>22</v>
      </c>
    </row>
    <row r="38" spans="1:17" ht="15" x14ac:dyDescent="0.25">
      <c r="A38" s="453">
        <v>12</v>
      </c>
      <c r="B38" s="454" t="s">
        <v>95</v>
      </c>
      <c r="C38" s="454" t="s">
        <v>159</v>
      </c>
      <c r="D38" s="461" t="s">
        <v>283</v>
      </c>
      <c r="E38" s="463">
        <v>4.028346742451876</v>
      </c>
      <c r="F38" s="463">
        <v>0.54056399258638133</v>
      </c>
      <c r="G38" s="463">
        <f>E38*4/24</f>
        <v>0.67139112374197929</v>
      </c>
      <c r="H38" s="463">
        <f>F38*4/24</f>
        <v>9.0093998764396888E-2</v>
      </c>
      <c r="I38" s="465"/>
      <c r="J38" s="465"/>
      <c r="K38" s="465"/>
      <c r="L38" s="465"/>
      <c r="M38" s="509"/>
      <c r="N38" s="509"/>
      <c r="O38" s="461" t="s">
        <v>122</v>
      </c>
      <c r="P38" s="464" t="s">
        <v>284</v>
      </c>
      <c r="Q38" s="460" t="s">
        <v>22</v>
      </c>
    </row>
    <row r="39" spans="1:17" x14ac:dyDescent="0.2">
      <c r="A39" s="453">
        <v>12</v>
      </c>
      <c r="B39" s="454" t="s">
        <v>95</v>
      </c>
      <c r="C39" s="454" t="s">
        <v>163</v>
      </c>
      <c r="D39" s="461" t="s">
        <v>102</v>
      </c>
      <c r="E39" s="466">
        <v>5.6542367545737449</v>
      </c>
      <c r="F39" s="466">
        <v>2.3960280949600623</v>
      </c>
      <c r="G39" s="466">
        <v>2.8271183772868724</v>
      </c>
      <c r="H39" s="466">
        <v>1.1980140474800312</v>
      </c>
      <c r="I39" s="466">
        <v>2.0245377095111157</v>
      </c>
      <c r="J39" s="466">
        <v>0.84772566608168964</v>
      </c>
      <c r="K39" s="466">
        <v>0.82236580377795332</v>
      </c>
      <c r="L39" s="466">
        <v>0.32046421510481315</v>
      </c>
      <c r="M39" s="509">
        <f t="shared" si="6"/>
        <v>1.6251768462650875</v>
      </c>
      <c r="N39" s="509">
        <f t="shared" si="7"/>
        <v>0.59921430643582441</v>
      </c>
      <c r="O39" s="467" t="s">
        <v>122</v>
      </c>
      <c r="P39" s="464" t="s">
        <v>285</v>
      </c>
      <c r="Q39" s="460" t="s">
        <v>22</v>
      </c>
    </row>
    <row r="40" spans="1:17" x14ac:dyDescent="0.2">
      <c r="A40" s="453">
        <v>12</v>
      </c>
      <c r="B40" s="454" t="s">
        <v>95</v>
      </c>
      <c r="C40" s="454" t="s">
        <v>163</v>
      </c>
      <c r="D40" s="461" t="s">
        <v>103</v>
      </c>
      <c r="E40" s="466">
        <v>6.3630842256894358</v>
      </c>
      <c r="F40" s="466">
        <v>2.3820795175943266</v>
      </c>
      <c r="G40" s="466">
        <v>3.1815421128447179</v>
      </c>
      <c r="H40" s="466">
        <v>1.1910397587971633</v>
      </c>
      <c r="I40" s="466">
        <v>2.2970814269753639</v>
      </c>
      <c r="J40" s="466">
        <v>0.83638073617638897</v>
      </c>
      <c r="K40" s="466">
        <v>0.93512844812261053</v>
      </c>
      <c r="L40" s="466">
        <v>0.31493428831385711</v>
      </c>
      <c r="M40" s="509">
        <f t="shared" si="6"/>
        <v>1.8439585153528264</v>
      </c>
      <c r="N40" s="509">
        <f t="shared" si="7"/>
        <v>0.59119515050276261</v>
      </c>
      <c r="O40" s="467" t="s">
        <v>122</v>
      </c>
      <c r="P40" s="464" t="s">
        <v>285</v>
      </c>
      <c r="Q40" s="460" t="s">
        <v>22</v>
      </c>
    </row>
    <row r="41" spans="1:17" x14ac:dyDescent="0.2">
      <c r="A41" s="453">
        <v>12</v>
      </c>
      <c r="B41" s="454" t="s">
        <v>95</v>
      </c>
      <c r="C41" s="454" t="s">
        <v>163</v>
      </c>
      <c r="D41" s="461" t="s">
        <v>39</v>
      </c>
      <c r="E41" s="466">
        <v>4.2117864423449403</v>
      </c>
      <c r="F41" s="466">
        <v>1.3060306366189174</v>
      </c>
      <c r="G41" s="466">
        <v>2.1058932211724701</v>
      </c>
      <c r="H41" s="466">
        <v>0.6530153183094588</v>
      </c>
      <c r="I41" s="466">
        <v>1.4897256183950531</v>
      </c>
      <c r="J41" s="466">
        <v>0.46023719168535282</v>
      </c>
      <c r="K41" s="466">
        <v>0.59645569287130706</v>
      </c>
      <c r="L41" s="466">
        <v>0.17344507225747641</v>
      </c>
      <c r="M41" s="509">
        <f t="shared" si="6"/>
        <v>1.1958619347664399</v>
      </c>
      <c r="N41" s="509">
        <f t="shared" si="7"/>
        <v>0.32531834371183843</v>
      </c>
      <c r="O41" s="467" t="s">
        <v>122</v>
      </c>
      <c r="P41" s="464" t="s">
        <v>285</v>
      </c>
      <c r="Q41" s="460" t="s">
        <v>22</v>
      </c>
    </row>
    <row r="42" spans="1:17" x14ac:dyDescent="0.2">
      <c r="A42" s="453">
        <v>12</v>
      </c>
      <c r="B42" s="454" t="s">
        <v>95</v>
      </c>
      <c r="C42" s="454" t="s">
        <v>163</v>
      </c>
      <c r="D42" s="461" t="s">
        <v>283</v>
      </c>
      <c r="E42" s="466">
        <v>1.0249706248809547</v>
      </c>
      <c r="F42" s="466">
        <v>8.96111600740786E-2</v>
      </c>
      <c r="G42" s="468">
        <f>E42*4/24</f>
        <v>0.17082843748015911</v>
      </c>
      <c r="H42" s="468">
        <f>F42*4/24</f>
        <v>1.4935193345679767E-2</v>
      </c>
      <c r="I42" s="458"/>
      <c r="J42" s="458"/>
      <c r="K42" s="458"/>
      <c r="L42" s="458"/>
      <c r="M42" s="509"/>
      <c r="N42" s="509"/>
      <c r="O42" s="467" t="s">
        <v>122</v>
      </c>
      <c r="P42" s="464" t="s">
        <v>286</v>
      </c>
      <c r="Q42" s="460" t="s">
        <v>22</v>
      </c>
    </row>
    <row r="43" spans="1:17" x14ac:dyDescent="0.2">
      <c r="A43" s="297" t="s">
        <v>273</v>
      </c>
      <c r="B43" s="298" t="s">
        <v>166</v>
      </c>
      <c r="C43" s="298" t="s">
        <v>118</v>
      </c>
      <c r="D43" s="307" t="s">
        <v>37</v>
      </c>
      <c r="E43" s="313">
        <v>7.0333341716816005</v>
      </c>
      <c r="F43" s="313">
        <v>3.2395553263892847</v>
      </c>
      <c r="G43" s="313">
        <v>7.0333341716816005</v>
      </c>
      <c r="H43" s="313">
        <v>3.2395553263892847</v>
      </c>
      <c r="I43" s="314">
        <v>1.6609856444185953</v>
      </c>
      <c r="J43" s="314">
        <v>0.76193890639710848</v>
      </c>
      <c r="K43" s="314">
        <v>0.68179996566649959</v>
      </c>
      <c r="L43" s="314">
        <v>0.2888897186154506</v>
      </c>
      <c r="M43" s="302">
        <f t="shared" si="1"/>
        <v>1.1831678562981776</v>
      </c>
      <c r="N43" s="302">
        <f t="shared" si="0"/>
        <v>0.54275100181711833</v>
      </c>
      <c r="O43" s="307" t="s">
        <v>122</v>
      </c>
      <c r="P43" s="52" t="s">
        <v>287</v>
      </c>
      <c r="Q43" s="42" t="s">
        <v>22</v>
      </c>
    </row>
    <row r="44" spans="1:17" ht="13.5" thickBot="1" x14ac:dyDescent="0.25">
      <c r="A44" s="470" t="s">
        <v>273</v>
      </c>
      <c r="B44" s="315" t="s">
        <v>166</v>
      </c>
      <c r="C44" s="315" t="s">
        <v>118</v>
      </c>
      <c r="D44" s="316" t="s">
        <v>39</v>
      </c>
      <c r="E44" s="317">
        <v>4.6842141416225385</v>
      </c>
      <c r="F44" s="317">
        <v>1.6335873823095202</v>
      </c>
      <c r="G44" s="317">
        <v>4.6842141416225385</v>
      </c>
      <c r="H44" s="317">
        <v>1.6335873823095202</v>
      </c>
      <c r="I44" s="318">
        <v>1.104066894251182</v>
      </c>
      <c r="J44" s="318">
        <v>0.38453089454489264</v>
      </c>
      <c r="K44" s="318">
        <v>0.44532624595133724</v>
      </c>
      <c r="L44" s="318">
        <v>0.14541537592846793</v>
      </c>
      <c r="M44" s="510">
        <f t="shared" si="1"/>
        <v>0.7864586096035816</v>
      </c>
      <c r="N44" s="510">
        <f t="shared" si="0"/>
        <v>0.2739124180319783</v>
      </c>
      <c r="O44" s="316" t="s">
        <v>122</v>
      </c>
      <c r="P44" s="319" t="s">
        <v>287</v>
      </c>
      <c r="Q44" s="46" t="s">
        <v>22</v>
      </c>
    </row>
    <row r="45" spans="1:17" x14ac:dyDescent="0.2">
      <c r="B45" s="40" t="s">
        <v>288</v>
      </c>
      <c r="N45" s="469"/>
    </row>
    <row r="46" spans="1:17" x14ac:dyDescent="0.2">
      <c r="B46" s="40" t="s">
        <v>289</v>
      </c>
      <c r="N46" s="302"/>
    </row>
  </sheetData>
  <sheetProtection algorithmName="SHA-512" hashValue="gC2iiaMzx5La1y05lJQ2h/gqsiC0yEH8jLYUDes4Z8ioDtF+9Ti3duX/koyIXUPZswDfvBcDh/Hui7a3rsFGhg==" saltValue="dO4OIPIbmqXGhrRiZ8Yvyg==" spinCount="100000" sheet="1" selectLockedCells="1" selectUnlockedCells="1"/>
  <mergeCells count="17">
    <mergeCell ref="O2:O4"/>
    <mergeCell ref="P2:P4"/>
    <mergeCell ref="Q2:Q4"/>
    <mergeCell ref="E3:F3"/>
    <mergeCell ref="G3:H3"/>
    <mergeCell ref="I3:J3"/>
    <mergeCell ref="K3:L3"/>
    <mergeCell ref="G2:H2"/>
    <mergeCell ref="I2:J2"/>
    <mergeCell ref="K2:L2"/>
    <mergeCell ref="M2:N2"/>
    <mergeCell ref="M3:N3"/>
    <mergeCell ref="A2:A4"/>
    <mergeCell ref="B2:B4"/>
    <mergeCell ref="C2:C4"/>
    <mergeCell ref="D2:D4"/>
    <mergeCell ref="E2:F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1-bromopropane</TermName>
          <TermId xmlns="http://schemas.microsoft.com/office/infopath/2007/PartnerControls">1b014425-8be0-4df8-9ded-013525b27948</TermId>
        </TermInfo>
        <TermInfo xmlns="http://schemas.microsoft.com/office/infopath/2007/PartnerControls">
          <TermName xmlns="http://schemas.microsoft.com/office/infopath/2007/PartnerControls">1-BP</TermName>
          <TermId xmlns="http://schemas.microsoft.com/office/infopath/2007/PartnerControls">fa6493d0-3692-44e4-81f4-3faa28308840</TermId>
        </TermInfo>
        <TermInfo xmlns="http://schemas.microsoft.com/office/infopath/2007/PartnerControls">
          <TermName xmlns="http://schemas.microsoft.com/office/infopath/2007/PartnerControls">Risk Evaluation</TermName>
          <TermId xmlns="http://schemas.microsoft.com/office/infopath/2007/PartnerControls">e0192f2c-b9d6-4806-9f21-c02a4a962ad2</TermId>
        </TermInfo>
        <TermInfo xmlns="http://schemas.microsoft.com/office/infopath/2007/PartnerControls">
          <TermName xmlns="http://schemas.microsoft.com/office/infopath/2007/PartnerControls">TSCA</TermName>
          <TermId xmlns="http://schemas.microsoft.com/office/infopath/2007/PartnerControls">11111111-1111-1111-1111-111111111111</TermId>
        </TermInfo>
        <TermInfo xmlns="http://schemas.microsoft.com/office/infopath/2007/PartnerControls">
          <TermName xmlns="http://schemas.microsoft.com/office/infopath/2007/PartnerControls">occupational risk calculator</TermName>
          <TermId xmlns="http://schemas.microsoft.com/office/infopath/2007/PartnerControls">8057fc3b-b010-44f5-820b-cee7b968ad78</TermId>
        </TermInfo>
      </Terms>
    </TaxKeywordTaxHTField>
    <Record xmlns="4ffa91fb-a0ff-4ac5-b2db-65c790d184a4">Shared</Record>
    <Rights xmlns="4ffa91fb-a0ff-4ac5-b2db-65c790d184a4" xsi:nil="true"/>
    <Document_x0020_Creation_x0020_Date xmlns="4ffa91fb-a0ff-4ac5-b2db-65c790d184a4">2020-05-19T04:00:00+00:00</Document_x0020_Creation_x0020_Date>
    <EPA_x0020_Office xmlns="4ffa91fb-a0ff-4ac5-b2db-65c790d184a4">OCSPP-OPPT-RAD-AB2</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Hou, Ariel</DisplayName>
        <AccountId>12597</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849</Value>
      <Value>1203</Value>
      <Value>1164</Value>
      <Value>1211</Value>
      <Value>1208</Value>
    </TaxCatchAll>
    <_ip_UnifiedCompliancePolicyUIAction xmlns="http://schemas.microsoft.com/sharepoint/v3" xsi:nil="true"/>
    <e3f09c3df709400db2417a7161762d62 xmlns="4ffa91fb-a0ff-4ac5-b2db-65c790d184a4">
      <Terms xmlns="http://schemas.microsoft.com/office/infopath/2007/PartnerControls"/>
    </e3f09c3df709400db2417a7161762d62>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9ACC99A244114DB5826A315450C78B" ma:contentTypeVersion="28" ma:contentTypeDescription="Create a new document." ma:contentTypeScope="" ma:versionID="0e56861f468434e7a2becaa9cacb64fd">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77b55113-4c7a-426b-9763-d96c6ca06dd2" xmlns:ns6="437e2101-dff4-4a72-8a22-2f4e5f9ec50f" targetNamespace="http://schemas.microsoft.com/office/2006/metadata/properties" ma:root="true" ma:fieldsID="4fac27b5011f14d941d88001f7fff0cc" ns1:_="" ns2:_="" ns3:_="" ns4:_="" ns5:_="" ns6:_="">
    <xsd:import namespace="http://schemas.microsoft.com/sharepoint/v3"/>
    <xsd:import namespace="4ffa91fb-a0ff-4ac5-b2db-65c790d184a4"/>
    <xsd:import namespace="http://schemas.microsoft.com/sharepoint.v3"/>
    <xsd:import namespace="http://schemas.microsoft.com/sharepoint/v3/fields"/>
    <xsd:import namespace="77b55113-4c7a-426b-9763-d96c6ca06dd2"/>
    <xsd:import namespace="437e2101-dff4-4a72-8a22-2f4e5f9ec50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5:SharingHintHash" minOccurs="0"/>
                <xsd:element ref="ns6:MediaServiceMetadata" minOccurs="0"/>
                <xsd:element ref="ns6:MediaServiceFastMetadata" minOccurs="0"/>
                <xsd:element ref="ns6:MediaServiceAutoKeyPoints" minOccurs="0"/>
                <xsd:element ref="ns6: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6" nillable="true" ma:displayName="Unified Compliance Policy Properties" ma:hidden="true" ma:internalName="_ip_UnifiedCompliancePolicyProperties">
      <xsd:simpleType>
        <xsd:restriction base="dms:Note"/>
      </xsd:simpleType>
    </xsd:element>
    <xsd:element name="_ip_UnifiedCompliancePolicyUIAction" ma:index="3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b55113-4c7a-426b-9763-d96c6ca06dd2"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element name="SharingHintHash" ma:index="31"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7e2101-dff4-4a72-8a22-2f4e5f9ec50f" elementFormDefault="qualified">
    <xsd:import namespace="http://schemas.microsoft.com/office/2006/documentManagement/types"/>
    <xsd:import namespace="http://schemas.microsoft.com/office/infopath/2007/PartnerControls"/>
    <xsd:element name="MediaServiceMetadata" ma:index="32" nillable="true" ma:displayName="MediaServiceMetadata" ma:description="" ma:hidden="true" ma:internalName="MediaServiceMetadata" ma:readOnly="true">
      <xsd:simpleType>
        <xsd:restriction base="dms:Note"/>
      </xsd:simpleType>
    </xsd:element>
    <xsd:element name="MediaServiceFastMetadata" ma:index="33" nillable="true" ma:displayName="MediaServiceFastMetadata" ma:description="" ma:hidden="true" ma:internalName="MediaServiceFastMetadata" ma:readOnly="true">
      <xsd:simpleType>
        <xsd:restriction base="dms:Note"/>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88850-A957-4988-B969-EAD2D09FFF86}">
  <ds:schemaRefs>
    <ds:schemaRef ds:uri="http://schemas.microsoft.com/office/2006/documentManagement/types"/>
    <ds:schemaRef ds:uri="http://schemas.microsoft.com/sharepoint/v3"/>
    <ds:schemaRef ds:uri="http://schemas.microsoft.com/sharepoint/v3/fields"/>
    <ds:schemaRef ds:uri="http://purl.org/dc/elements/1.1/"/>
    <ds:schemaRef ds:uri="http://schemas.microsoft.com/office/infopath/2007/PartnerControls"/>
    <ds:schemaRef ds:uri="http://schemas.openxmlformats.org/package/2006/metadata/core-properties"/>
    <ds:schemaRef ds:uri="437e2101-dff4-4a72-8a22-2f4e5f9ec50f"/>
    <ds:schemaRef ds:uri="http://schemas.microsoft.com/sharepoint.v3"/>
    <ds:schemaRef ds:uri="77b55113-4c7a-426b-9763-d96c6ca06dd2"/>
    <ds:schemaRef ds:uri="http://purl.org/dc/terms/"/>
    <ds:schemaRef ds:uri="http://schemas.microsoft.com/office/2006/metadata/properties"/>
    <ds:schemaRef ds:uri="4ffa91fb-a0ff-4ac5-b2db-65c790d184a4"/>
    <ds:schemaRef ds:uri="http://www.w3.org/XML/1998/namespace"/>
    <ds:schemaRef ds:uri="http://purl.org/dc/dcmitype/"/>
  </ds:schemaRefs>
</ds:datastoreItem>
</file>

<file path=customXml/itemProps2.xml><?xml version="1.0" encoding="utf-8"?>
<ds:datastoreItem xmlns:ds="http://schemas.openxmlformats.org/officeDocument/2006/customXml" ds:itemID="{04661127-1524-4FF0-B1E0-619675FB8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77b55113-4c7a-426b-9763-d96c6ca06dd2"/>
    <ds:schemaRef ds:uri="437e2101-dff4-4a72-8a22-2f4e5f9ec5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E4290F-0374-400A-91A9-8146281CD8BE}">
  <ds:schemaRefs>
    <ds:schemaRef ds:uri="Microsoft.SharePoint.Taxonomy.ContentTypeSync"/>
  </ds:schemaRefs>
</ds:datastoreItem>
</file>

<file path=customXml/itemProps4.xml><?xml version="1.0" encoding="utf-8"?>
<ds:datastoreItem xmlns:ds="http://schemas.openxmlformats.org/officeDocument/2006/customXml" ds:itemID="{8F1A34C1-2C7F-40C7-8636-5AE936E547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 Page</vt:lpstr>
      <vt:lpstr>Table of Contents</vt:lpstr>
      <vt:lpstr>Dashboard</vt:lpstr>
      <vt:lpstr>Spray Adhesives</vt:lpstr>
      <vt:lpstr>Dry Cleaning Model</vt:lpstr>
      <vt:lpstr>Cancer Inhal Table</vt:lpstr>
      <vt:lpstr>RR</vt:lpstr>
      <vt:lpstr>Dermal</vt:lpstr>
      <vt:lpstr>Exposure Results</vt:lpstr>
      <vt:lpstr>Bridge Table</vt:lpstr>
      <vt:lpstr>AT_ADC_50</vt:lpstr>
      <vt:lpstr>AT_ADC_95</vt:lpstr>
      <vt:lpstr>AT_LADC_50</vt:lpstr>
      <vt:lpstr>AT_LADC_95</vt:lpstr>
      <vt:lpstr>EF_50</vt:lpstr>
      <vt:lpstr>EF_95</vt:lpstr>
      <vt:lpstr>Exposure_Drop_down</vt:lpstr>
      <vt:lpstr>HEC_Drop_down</vt:lpstr>
      <vt:lpstr>Dermal!Print_Area</vt:lpstr>
      <vt:lpstr>Target_Cancer_Drop_down</vt:lpstr>
      <vt:lpstr>WY_50</vt:lpstr>
      <vt:lpstr>WY_95</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Evaluation for 1-Bromopropane: Occupational Risk Calculator</dc:title>
  <dc:subject/>
  <dc:creator>US EPA</dc:creator>
  <cp:keywords>TSCA ; risk evaluation ; occupational risk calculator ; 1-Bromopropane ; 1-BP</cp:keywords>
  <dc:description/>
  <cp:lastModifiedBy>Vuilleumier, Kevin</cp:lastModifiedBy>
  <cp:revision/>
  <dcterms:created xsi:type="dcterms:W3CDTF">2014-03-17T14:32:48Z</dcterms:created>
  <dcterms:modified xsi:type="dcterms:W3CDTF">2020-07-31T18:57:05Z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0x010100869ACC99A244114DB5826A315450C78B</vt:lpwstr>
  </property>
  <property fmtid="{D5CDD505-2E9C-101B-9397-08002B2CF9AE}" pid="3" name="TaxKeyword">
    <vt:lpwstr>1203;#1-bromopropane|1b014425-8be0-4df8-9ded-013525b27948;#1208;#1-BP|fa6493d0-3692-44e4-81f4-3faa28308840;#1164;#Risk Evaluation|e0192f2c-b9d6-4806-9f21-c02a4a962ad2;#849;#TSCA|11111111-1111-1111-1111-111111111111;#1211;#occupational risk calculator|8057fc3b-b010-44f5-820b-cee7b968ad78</vt:lpwstr>
  </property>
  <property fmtid="{D5CDD505-2E9C-101B-9397-08002B2CF9AE}" pid="4" name="Document Type">
    <vt:lpwstr/>
  </property>
  <property fmtid="{D5CDD505-2E9C-101B-9397-08002B2CF9AE}" pid="5" name="EPA Subject">
    <vt:lpwstr/>
  </property>
</Properties>
</file>