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22" documentId="8_{5B27670B-F301-400A-8746-FC8A345E3AE6}" xr6:coauthVersionLast="45" xr6:coauthVersionMax="45" xr10:uidLastSave="{C52A6047-8C8C-4C58-8F79-9A355A2BCDD2}"/>
  <workbookProtection workbookAlgorithmName="SHA-512" workbookHashValue="Q6hpnHA5AltLYDEP5qvgnn/JwjAyFONDcDeb78ivPpTvYvgjjlfiB9w6a7HHu5cYV1S0PXUlu00EFbWxps1qZA==" workbookSaltValue="H78qp9TzCoxpTZJeF0Yr9g==" workbookSpinCount="100000" lockStructure="1"/>
  <bookViews>
    <workbookView xWindow="-120" yWindow="-120" windowWidth="19440" windowHeight="11160" tabRatio="686" activeTab="2" xr2:uid="{00000000-000D-0000-FFFF-FFFF00000000}"/>
  </bookViews>
  <sheets>
    <sheet name="Cover Page" sheetId="41" r:id="rId1"/>
    <sheet name="Table of Contents" sheetId="42" r:id="rId2"/>
    <sheet name="Dashboard" sheetId="31" r:id="rId3"/>
    <sheet name="Risk Reduction Heat Map" sheetId="40" r:id="rId4"/>
    <sheet name="Exposure Results" sheetId="37" r:id="rId5"/>
    <sheet name="Exposure Factors" sheetId="39" r:id="rId6"/>
    <sheet name="Hazard Values" sheetId="29" r:id="rId7"/>
    <sheet name="ListValues" sheetId="35" state="hidden" r:id="rId8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</definedName>
    <definedName name="_AtRisk_SimSetting_ConvergenceTolerance" hidden="1">0.01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ff_50pct">#REF!</definedName>
    <definedName name="ACff_5pct">#REF!</definedName>
    <definedName name="ACff_95pct">#REF!</definedName>
    <definedName name="ACff_99pct">#REF!</definedName>
    <definedName name="ACff_max">#REF!</definedName>
    <definedName name="ACff_mean">#REF!</definedName>
    <definedName name="ACff_min">#REF!</definedName>
    <definedName name="ACnf_50pct">#REF!</definedName>
    <definedName name="ACnf_5pct">#REF!</definedName>
    <definedName name="ACnf_95pct">#REF!</definedName>
    <definedName name="ACnf_99pct">#REF!</definedName>
    <definedName name="ACnf_max">#REF!</definedName>
    <definedName name="ACnf_mean">#REF!</definedName>
    <definedName name="ACnf_min">#REF!</definedName>
    <definedName name="ADCff_50pct">#REF!</definedName>
    <definedName name="ADCff_5pct">#REF!</definedName>
    <definedName name="ADCff_95pct">#REF!</definedName>
    <definedName name="ADCff_99pct">#REF!</definedName>
    <definedName name="ADCff_max">#REF!</definedName>
    <definedName name="ADCff_mean">#REF!</definedName>
    <definedName name="ADCff_min">#REF!</definedName>
    <definedName name="ADCnf_50pct">#REF!</definedName>
    <definedName name="ADCnf_5pct">#REF!</definedName>
    <definedName name="ADCnf_95pct">#REF!</definedName>
    <definedName name="ADCnf_99pct">#REF!</definedName>
    <definedName name="ADCnf_max">#REF!</definedName>
    <definedName name="ADCnf_mean">#REF!</definedName>
    <definedName name="ADCnf_min">#REF!</definedName>
    <definedName name="AER_MC">#REF!</definedName>
    <definedName name="Air_speed_MC">#REF!</definedName>
    <definedName name="AT_acute">#REF!</definedName>
    <definedName name="AT_cancer">#REF!</definedName>
    <definedName name="AT_cancer_8hrTWA">#REF!</definedName>
    <definedName name="AT_noncancer">#REF!</definedName>
    <definedName name="AT_noncancer_8hrTWA">#REF!</definedName>
    <definedName name="Breathing_rate_default">'Exposure Factors'!$C$4</definedName>
    <definedName name="Breathing_rate_user">'Exposure Factors'!$E$4</definedName>
    <definedName name="Breathing_rate_women">'Exposure Factors'!$D$4</definedName>
    <definedName name="BW_default">'Exposure Factors'!$C$5</definedName>
    <definedName name="BW_user">'Exposure Factors'!$E$5</definedName>
    <definedName name="BW_women">'Exposure Factors'!$D$5</definedName>
    <definedName name="Cff_mass">#REF!</definedName>
    <definedName name="Cff_ppm">#REF!</definedName>
    <definedName name="Cff_ppm_50pct">#REF!</definedName>
    <definedName name="Cff_ppm_5pct">#REF!</definedName>
    <definedName name="Cff_ppm_95pct">#REF!</definedName>
    <definedName name="Cff_ppm_99pct">#REF!</definedName>
    <definedName name="Cff_ppm_max">#REF!</definedName>
    <definedName name="Cff_ppm_mean">#REF!</definedName>
    <definedName name="Cff_ppm_min">#REF!</definedName>
    <definedName name="Cnf_mass">#REF!</definedName>
    <definedName name="Cnf_ppm">#REF!</definedName>
    <definedName name="Cnf_ppm_50pct">#REF!</definedName>
    <definedName name="Cnf_ppm_5pct">#REF!</definedName>
    <definedName name="Cnf_ppm_95pct">#REF!</definedName>
    <definedName name="Cnf_ppm_99pct">#REF!</definedName>
    <definedName name="Cnf_ppm_max">#REF!</definedName>
    <definedName name="Cnf_ppm_mean">#REF!</definedName>
    <definedName name="Cnf_ppm_min">#REF!</definedName>
    <definedName name="Dermal_Abs">Dashboard!$F$4</definedName>
    <definedName name="ED_acute">#REF!</definedName>
    <definedName name="ED_chronic">#REF!</definedName>
    <definedName name="EF_chronic">#REF!</definedName>
    <definedName name="FSA">#REF!</definedName>
    <definedName name="ft_per_cm">#REF!</definedName>
    <definedName name="ft_per_m">#REF!</definedName>
    <definedName name="G_MC">#REF!</definedName>
    <definedName name="g_per_kg">#REF!</definedName>
    <definedName name="Hnf_MC">#REF!</definedName>
    <definedName name="Inhal_Abs">Dashboard!$E$4</definedName>
    <definedName name="kcoef1">#REF!</definedName>
    <definedName name="kcoef2">#REF!</definedName>
    <definedName name="kcoef3">#REF!</definedName>
    <definedName name="kcoef4">#REF!</definedName>
    <definedName name="kcoef5">#REF!</definedName>
    <definedName name="LADCff_50pct">#REF!</definedName>
    <definedName name="LADCff_5pct">#REF!</definedName>
    <definedName name="LADCff_95pct">#REF!</definedName>
    <definedName name="LADCff_99pct">#REF!</definedName>
    <definedName name="LADCff_max">#REF!</definedName>
    <definedName name="LADCff_mean">#REF!</definedName>
    <definedName name="LADCff_min">#REF!</definedName>
    <definedName name="LADCnf_50pct">#REF!</definedName>
    <definedName name="LADCnf_5pct">#REF!</definedName>
    <definedName name="LADCnf_95pct">#REF!</definedName>
    <definedName name="LADCnf_99pct">#REF!</definedName>
    <definedName name="LADCnf_max">#REF!</definedName>
    <definedName name="LADCnf_mean">#REF!</definedName>
    <definedName name="LADCnf_min">#REF!</definedName>
    <definedName name="lambda1">#REF!</definedName>
    <definedName name="lambda2">#REF!</definedName>
    <definedName name="large_EF">#REF!</definedName>
    <definedName name="large_OH">#REF!</definedName>
    <definedName name="large_SAI">#REF!</definedName>
    <definedName name="Lnf_MC">#REF!</definedName>
    <definedName name="LT_cancer">#REF!</definedName>
    <definedName name="LT_noncancer">#REF!</definedName>
    <definedName name="MC_On_Off">#REF!</definedName>
    <definedName name="medium_EF">#REF!</definedName>
    <definedName name="medium_OH">#REF!</definedName>
    <definedName name="medium_SAI_high">#REF!</definedName>
    <definedName name="medium_SAI_low">#REF!</definedName>
    <definedName name="mg_per_gram">#REF!</definedName>
    <definedName name="min_per_hr">#REF!</definedName>
    <definedName name="month_per_yr">#REF!</definedName>
    <definedName name="MW">#REF!</definedName>
    <definedName name="NESHAP">#REF!</definedName>
    <definedName name="OD_MC">#REF!</definedName>
    <definedName name="OH_MC">#REF!</definedName>
    <definedName name="Pal_Workbook_GUID" hidden="1">"QFFA8IQU6YFGRFCXE7L4LIWR"</definedName>
    <definedName name="Press">#REF!</definedName>
    <definedName name="Qff">#REF!</definedName>
    <definedName name="Qnf">#REF!</definedName>
    <definedName name="Rga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_Drop_down">#REF!</definedName>
    <definedName name="s_per_hr">#REF!</definedName>
    <definedName name="small_EF">#REF!</definedName>
    <definedName name="small_OH">#REF!</definedName>
    <definedName name="small_SAI_high">#REF!</definedName>
    <definedName name="small_SAI_low">#REF!</definedName>
    <definedName name="t1_MC">#REF!</definedName>
    <definedName name="t2_MC">#REF!</definedName>
    <definedName name="tavg_MC">#REF!</definedName>
    <definedName name="Temp">#REF!</definedName>
    <definedName name="Two_Hand_Surface_default">'Exposure Factors'!$C$6</definedName>
    <definedName name="Two_Hand_Surface_user">'Exposure Factors'!$E$6</definedName>
    <definedName name="Two_Hand_Surface_women">'Exposure Factors'!$D$6</definedName>
    <definedName name="Vff_conv">#REF!</definedName>
    <definedName name="Vff_MC">#REF!</definedName>
    <definedName name="Vnf">#REF!</definedName>
    <definedName name="Wnf_MC">#REF!</definedName>
    <definedName name="WY_chronic">#REF!</definedName>
    <definedName name="WY_CT_default">'Exposure Factors'!$C$8</definedName>
    <definedName name="WY_CT_user">'Exposure Factors'!$E$8</definedName>
    <definedName name="WY_CT_women">'Exposure Factors'!$D$8</definedName>
    <definedName name="WY_HE_default">'Exposure Factors'!$C$7</definedName>
    <definedName name="WY_HE_user">'Exposure Factors'!$E$7</definedName>
    <definedName name="WY_HE_women">'Exposure Factors'!$D$7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0" i="37" l="1"/>
  <c r="S28" i="37"/>
  <c r="S26" i="37"/>
  <c r="S12" i="37"/>
  <c r="S10" i="37"/>
  <c r="S8" i="37"/>
  <c r="S6" i="37"/>
  <c r="S14" i="31" l="1"/>
  <c r="T14" i="31"/>
  <c r="U14" i="31"/>
  <c r="S12" i="31"/>
  <c r="T12" i="31"/>
  <c r="U12" i="31"/>
  <c r="E14" i="31"/>
  <c r="E12" i="31"/>
  <c r="E13" i="31"/>
  <c r="E11" i="31"/>
  <c r="Q30" i="37" l="1"/>
  <c r="S13" i="31" s="1"/>
  <c r="P30" i="37"/>
  <c r="S11" i="31" s="1"/>
  <c r="G30" i="37"/>
  <c r="F30" i="37"/>
  <c r="G31" i="37"/>
  <c r="F31" i="37"/>
  <c r="AB30" i="37"/>
  <c r="Z30" i="37"/>
  <c r="AC30" i="37" s="1"/>
  <c r="T13" i="31"/>
  <c r="R30" i="37"/>
  <c r="I30" i="37" l="1"/>
  <c r="G13" i="31" s="1"/>
  <c r="F13" i="31"/>
  <c r="H30" i="37"/>
  <c r="G11" i="31" s="1"/>
  <c r="F11" i="31"/>
  <c r="H31" i="37"/>
  <c r="G12" i="31" s="1"/>
  <c r="F12" i="31"/>
  <c r="I31" i="37"/>
  <c r="G14" i="31" s="1"/>
  <c r="F14" i="31"/>
  <c r="T30" i="37"/>
  <c r="U11" i="31" s="1"/>
  <c r="T11" i="31"/>
  <c r="U30" i="37"/>
  <c r="U13" i="31" s="1"/>
  <c r="Q28" i="37"/>
  <c r="U24" i="31" l="1"/>
  <c r="U22" i="31"/>
  <c r="U20" i="31"/>
  <c r="Q26" i="37"/>
  <c r="Q12" i="37"/>
  <c r="Q10" i="37"/>
  <c r="Q8" i="37"/>
  <c r="Q6" i="37"/>
  <c r="P6" i="37"/>
  <c r="R6" i="37"/>
  <c r="V41" i="31" l="1"/>
  <c r="V39" i="31"/>
  <c r="V37" i="31"/>
  <c r="V35" i="31"/>
  <c r="V33" i="31"/>
  <c r="V31" i="31"/>
  <c r="O41" i="31"/>
  <c r="O39" i="31"/>
  <c r="O37" i="31"/>
  <c r="O35" i="31"/>
  <c r="O33" i="31"/>
  <c r="O31" i="31"/>
  <c r="R41" i="31"/>
  <c r="U41" i="31" s="1"/>
  <c r="R39" i="31"/>
  <c r="R37" i="31"/>
  <c r="U37" i="31" s="1"/>
  <c r="R35" i="31"/>
  <c r="U35" i="31" s="1"/>
  <c r="R33" i="31"/>
  <c r="R31" i="31"/>
  <c r="U31" i="31" s="1"/>
  <c r="K41" i="31"/>
  <c r="K39" i="31"/>
  <c r="K37" i="31"/>
  <c r="K35" i="31"/>
  <c r="K33" i="31"/>
  <c r="K31" i="31"/>
  <c r="D41" i="31"/>
  <c r="D39" i="31"/>
  <c r="D37" i="31"/>
  <c r="D35" i="31"/>
  <c r="D33" i="31"/>
  <c r="D31" i="31"/>
  <c r="H41" i="31"/>
  <c r="H39" i="31"/>
  <c r="H37" i="31"/>
  <c r="H35" i="31"/>
  <c r="H33" i="31"/>
  <c r="H31" i="31"/>
  <c r="V25" i="31"/>
  <c r="V23" i="31"/>
  <c r="V21" i="31"/>
  <c r="V19" i="31"/>
  <c r="O25" i="31"/>
  <c r="O23" i="31"/>
  <c r="O21" i="31"/>
  <c r="O19" i="31"/>
  <c r="H23" i="31"/>
  <c r="H21" i="31"/>
  <c r="H19" i="31"/>
  <c r="H25" i="31"/>
  <c r="D5" i="39"/>
  <c r="R25" i="31"/>
  <c r="T26" i="31" s="1"/>
  <c r="R23" i="31"/>
  <c r="R21" i="31"/>
  <c r="R19" i="31"/>
  <c r="U19" i="31" s="1"/>
  <c r="K19" i="31"/>
  <c r="K25" i="31"/>
  <c r="K23" i="31"/>
  <c r="K21" i="31"/>
  <c r="D25" i="31"/>
  <c r="D23" i="31"/>
  <c r="D21" i="31"/>
  <c r="D19" i="31"/>
  <c r="C9" i="40"/>
  <c r="B9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31" i="40"/>
  <c r="I32" i="40"/>
  <c r="I30" i="40"/>
  <c r="I29" i="40"/>
  <c r="I25" i="40"/>
  <c r="I26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7" i="40"/>
  <c r="I28" i="40"/>
  <c r="I10" i="40"/>
  <c r="I9" i="40"/>
  <c r="T20" i="31" l="1"/>
  <c r="T24" i="31"/>
  <c r="U33" i="31"/>
  <c r="U39" i="31"/>
  <c r="T22" i="31"/>
  <c r="U21" i="31"/>
  <c r="Z28" i="37"/>
  <c r="Z26" i="37"/>
  <c r="Z24" i="37"/>
  <c r="Z22" i="37"/>
  <c r="Z20" i="37"/>
  <c r="Z16" i="37"/>
  <c r="Z14" i="37"/>
  <c r="Z12" i="37"/>
  <c r="Z10" i="37"/>
  <c r="Z8" i="37"/>
  <c r="Z6" i="37"/>
  <c r="F6" i="37"/>
  <c r="G6" i="37"/>
  <c r="M29" i="31" l="1"/>
  <c r="M17" i="31"/>
  <c r="F4" i="40"/>
  <c r="B29" i="40" l="1"/>
  <c r="AC28" i="37" l="1"/>
  <c r="U28" i="37" s="1"/>
  <c r="AB28" i="37"/>
  <c r="AC26" i="37"/>
  <c r="U26" i="37" s="1"/>
  <c r="AB26" i="37"/>
  <c r="AC24" i="37"/>
  <c r="AB24" i="37"/>
  <c r="AC22" i="37"/>
  <c r="AB22" i="37"/>
  <c r="AC20" i="37"/>
  <c r="AB20" i="37"/>
  <c r="AC16" i="37"/>
  <c r="AB16" i="37"/>
  <c r="AC14" i="37"/>
  <c r="AB14" i="37"/>
  <c r="AC12" i="37"/>
  <c r="U12" i="37" s="1"/>
  <c r="AB12" i="37"/>
  <c r="AC10" i="37"/>
  <c r="U10" i="37" s="1"/>
  <c r="AB10" i="37"/>
  <c r="AC8" i="37"/>
  <c r="U8" i="37" s="1"/>
  <c r="AB8" i="37"/>
  <c r="AC6" i="37"/>
  <c r="AB6" i="37"/>
  <c r="H6" i="37" s="1"/>
  <c r="I6" i="37" l="1"/>
  <c r="U6" i="37"/>
  <c r="T38" i="31"/>
  <c r="T36" i="31"/>
  <c r="T32" i="31"/>
  <c r="T40" i="31"/>
  <c r="T34" i="31"/>
  <c r="T42" i="31"/>
  <c r="R28" i="37"/>
  <c r="P28" i="37"/>
  <c r="T28" i="37" l="1"/>
  <c r="T29" i="31" l="1"/>
  <c r="F29" i="31"/>
  <c r="T17" i="31"/>
  <c r="U23" i="31" s="1"/>
  <c r="F17" i="31"/>
  <c r="U40" i="31" l="1"/>
  <c r="U32" i="31"/>
  <c r="R8" i="37"/>
  <c r="R10" i="37"/>
  <c r="R12" i="37"/>
  <c r="R14" i="37"/>
  <c r="R16" i="37"/>
  <c r="R18" i="37"/>
  <c r="R20" i="37"/>
  <c r="R22" i="37"/>
  <c r="R24" i="37"/>
  <c r="R26" i="37"/>
  <c r="T19" i="31" l="1"/>
  <c r="T23" i="31"/>
  <c r="T25" i="31"/>
  <c r="T21" i="31"/>
  <c r="T6" i="37"/>
  <c r="F7" i="37"/>
  <c r="G7" i="37"/>
  <c r="F8" i="37"/>
  <c r="H8" i="37" s="1"/>
  <c r="G8" i="37"/>
  <c r="I8" i="37" s="1"/>
  <c r="F9" i="37"/>
  <c r="G9" i="37"/>
  <c r="F10" i="37"/>
  <c r="G10" i="37"/>
  <c r="I10" i="37" s="1"/>
  <c r="F11" i="37"/>
  <c r="G11" i="37"/>
  <c r="F12" i="37"/>
  <c r="G12" i="37"/>
  <c r="I12" i="37" s="1"/>
  <c r="F13" i="37"/>
  <c r="G13" i="37"/>
  <c r="F14" i="37"/>
  <c r="G14" i="37"/>
  <c r="I14" i="37" s="1"/>
  <c r="F15" i="37"/>
  <c r="G15" i="37"/>
  <c r="F16" i="37"/>
  <c r="G16" i="37"/>
  <c r="I16" i="37" s="1"/>
  <c r="F17" i="37"/>
  <c r="G17" i="37"/>
  <c r="F18" i="37"/>
  <c r="G18" i="37"/>
  <c r="F19" i="37"/>
  <c r="G19" i="37"/>
  <c r="F20" i="37"/>
  <c r="G20" i="37"/>
  <c r="I20" i="37" s="1"/>
  <c r="F21" i="37"/>
  <c r="G21" i="37"/>
  <c r="F22" i="37"/>
  <c r="G22" i="37"/>
  <c r="I22" i="37" s="1"/>
  <c r="F23" i="37"/>
  <c r="G23" i="37"/>
  <c r="F24" i="37"/>
  <c r="G24" i="37"/>
  <c r="I24" i="37" s="1"/>
  <c r="F25" i="37"/>
  <c r="G25" i="37"/>
  <c r="F26" i="37"/>
  <c r="H26" i="37" s="1"/>
  <c r="G26" i="37"/>
  <c r="I26" i="37" s="1"/>
  <c r="F27" i="37"/>
  <c r="G27" i="37"/>
  <c r="F28" i="37"/>
  <c r="G28" i="37"/>
  <c r="F29" i="37"/>
  <c r="G29" i="37"/>
  <c r="P8" i="37" l="1"/>
  <c r="P10" i="37"/>
  <c r="P12" i="37"/>
  <c r="P14" i="37"/>
  <c r="P16" i="37"/>
  <c r="P18" i="37"/>
  <c r="P20" i="37"/>
  <c r="P22" i="37"/>
  <c r="P24" i="37"/>
  <c r="P26" i="37"/>
  <c r="G26" i="31" l="1"/>
  <c r="G22" i="31"/>
  <c r="G24" i="31"/>
  <c r="G20" i="31"/>
  <c r="F26" i="31"/>
  <c r="F22" i="31"/>
  <c r="F24" i="31"/>
  <c r="F20" i="31"/>
  <c r="G25" i="31"/>
  <c r="G21" i="31"/>
  <c r="G19" i="31"/>
  <c r="G23" i="31"/>
  <c r="F23" i="31"/>
  <c r="F25" i="31"/>
  <c r="F21" i="31"/>
  <c r="F19" i="31"/>
  <c r="N25" i="31" l="1"/>
  <c r="J35" i="40"/>
  <c r="M26" i="31"/>
  <c r="J16" i="40"/>
  <c r="N26" i="31"/>
  <c r="J36" i="40"/>
  <c r="M19" i="31"/>
  <c r="J9" i="40"/>
  <c r="K9" i="40" s="1"/>
  <c r="N23" i="31"/>
  <c r="J33" i="40"/>
  <c r="M20" i="31"/>
  <c r="J10" i="40"/>
  <c r="N20" i="31"/>
  <c r="J30" i="40"/>
  <c r="M21" i="31"/>
  <c r="J11" i="40"/>
  <c r="N24" i="31"/>
  <c r="J34" i="40"/>
  <c r="M25" i="31"/>
  <c r="J15" i="40"/>
  <c r="N21" i="31"/>
  <c r="J31" i="40"/>
  <c r="M22" i="31"/>
  <c r="J12" i="40"/>
  <c r="N22" i="31"/>
  <c r="J32" i="40"/>
  <c r="N19" i="31"/>
  <c r="J29" i="40"/>
  <c r="M24" i="31"/>
  <c r="J14" i="40"/>
  <c r="M23" i="31"/>
  <c r="J13" i="40"/>
  <c r="U42" i="31"/>
  <c r="U34" i="31"/>
  <c r="U36" i="31"/>
  <c r="U38" i="31"/>
  <c r="H11" i="37"/>
  <c r="I11" i="37"/>
  <c r="H15" i="37"/>
  <c r="I15" i="37"/>
  <c r="H19" i="37"/>
  <c r="I19" i="37"/>
  <c r="H25" i="37"/>
  <c r="I25" i="37"/>
  <c r="I29" i="37"/>
  <c r="H16" i="37"/>
  <c r="AB18" i="37"/>
  <c r="N11" i="40" l="1"/>
  <c r="O11" i="40"/>
  <c r="K11" i="40"/>
  <c r="P11" i="40" s="1"/>
  <c r="L11" i="40"/>
  <c r="M11" i="40"/>
  <c r="O10" i="40"/>
  <c r="K10" i="40"/>
  <c r="P10" i="40" s="1"/>
  <c r="M10" i="40"/>
  <c r="L10" i="40"/>
  <c r="N10" i="40"/>
  <c r="L16" i="40"/>
  <c r="O16" i="40"/>
  <c r="M16" i="40"/>
  <c r="N16" i="40"/>
  <c r="K16" i="40"/>
  <c r="P16" i="40" s="1"/>
  <c r="N13" i="40"/>
  <c r="M13" i="40"/>
  <c r="K13" i="40"/>
  <c r="P13" i="40" s="1"/>
  <c r="L13" i="40"/>
  <c r="O13" i="40"/>
  <c r="K12" i="40"/>
  <c r="P12" i="40" s="1"/>
  <c r="N12" i="40"/>
  <c r="O12" i="40"/>
  <c r="M12" i="40"/>
  <c r="L12" i="40"/>
  <c r="O15" i="40"/>
  <c r="M15" i="40"/>
  <c r="K15" i="40"/>
  <c r="P15" i="40" s="1"/>
  <c r="L15" i="40"/>
  <c r="N15" i="40"/>
  <c r="N14" i="40"/>
  <c r="M14" i="40"/>
  <c r="L14" i="40"/>
  <c r="K14" i="40"/>
  <c r="P14" i="40" s="1"/>
  <c r="O14" i="40"/>
  <c r="L31" i="40"/>
  <c r="K31" i="40"/>
  <c r="P31" i="40" s="1"/>
  <c r="O31" i="40"/>
  <c r="N31" i="40"/>
  <c r="M31" i="40"/>
  <c r="N30" i="40"/>
  <c r="L30" i="40"/>
  <c r="K30" i="40"/>
  <c r="P30" i="40" s="1"/>
  <c r="O30" i="40"/>
  <c r="M30" i="40"/>
  <c r="L36" i="40"/>
  <c r="K36" i="40"/>
  <c r="P36" i="40" s="1"/>
  <c r="O36" i="40"/>
  <c r="N36" i="40"/>
  <c r="M36" i="40"/>
  <c r="K35" i="40"/>
  <c r="P35" i="40" s="1"/>
  <c r="N35" i="40"/>
  <c r="L35" i="40"/>
  <c r="M35" i="40"/>
  <c r="O35" i="40"/>
  <c r="L32" i="40"/>
  <c r="M32" i="40"/>
  <c r="N32" i="40"/>
  <c r="K32" i="40"/>
  <c r="P32" i="40" s="1"/>
  <c r="O32" i="40"/>
  <c r="N34" i="40"/>
  <c r="L34" i="40"/>
  <c r="K34" i="40"/>
  <c r="P34" i="40" s="1"/>
  <c r="O34" i="40"/>
  <c r="M34" i="40"/>
  <c r="M33" i="40"/>
  <c r="O33" i="40"/>
  <c r="L33" i="40"/>
  <c r="N33" i="40"/>
  <c r="K33" i="40"/>
  <c r="P33" i="40" s="1"/>
  <c r="P9" i="40"/>
  <c r="N9" i="40"/>
  <c r="M9" i="40"/>
  <c r="O9" i="40"/>
  <c r="L9" i="40"/>
  <c r="M29" i="40"/>
  <c r="T14" i="37"/>
  <c r="U14" i="37"/>
  <c r="T26" i="37"/>
  <c r="T12" i="37"/>
  <c r="T22" i="37"/>
  <c r="U22" i="37"/>
  <c r="T8" i="37"/>
  <c r="H22" i="37"/>
  <c r="H12" i="37"/>
  <c r="T16" i="37"/>
  <c r="U16" i="37"/>
  <c r="T10" i="37"/>
  <c r="T20" i="37"/>
  <c r="U20" i="37"/>
  <c r="H28" i="37"/>
  <c r="T24" i="37"/>
  <c r="U24" i="37"/>
  <c r="T18" i="37"/>
  <c r="U18" i="37"/>
  <c r="H20" i="37"/>
  <c r="H18" i="37"/>
  <c r="H14" i="37"/>
  <c r="H10" i="37"/>
  <c r="I27" i="37"/>
  <c r="I17" i="37"/>
  <c r="I13" i="37"/>
  <c r="I7" i="37"/>
  <c r="H9" i="37"/>
  <c r="H24" i="37"/>
  <c r="I23" i="37"/>
  <c r="I21" i="37"/>
  <c r="I9" i="37"/>
  <c r="H29" i="37"/>
  <c r="H27" i="37"/>
  <c r="H23" i="37"/>
  <c r="H21" i="37"/>
  <c r="H17" i="37"/>
  <c r="H13" i="37"/>
  <c r="I28" i="37"/>
  <c r="I18" i="37"/>
  <c r="H7" i="37"/>
  <c r="L29" i="40" l="1"/>
  <c r="O29" i="40"/>
  <c r="N29" i="40"/>
  <c r="K29" i="40"/>
  <c r="P29" i="40" s="1"/>
  <c r="F31" i="31"/>
  <c r="J17" i="40" s="1"/>
  <c r="F42" i="31"/>
  <c r="J28" i="40" s="1"/>
  <c r="L28" i="40" l="1"/>
  <c r="K28" i="40"/>
  <c r="P28" i="40" s="1"/>
  <c r="M28" i="40"/>
  <c r="N28" i="40"/>
  <c r="O28" i="40"/>
  <c r="N17" i="40"/>
  <c r="O17" i="40"/>
  <c r="M17" i="40"/>
  <c r="L17" i="40"/>
  <c r="K17" i="40"/>
  <c r="P17" i="40" s="1"/>
  <c r="G39" i="31"/>
  <c r="J45" i="40" s="1"/>
  <c r="G35" i="31"/>
  <c r="J41" i="40" s="1"/>
  <c r="G31" i="31"/>
  <c r="J37" i="40" s="1"/>
  <c r="G41" i="31"/>
  <c r="J47" i="40" s="1"/>
  <c r="G37" i="31"/>
  <c r="J43" i="40" s="1"/>
  <c r="G33" i="31"/>
  <c r="J39" i="40" s="1"/>
  <c r="G36" i="31"/>
  <c r="J42" i="40" s="1"/>
  <c r="G42" i="31"/>
  <c r="J48" i="40" s="1"/>
  <c r="G38" i="31"/>
  <c r="J44" i="40" s="1"/>
  <c r="G34" i="31"/>
  <c r="J40" i="40" s="1"/>
  <c r="G32" i="31"/>
  <c r="J38" i="40" s="1"/>
  <c r="G40" i="31"/>
  <c r="J46" i="40" s="1"/>
  <c r="N37" i="31"/>
  <c r="M42" i="31"/>
  <c r="M31" i="31"/>
  <c r="T31" i="31"/>
  <c r="T41" i="31"/>
  <c r="F35" i="31"/>
  <c r="J21" i="40" s="1"/>
  <c r="F37" i="31"/>
  <c r="J23" i="40" s="1"/>
  <c r="F33" i="31"/>
  <c r="J19" i="40" s="1"/>
  <c r="F41" i="31"/>
  <c r="J27" i="40" s="1"/>
  <c r="F39" i="31"/>
  <c r="J25" i="40" s="1"/>
  <c r="F36" i="31"/>
  <c r="J22" i="40" s="1"/>
  <c r="F40" i="31"/>
  <c r="J26" i="40" s="1"/>
  <c r="F38" i="31"/>
  <c r="J24" i="40" s="1"/>
  <c r="F32" i="31"/>
  <c r="J18" i="40" s="1"/>
  <c r="F34" i="31"/>
  <c r="J20" i="40" s="1"/>
  <c r="T35" i="31"/>
  <c r="T39" i="31"/>
  <c r="T37" i="31"/>
  <c r="T33" i="31"/>
  <c r="O27" i="40" l="1"/>
  <c r="M27" i="40"/>
  <c r="L27" i="40"/>
  <c r="K27" i="40"/>
  <c r="P27" i="40" s="1"/>
  <c r="N27" i="40"/>
  <c r="L20" i="40"/>
  <c r="N20" i="40"/>
  <c r="O20" i="40"/>
  <c r="M20" i="40"/>
  <c r="K20" i="40"/>
  <c r="P20" i="40" s="1"/>
  <c r="N22" i="40"/>
  <c r="M22" i="40"/>
  <c r="L22" i="40"/>
  <c r="K22" i="40"/>
  <c r="P22" i="40" s="1"/>
  <c r="O22" i="40"/>
  <c r="O23" i="40"/>
  <c r="M23" i="40"/>
  <c r="L23" i="40"/>
  <c r="N23" i="40"/>
  <c r="K23" i="40"/>
  <c r="P23" i="40" s="1"/>
  <c r="N46" i="40"/>
  <c r="O46" i="40"/>
  <c r="M46" i="40"/>
  <c r="L46" i="40"/>
  <c r="K46" i="40"/>
  <c r="P46" i="40" s="1"/>
  <c r="L48" i="40"/>
  <c r="M48" i="40"/>
  <c r="N48" i="40"/>
  <c r="O48" i="40"/>
  <c r="K48" i="40"/>
  <c r="P48" i="40" s="1"/>
  <c r="O47" i="40"/>
  <c r="L47" i="40"/>
  <c r="N47" i="40"/>
  <c r="K47" i="40"/>
  <c r="P47" i="40" s="1"/>
  <c r="M47" i="40"/>
  <c r="L24" i="40"/>
  <c r="N24" i="40"/>
  <c r="O24" i="40"/>
  <c r="M24" i="40"/>
  <c r="K24" i="40"/>
  <c r="P24" i="40" s="1"/>
  <c r="L40" i="40"/>
  <c r="M40" i="40"/>
  <c r="N40" i="40"/>
  <c r="O40" i="40"/>
  <c r="K40" i="40"/>
  <c r="P40" i="40" s="1"/>
  <c r="O39" i="40"/>
  <c r="L39" i="40"/>
  <c r="K39" i="40"/>
  <c r="P39" i="40" s="1"/>
  <c r="N39" i="40"/>
  <c r="M39" i="40"/>
  <c r="M41" i="40"/>
  <c r="O41" i="40"/>
  <c r="K41" i="40"/>
  <c r="P41" i="40" s="1"/>
  <c r="L41" i="40"/>
  <c r="N41" i="40"/>
  <c r="N26" i="40"/>
  <c r="L26" i="40"/>
  <c r="M26" i="40"/>
  <c r="O26" i="40"/>
  <c r="K26" i="40"/>
  <c r="P26" i="40" s="1"/>
  <c r="O19" i="40"/>
  <c r="M19" i="40"/>
  <c r="L19" i="40"/>
  <c r="K19" i="40"/>
  <c r="P19" i="40" s="1"/>
  <c r="N19" i="40"/>
  <c r="L44" i="40"/>
  <c r="M44" i="40"/>
  <c r="N44" i="40"/>
  <c r="O44" i="40"/>
  <c r="K44" i="40"/>
  <c r="P44" i="40" s="1"/>
  <c r="O43" i="40"/>
  <c r="L43" i="40"/>
  <c r="M43" i="40"/>
  <c r="N43" i="40"/>
  <c r="K43" i="40"/>
  <c r="P43" i="40" s="1"/>
  <c r="M45" i="40"/>
  <c r="N45" i="40"/>
  <c r="O45" i="40"/>
  <c r="K45" i="40"/>
  <c r="P45" i="40" s="1"/>
  <c r="L45" i="40"/>
  <c r="N18" i="40"/>
  <c r="M18" i="40"/>
  <c r="L18" i="40"/>
  <c r="K18" i="40"/>
  <c r="P18" i="40" s="1"/>
  <c r="O18" i="40"/>
  <c r="N25" i="40"/>
  <c r="L25" i="40"/>
  <c r="K25" i="40"/>
  <c r="P25" i="40" s="1"/>
  <c r="O25" i="40"/>
  <c r="M25" i="40"/>
  <c r="N21" i="40"/>
  <c r="K21" i="40"/>
  <c r="P21" i="40" s="1"/>
  <c r="O21" i="40"/>
  <c r="M21" i="40"/>
  <c r="L21" i="40"/>
  <c r="N38" i="40"/>
  <c r="O38" i="40"/>
  <c r="M38" i="40"/>
  <c r="L38" i="40"/>
  <c r="K38" i="40"/>
  <c r="P38" i="40" s="1"/>
  <c r="N42" i="40"/>
  <c r="L42" i="40"/>
  <c r="K42" i="40"/>
  <c r="P42" i="40" s="1"/>
  <c r="O42" i="40"/>
  <c r="M42" i="40"/>
  <c r="M37" i="40"/>
  <c r="O37" i="40"/>
  <c r="N37" i="40"/>
  <c r="K37" i="40"/>
  <c r="P37" i="40" s="1"/>
  <c r="L37" i="40"/>
  <c r="N38" i="31"/>
  <c r="N32" i="31"/>
  <c r="N36" i="31"/>
  <c r="N34" i="31"/>
  <c r="N33" i="31"/>
  <c r="N40" i="31"/>
  <c r="N42" i="31"/>
  <c r="M40" i="31"/>
  <c r="M34" i="31"/>
  <c r="N41" i="31"/>
  <c r="M32" i="31"/>
  <c r="M39" i="31"/>
  <c r="M35" i="31"/>
  <c r="N31" i="31"/>
  <c r="M33" i="31"/>
  <c r="N35" i="31"/>
  <c r="M36" i="31"/>
  <c r="M37" i="31"/>
  <c r="M38" i="31"/>
  <c r="M41" i="31"/>
  <c r="N39" i="31"/>
</calcChain>
</file>

<file path=xl/sharedStrings.xml><?xml version="1.0" encoding="utf-8"?>
<sst xmlns="http://schemas.openxmlformats.org/spreadsheetml/2006/main" count="585" uniqueCount="177">
  <si>
    <t xml:space="preserve">HBCD Occupational Risk Calculator </t>
  </si>
  <si>
    <t>Companion occupational risk calculation spreadsheet for</t>
  </si>
  <si>
    <t xml:space="preserve">Final Risk Evaluation for Cyclic Aliphatic Bromide Cluster (HBCD) </t>
  </si>
  <si>
    <t>Table of Contents</t>
  </si>
  <si>
    <t>Worksheet</t>
  </si>
  <si>
    <t>Description</t>
  </si>
  <si>
    <t>Dashboard</t>
  </si>
  <si>
    <t>This tab calculates and displays MOE values for the condition of use, type of worker, and type of respiratory protection selected by the user.</t>
  </si>
  <si>
    <t>Risk Reduction Heat Map</t>
  </si>
  <si>
    <t>This tab calculates and displays MOE values for each respirator APF for the condition of use selected by the user in the "Dashboard" tab.</t>
  </si>
  <si>
    <t>Exposure Results</t>
  </si>
  <si>
    <t xml:space="preserve">This tab contains the inhalation and dermal exposure values and corresponding calculations of acute absorbed dose and chronic absorbed dose for each condition of use. </t>
  </si>
  <si>
    <t>Exposure Factors</t>
  </si>
  <si>
    <t>This tab contains the exposure factor values used in the inhalation and dermal exposure calculations in the "Exposure Results" tab.</t>
  </si>
  <si>
    <t>Hazard Values</t>
  </si>
  <si>
    <t>This tab contains the health hazard parameters, including benchmarch MOE values, against which the calculated MOE values in "Dashboard" and "RR" are compared in order to estimate risk.</t>
  </si>
  <si>
    <t>Condition of Use</t>
  </si>
  <si>
    <t>Exposure Selections</t>
  </si>
  <si>
    <t>Absorption Factors</t>
  </si>
  <si>
    <t>Select the Condition of Use</t>
  </si>
  <si>
    <t>Worker Type</t>
  </si>
  <si>
    <t>Inhalation</t>
  </si>
  <si>
    <t>Dermal</t>
  </si>
  <si>
    <t>Formulation of Flux / Solder Paste</t>
  </si>
  <si>
    <t>Average Adult Worker</t>
  </si>
  <si>
    <t>No respirator</t>
  </si>
  <si>
    <t>Respirator</t>
  </si>
  <si>
    <t>Exposure Outputs</t>
  </si>
  <si>
    <t>Category</t>
  </si>
  <si>
    <t>Exposure Level</t>
  </si>
  <si>
    <t>Eight-Hour TWA Exposures</t>
  </si>
  <si>
    <t>Acute Absorbed Dose</t>
  </si>
  <si>
    <t>Chronic Absorbed Dose</t>
  </si>
  <si>
    <t>Select the Assigned Protection Factor (APF)</t>
  </si>
  <si>
    <t>Potential Dose Rate</t>
  </si>
  <si>
    <t>Worker</t>
  </si>
  <si>
    <t>High-End</t>
  </si>
  <si>
    <t xml:space="preserve">APF = </t>
  </si>
  <si>
    <t>High-end</t>
  </si>
  <si>
    <t>ONU</t>
  </si>
  <si>
    <t>Central Tendency</t>
  </si>
  <si>
    <t>Risk Estimation for Acute Inhalation Doses</t>
  </si>
  <si>
    <t>Risk Estimation for Acute Inhalation Doses (Respirator Protection)</t>
  </si>
  <si>
    <t>Risk Estimation for Acute Dermal Doses</t>
  </si>
  <si>
    <t>Health Effect, Endpoint and Study</t>
  </si>
  <si>
    <t>Benchmark MOE 
(= Total UF)</t>
  </si>
  <si>
    <t>Look-up Code</t>
  </si>
  <si>
    <t>Worker MOE</t>
  </si>
  <si>
    <t>ONU MOE</t>
  </si>
  <si>
    <t>Tox01</t>
  </si>
  <si>
    <t>Tox02</t>
  </si>
  <si>
    <t>Tox03</t>
  </si>
  <si>
    <t>Tox04</t>
  </si>
  <si>
    <t>-</t>
  </si>
  <si>
    <t>Risk Estimation for Chronic, Non-Cancer Inhalation Doses</t>
  </si>
  <si>
    <t>Risk Estimation for Chronic, Non-Cancer Dermal Doses</t>
  </si>
  <si>
    <t>Health Effect, Endpoint, and Study</t>
  </si>
  <si>
    <t>Tox05</t>
  </si>
  <si>
    <t>Tox06</t>
  </si>
  <si>
    <t>Tox07</t>
  </si>
  <si>
    <t>Tox08</t>
  </si>
  <si>
    <t>Tox09</t>
  </si>
  <si>
    <t>Tox10</t>
  </si>
  <si>
    <t>MOEs for Each APF</t>
  </si>
  <si>
    <t>Condition of Use 
(Selected from Dashboard)</t>
  </si>
  <si>
    <t>MOE</t>
  </si>
  <si>
    <t xml:space="preserve">Baseline </t>
  </si>
  <si>
    <t>Personal Protective Equipment (PPE): Respirators 
Assigned Protection Factor (APF)</t>
  </si>
  <si>
    <t>Lookup</t>
  </si>
  <si>
    <t>Condition of Use 
(Select from Dashboard)</t>
  </si>
  <si>
    <t>Risk Type</t>
  </si>
  <si>
    <t>Toxicity Endpoint</t>
  </si>
  <si>
    <t>Study</t>
  </si>
  <si>
    <t>Benchmark</t>
  </si>
  <si>
    <t>Acute, Non-Cancer</t>
  </si>
  <si>
    <t>Thyroid effects</t>
  </si>
  <si>
    <t>Decreased T4</t>
  </si>
  <si>
    <t>Ema et al., 2008</t>
  </si>
  <si>
    <t>Developmental Toxicity</t>
  </si>
  <si>
    <t>F2 Offspring Loss</t>
  </si>
  <si>
    <t>Delayed eye opening</t>
  </si>
  <si>
    <t>Decreased F2 pup weight</t>
  </si>
  <si>
    <t>Chronic, Non-Cancer</t>
  </si>
  <si>
    <t>Thyroid</t>
  </si>
  <si>
    <t>Liver</t>
  </si>
  <si>
    <t>Increased liver weight and vacuolization</t>
  </si>
  <si>
    <t>WIL Research, 2001</t>
  </si>
  <si>
    <t>Female Reproductive</t>
  </si>
  <si>
    <t>Reduced primordial follicles</t>
  </si>
  <si>
    <t>Occupational Non-User (ONU)</t>
  </si>
  <si>
    <t>Inhalation Exposure Results and Calculations</t>
  </si>
  <si>
    <t>Dermal Exposure Results and Calculations</t>
  </si>
  <si>
    <t>Condition of Use number</t>
  </si>
  <si>
    <t>Condition of Use Title</t>
  </si>
  <si>
    <t>Characterization</t>
  </si>
  <si>
    <t>M = Qu x S</t>
  </si>
  <si>
    <t>Frequency of Events</t>
  </si>
  <si>
    <t>Number of Inhalation Monitoring Data Points</t>
  </si>
  <si>
    <t>Sources &amp; Notes</t>
  </si>
  <si>
    <t>Exposure Duration (ED)
(hr/day)</t>
  </si>
  <si>
    <t>Annual Working Days (AWD)
(days/yr)</t>
  </si>
  <si>
    <t>Fraction of Working Days of Exposure (f)</t>
  </si>
  <si>
    <t>Exposure Frequency (EF)
(days/yr)</t>
  </si>
  <si>
    <t>wt fraction</t>
  </si>
  <si>
    <t>mg/event</t>
  </si>
  <si>
    <t>FT</t>
  </si>
  <si>
    <t>High End</t>
  </si>
  <si>
    <t>High-end of range</t>
  </si>
  <si>
    <t>Mid-point of range</t>
  </si>
  <si>
    <t>Repackaging of import containers</t>
  </si>
  <si>
    <t>High-end: 90th percentile
Central Tendency: Median</t>
  </si>
  <si>
    <t>Not assessed</t>
  </si>
  <si>
    <t>Compounding of Polystyrene resin to Produce XPS Masterbatch</t>
  </si>
  <si>
    <t>High-end: Reasonable worst-case from EURAR
Central Tendency: Typical from EURAR</t>
  </si>
  <si>
    <t>Determined from multiple studies</t>
  </si>
  <si>
    <t>Manufacturing of XPS Foam Using XPS Masterbatch</t>
  </si>
  <si>
    <t>High-end: 90th percentile
Central Tendency: Mean</t>
  </si>
  <si>
    <t>Manufacturing of XPS Foam Using HBCD Powder</t>
  </si>
  <si>
    <t>Manufacturing of EPS Foam Using Imported EPS Resin Beads</t>
  </si>
  <si>
    <t>Manufacturing of SIPs and Automobile Replacement Parts from EPS/XPS Foam</t>
  </si>
  <si>
    <t>Installation of Automobile Replacement Parts</t>
  </si>
  <si>
    <t xml:space="preserve">Installation of EPS/XPS Foam Insulation in Residential, Public and Commercial Buildings, and Other Structures </t>
  </si>
  <si>
    <t xml:space="preserve">Demolition of EPS/XPS Foam Insulation in Residential, Public and Commercial Buildings, and Other Structures </t>
  </si>
  <si>
    <t>This is a range using the OSHA PNOR PEL of 15 mg/m3 and HBCD concentration of 0.7% in EPS and 2% in XPS.</t>
  </si>
  <si>
    <t>N/A</t>
  </si>
  <si>
    <t>Recycling of EPS Foam</t>
  </si>
  <si>
    <t>Use of Flux / Solder Paste</t>
  </si>
  <si>
    <t>Electronics Recycling</t>
  </si>
  <si>
    <t>High-end: High-end of ranges from Rosenberg (2011)
Central Tendency: Average of medians from Rosenberg (2011)
before engineering controls</t>
  </si>
  <si>
    <t>Females of Reproductive Age</t>
  </si>
  <si>
    <t>User Defined</t>
  </si>
  <si>
    <t>Body Weight, BW (kg)</t>
  </si>
  <si>
    <t>Working Years - High-End (yr)</t>
  </si>
  <si>
    <t>Working Years - Central Tendency (yr)</t>
  </si>
  <si>
    <t>Females of Reproductive Age Exposure Factors:</t>
  </si>
  <si>
    <t>Body Weight:</t>
  </si>
  <si>
    <t>From the Exposure Factors Handbook Table 8-5: Mean and Percentile Body Weights (kg) for Females Derived from NHANES (1990-2006) (1)</t>
  </si>
  <si>
    <t>Age 16 to &lt;21 years: 65.9 kg (mean)</t>
  </si>
  <si>
    <t>Age 21 to &lt;30 years: 71.9 kg (mean)</t>
  </si>
  <si>
    <t>Age 30 to &lt;40 years: 74.8 kg (mean)</t>
  </si>
  <si>
    <t>Age 40 to &lt;50 years: 77.1 kg (mean)</t>
  </si>
  <si>
    <t>Hand Surface Area:</t>
  </si>
  <si>
    <t>From the Exposure Factors Handbook Table 7-2: Recommended Values for Surface Area of Body Parts (1)</t>
  </si>
  <si>
    <t>(1) U.S. Environmental Protection Agency (EPA). (2011) Exposure Factors Handbook: 2011 Edition. National Center for Environmental Assessment, Washington, DC; EPA/600/R-09/052F. Available from the National Technical Information Service, Springfield, VA, and online at http://www.epa.gov/ncea/efh.</t>
  </si>
  <si>
    <t>Health Hazard Parameters</t>
  </si>
  <si>
    <t>Acute and Chronic, Non-Cancer Parameters</t>
  </si>
  <si>
    <t>Code</t>
  </si>
  <si>
    <t>Benchmark MOE</t>
  </si>
  <si>
    <t>Acute</t>
  </si>
  <si>
    <t>Chronic, 
Non-Cancer</t>
  </si>
  <si>
    <t>Increased relative liver weight and vacuolization</t>
  </si>
  <si>
    <t>September 2020</t>
  </si>
  <si>
    <r>
      <t>C</t>
    </r>
    <r>
      <rPr>
        <b/>
        <vertAlign val="subscript"/>
        <sz val="12"/>
        <rFont val="Times New Roman"/>
        <family val="1"/>
      </rPr>
      <t>HBCD, 8-hr TWA</t>
    </r>
    <r>
      <rPr>
        <b/>
        <sz val="12"/>
        <rFont val="Times New Roman"/>
        <family val="1"/>
      </rPr>
      <t xml:space="preserve"> (mg/m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</si>
  <si>
    <r>
      <t>AAD</t>
    </r>
    <r>
      <rPr>
        <b/>
        <vertAlign val="subscript"/>
        <sz val="12"/>
        <rFont val="Times New Roman"/>
        <family val="1"/>
      </rPr>
      <t>HBCD</t>
    </r>
    <r>
      <rPr>
        <b/>
        <sz val="12"/>
        <rFont val="Times New Roman"/>
        <family val="1"/>
      </rPr>
      <t xml:space="preserve"> (mg/kg-day)</t>
    </r>
  </si>
  <si>
    <r>
      <t>CAD</t>
    </r>
    <r>
      <rPr>
        <b/>
        <vertAlign val="subscript"/>
        <sz val="12"/>
        <rFont val="Times New Roman"/>
        <family val="1"/>
      </rPr>
      <t>HBCD</t>
    </r>
    <r>
      <rPr>
        <b/>
        <sz val="12"/>
        <rFont val="Times New Roman"/>
        <family val="1"/>
      </rPr>
      <t xml:space="preserve"> (mg/kg-day)</t>
    </r>
  </si>
  <si>
    <r>
      <t>D</t>
    </r>
    <r>
      <rPr>
        <b/>
        <vertAlign val="subscript"/>
        <sz val="12"/>
        <color theme="1"/>
        <rFont val="Times New Roman"/>
        <family val="1"/>
      </rPr>
      <t>exp</t>
    </r>
    <r>
      <rPr>
        <b/>
        <sz val="12"/>
        <color theme="1"/>
        <rFont val="Times New Roman"/>
        <family val="1"/>
      </rPr>
      <t xml:space="preserve"> (mg/day)</t>
    </r>
  </si>
  <si>
    <r>
      <t>POD</t>
    </r>
    <r>
      <rPr>
        <b/>
        <vertAlign val="subscript"/>
        <sz val="12"/>
        <rFont val="Times New Roman"/>
        <family val="1"/>
      </rPr>
      <t>HED</t>
    </r>
    <r>
      <rPr>
        <b/>
        <sz val="12"/>
        <rFont val="Times New Roman"/>
        <family val="1"/>
      </rPr>
      <t xml:space="preserve"> (mg/kg)</t>
    </r>
  </si>
  <si>
    <r>
      <t xml:space="preserve">Thyroid effects
</t>
    </r>
    <r>
      <rPr>
        <sz val="12"/>
        <rFont val="Times New Roman"/>
        <family val="1"/>
      </rPr>
      <t>Decreased T4
(Ema et al., 2008)</t>
    </r>
  </si>
  <si>
    <r>
      <t xml:space="preserve">Developmental Toxicity
</t>
    </r>
    <r>
      <rPr>
        <sz val="12"/>
        <rFont val="Times New Roman"/>
        <family val="1"/>
      </rPr>
      <t>F2 offspring loss
(Ema et al., 2008)</t>
    </r>
  </si>
  <si>
    <r>
      <t xml:space="preserve">Developmental Toxicity
</t>
    </r>
    <r>
      <rPr>
        <sz val="12"/>
        <rFont val="Times New Roman"/>
        <family val="1"/>
      </rPr>
      <t>Delayed eye opening
(Ema et al., 2008)</t>
    </r>
  </si>
  <si>
    <r>
      <t xml:space="preserve">Developmental Toxicity
</t>
    </r>
    <r>
      <rPr>
        <sz val="12"/>
        <rFont val="Times New Roman"/>
        <family val="1"/>
      </rPr>
      <t>Decreased F2 pup weight
(Ema et al., 2008)</t>
    </r>
  </si>
  <si>
    <r>
      <rPr>
        <b/>
        <sz val="12"/>
        <rFont val="Times New Roman"/>
        <family val="1"/>
      </rPr>
      <t xml:space="preserve">Thyroid Toxicity </t>
    </r>
    <r>
      <rPr>
        <sz val="12"/>
        <rFont val="Times New Roman"/>
        <family val="1"/>
      </rPr>
      <t xml:space="preserve">
Decreased T4
(Ema et al., 2008)</t>
    </r>
  </si>
  <si>
    <r>
      <rPr>
        <b/>
        <sz val="12"/>
        <rFont val="Times New Roman"/>
        <family val="1"/>
      </rPr>
      <t>Liver Toxicity</t>
    </r>
    <r>
      <rPr>
        <sz val="12"/>
        <rFont val="Times New Roman"/>
        <family val="1"/>
      </rPr>
      <t xml:space="preserve">
Increased relative liver weight and vacuolization
(WIL Research., 2001)</t>
    </r>
  </si>
  <si>
    <r>
      <rPr>
        <b/>
        <sz val="12"/>
        <rFont val="Times New Roman"/>
        <family val="1"/>
      </rPr>
      <t>Female Reproductive Toxicity</t>
    </r>
    <r>
      <rPr>
        <sz val="12"/>
        <rFont val="Times New Roman"/>
        <family val="1"/>
      </rPr>
      <t xml:space="preserve">
Reduced primordial follicles 
(Ema et al., 2008)</t>
    </r>
  </si>
  <si>
    <r>
      <t>Developmental Toxicity</t>
    </r>
    <r>
      <rPr>
        <sz val="12"/>
        <rFont val="Times New Roman"/>
        <family val="1"/>
      </rPr>
      <t xml:space="preserve">
F2 offpsring loss
(Ema et al., 2008)</t>
    </r>
  </si>
  <si>
    <r>
      <rPr>
        <b/>
        <sz val="12"/>
        <rFont val="Times New Roman"/>
        <family val="1"/>
      </rPr>
      <t>Female Reproductive Toxicity</t>
    </r>
    <r>
      <rPr>
        <sz val="12"/>
        <rFont val="Times New Roman"/>
        <family val="1"/>
      </rPr>
      <t xml:space="preserve">
Increased incidence of non-pregnancy 
(Ema et al., 2008)</t>
    </r>
  </si>
  <si>
    <r>
      <t>Developmental Toxicity</t>
    </r>
    <r>
      <rPr>
        <sz val="12"/>
        <rFont val="Times New Roman"/>
        <family val="1"/>
      </rPr>
      <t xml:space="preserve">
Delayed eye opening
(Ema et al., 2008)</t>
    </r>
  </si>
  <si>
    <r>
      <rPr>
        <b/>
        <sz val="12"/>
        <rFont val="Times New Roman"/>
        <family val="1"/>
      </rPr>
      <t>Developmental Toxicity</t>
    </r>
    <r>
      <rPr>
        <sz val="12"/>
        <rFont val="Times New Roman"/>
        <family val="1"/>
      </rPr>
      <t xml:space="preserve">
Decreased F2 pup weight
(Ema et al., 2008)</t>
    </r>
  </si>
  <si>
    <r>
      <t>Y</t>
    </r>
    <r>
      <rPr>
        <b/>
        <vertAlign val="subscript"/>
        <sz val="12"/>
        <rFont val="Times New Roman"/>
        <family val="1"/>
      </rPr>
      <t>derm</t>
    </r>
  </si>
  <si>
    <r>
      <t>Q</t>
    </r>
    <r>
      <rPr>
        <b/>
        <vertAlign val="subscript"/>
        <sz val="12"/>
        <rFont val="Times New Roman"/>
        <family val="1"/>
      </rPr>
      <t>u</t>
    </r>
  </si>
  <si>
    <r>
      <t>mg/cm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-event</t>
    </r>
  </si>
  <si>
    <r>
      <t>AAD</t>
    </r>
    <r>
      <rPr>
        <b/>
        <vertAlign val="subscript"/>
        <sz val="12"/>
        <color theme="1"/>
        <rFont val="Times New Roman"/>
        <family val="1"/>
      </rPr>
      <t>HBCD</t>
    </r>
    <r>
      <rPr>
        <b/>
        <sz val="12"/>
        <color theme="1"/>
        <rFont val="Times New Roman"/>
        <family val="1"/>
      </rPr>
      <t xml:space="preserve">
(mg/kg-day)</t>
    </r>
  </si>
  <si>
    <r>
      <t>CAD</t>
    </r>
    <r>
      <rPr>
        <b/>
        <vertAlign val="subscript"/>
        <sz val="12"/>
        <color theme="1"/>
        <rFont val="Times New Roman"/>
        <family val="1"/>
      </rPr>
      <t>HBCD</t>
    </r>
    <r>
      <rPr>
        <b/>
        <sz val="12"/>
        <color theme="1"/>
        <rFont val="Times New Roman"/>
        <family val="1"/>
      </rPr>
      <t xml:space="preserve"> (mg/kg-day)</t>
    </r>
  </si>
  <si>
    <r>
      <t>Breathing Rate, b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/hr)</t>
    </r>
  </si>
  <si>
    <r>
      <t>2-Hand Surface Area, S (cm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</si>
  <si>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Adult Female (21+ years): Hands: 0.089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(mean surface area of body part)</t>
    </r>
  </si>
  <si>
    <r>
      <t>POD</t>
    </r>
    <r>
      <rPr>
        <b/>
        <vertAlign val="subscript"/>
        <sz val="12"/>
        <color theme="1"/>
        <rFont val="Times New Roman"/>
        <family val="1"/>
      </rPr>
      <t>HED</t>
    </r>
    <r>
      <rPr>
        <b/>
        <sz val="12"/>
        <color theme="1"/>
        <rFont val="Times New Roman"/>
        <family val="1"/>
      </rPr>
      <t xml:space="preserve"> (mg/kg)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</si>
</sst>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"/>
    <numFmt numFmtId="167" formatCode="0.0%"/>
    <numFmt numFmtId="168" formatCode="#,##0.000"/>
    <numFmt numFmtId="169" formatCode="0.00000"/>
    <numFmt numFmtId="170" formatCode="#,##0.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bscript"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i/>
      <sz val="12"/>
      <color rgb="FFC00000"/>
      <name val="Times New Roman"/>
      <family val="1"/>
    </font>
    <font>
      <b/>
      <sz val="12"/>
      <color theme="0"/>
      <name val="Times New Roman"/>
      <family val="1"/>
    </font>
    <font>
      <sz val="12"/>
      <color theme="0" tint="-4.9989318521683403E-2"/>
      <name val="Times New Roman"/>
      <family val="1"/>
    </font>
    <font>
      <sz val="12"/>
      <color theme="0" tint="-0.1499984740745262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ashed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5">
    <xf numFmtId="0" fontId="0" fillId="0" borderId="0" xfId="0"/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7" borderId="0" xfId="0" applyFont="1" applyFill="1"/>
    <xf numFmtId="0" fontId="7" fillId="0" borderId="0" xfId="0" applyFont="1"/>
    <xf numFmtId="0" fontId="8" fillId="0" borderId="0" xfId="2" applyFont="1"/>
    <xf numFmtId="0" fontId="8" fillId="0" borderId="0" xfId="2" quotePrefix="1" applyFont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9" fontId="7" fillId="2" borderId="16" xfId="1" applyFont="1" applyFill="1" applyBorder="1" applyAlignment="1">
      <alignment horizontal="center" vertical="center" wrapText="1"/>
    </xf>
    <xf numFmtId="167" fontId="7" fillId="2" borderId="24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/>
    </xf>
    <xf numFmtId="166" fontId="7" fillId="3" borderId="22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vertical="center"/>
    </xf>
    <xf numFmtId="169" fontId="7" fillId="3" borderId="22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2" fontId="13" fillId="3" borderId="48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vertical="center"/>
    </xf>
    <xf numFmtId="169" fontId="7" fillId="3" borderId="19" xfId="0" applyNumberFormat="1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2" fontId="7" fillId="3" borderId="84" xfId="0" applyNumberFormat="1" applyFont="1" applyFill="1" applyBorder="1" applyAlignment="1">
      <alignment vertical="center"/>
    </xf>
    <xf numFmtId="169" fontId="7" fillId="3" borderId="2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3" fillId="3" borderId="16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/>
    </xf>
    <xf numFmtId="0" fontId="7" fillId="3" borderId="0" xfId="0" applyFont="1" applyFill="1"/>
    <xf numFmtId="0" fontId="6" fillId="3" borderId="0" xfId="0" applyFont="1" applyFill="1"/>
    <xf numFmtId="0" fontId="1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3" fontId="7" fillId="3" borderId="74" xfId="0" applyNumberFormat="1" applyFont="1" applyFill="1" applyBorder="1" applyAlignment="1">
      <alignment horizontal="center" vertical="center"/>
    </xf>
    <xf numFmtId="11" fontId="7" fillId="3" borderId="78" xfId="0" applyNumberFormat="1" applyFont="1" applyFill="1" applyBorder="1" applyAlignment="1">
      <alignment horizontal="center" vertical="center"/>
    </xf>
    <xf numFmtId="11" fontId="7" fillId="3" borderId="59" xfId="0" applyNumberFormat="1" applyFont="1" applyFill="1" applyBorder="1" applyAlignment="1">
      <alignment horizontal="center" vertical="center"/>
    </xf>
    <xf numFmtId="11" fontId="7" fillId="3" borderId="60" xfId="0" applyNumberFormat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/>
    </xf>
    <xf numFmtId="3" fontId="7" fillId="3" borderId="75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/>
    </xf>
    <xf numFmtId="11" fontId="7" fillId="3" borderId="85" xfId="0" applyNumberFormat="1" applyFont="1" applyFill="1" applyBorder="1" applyAlignment="1">
      <alignment horizontal="center" vertical="center"/>
    </xf>
    <xf numFmtId="11" fontId="7" fillId="3" borderId="56" xfId="0" applyNumberFormat="1" applyFont="1" applyFill="1" applyBorder="1" applyAlignment="1">
      <alignment horizontal="center" vertical="center"/>
    </xf>
    <xf numFmtId="11" fontId="7" fillId="3" borderId="86" xfId="0" applyNumberFormat="1" applyFont="1" applyFill="1" applyBorder="1" applyAlignment="1">
      <alignment horizontal="center" vertical="center"/>
    </xf>
    <xf numFmtId="11" fontId="7" fillId="3" borderId="77" xfId="0" applyNumberFormat="1" applyFont="1" applyFill="1" applyBorder="1" applyAlignment="1">
      <alignment horizontal="center" vertical="center"/>
    </xf>
    <xf numFmtId="11" fontId="7" fillId="3" borderId="57" xfId="0" applyNumberFormat="1" applyFont="1" applyFill="1" applyBorder="1" applyAlignment="1">
      <alignment horizontal="center" vertical="center"/>
    </xf>
    <xf numFmtId="11" fontId="7" fillId="3" borderId="58" xfId="0" applyNumberFormat="1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3" fontId="7" fillId="3" borderId="76" xfId="0" applyNumberFormat="1" applyFont="1" applyFill="1" applyBorder="1" applyAlignment="1">
      <alignment horizontal="center" vertical="center"/>
    </xf>
    <xf numFmtId="11" fontId="7" fillId="3" borderId="79" xfId="0" applyNumberFormat="1" applyFont="1" applyFill="1" applyBorder="1" applyAlignment="1">
      <alignment horizontal="center" vertical="center"/>
    </xf>
    <xf numFmtId="11" fontId="7" fillId="3" borderId="61" xfId="0" applyNumberFormat="1" applyFont="1" applyFill="1" applyBorder="1" applyAlignment="1">
      <alignment horizontal="center" vertical="center"/>
    </xf>
    <xf numFmtId="11" fontId="7" fillId="3" borderId="6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10" fillId="5" borderId="43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1" fontId="7" fillId="3" borderId="1" xfId="0" applyNumberFormat="1" applyFont="1" applyFill="1" applyBorder="1" applyAlignment="1">
      <alignment horizontal="center" vertical="center"/>
    </xf>
    <xf numFmtId="11" fontId="7" fillId="3" borderId="21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164" fontId="7" fillId="3" borderId="42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168" fontId="7" fillId="3" borderId="21" xfId="0" applyNumberFormat="1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5" fontId="7" fillId="3" borderId="42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164" fontId="7" fillId="3" borderId="21" xfId="0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21" xfId="0" applyNumberFormat="1" applyFont="1" applyFill="1" applyBorder="1" applyAlignment="1">
      <alignment horizontal="center" vertical="center"/>
    </xf>
    <xf numFmtId="17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21" fillId="3" borderId="39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2" fontId="7" fillId="3" borderId="46" xfId="0" applyNumberFormat="1" applyFont="1" applyFill="1" applyBorder="1" applyAlignment="1">
      <alignment horizontal="center" vertical="center" wrapText="1"/>
    </xf>
    <xf numFmtId="2" fontId="7" fillId="3" borderId="39" xfId="0" applyNumberFormat="1" applyFont="1" applyFill="1" applyBorder="1" applyAlignment="1">
      <alignment horizontal="center" vertical="center" wrapText="1"/>
    </xf>
    <xf numFmtId="11" fontId="7" fillId="3" borderId="39" xfId="0" applyNumberFormat="1" applyFont="1" applyFill="1" applyBorder="1" applyAlignment="1">
      <alignment horizontal="center" vertical="center"/>
    </xf>
    <xf numFmtId="11" fontId="7" fillId="3" borderId="6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 wrapText="1"/>
    </xf>
    <xf numFmtId="11" fontId="7" fillId="3" borderId="88" xfId="0" applyNumberFormat="1" applyFont="1" applyFill="1" applyBorder="1" applyAlignment="1">
      <alignment horizontal="center" vertical="center"/>
    </xf>
    <xf numFmtId="3" fontId="7" fillId="3" borderId="39" xfId="0" applyNumberFormat="1" applyFont="1" applyFill="1" applyBorder="1" applyAlignment="1">
      <alignment horizontal="center" vertical="center"/>
    </xf>
    <xf numFmtId="170" fontId="7" fillId="3" borderId="39" xfId="0" applyNumberFormat="1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 wrapText="1"/>
    </xf>
    <xf numFmtId="11" fontId="7" fillId="3" borderId="16" xfId="0" applyNumberFormat="1" applyFont="1" applyFill="1" applyBorder="1" applyAlignment="1">
      <alignment horizontal="center" vertical="center"/>
    </xf>
    <xf numFmtId="11" fontId="7" fillId="3" borderId="36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vertical="center" wrapText="1"/>
    </xf>
    <xf numFmtId="2" fontId="7" fillId="3" borderId="44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2" fontId="7" fillId="3" borderId="3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wrapText="1"/>
    </xf>
    <xf numFmtId="0" fontId="7" fillId="3" borderId="16" xfId="0" applyFont="1" applyFill="1" applyBorder="1"/>
    <xf numFmtId="0" fontId="13" fillId="3" borderId="16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6" fillId="6" borderId="23" xfId="0" applyFont="1" applyFill="1" applyBorder="1" applyAlignment="1">
      <alignment horizontal="left" wrapText="1"/>
    </xf>
    <xf numFmtId="0" fontId="7" fillId="3" borderId="16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23" fillId="3" borderId="0" xfId="0" applyFont="1" applyFill="1"/>
    <xf numFmtId="0" fontId="7" fillId="3" borderId="2" xfId="0" applyFont="1" applyFill="1" applyBorder="1"/>
    <xf numFmtId="0" fontId="7" fillId="3" borderId="3" xfId="0" applyFont="1" applyFill="1" applyBorder="1"/>
    <xf numFmtId="0" fontId="6" fillId="3" borderId="3" xfId="0" applyFont="1" applyFill="1" applyBorder="1"/>
    <xf numFmtId="0" fontId="7" fillId="3" borderId="5" xfId="0" applyFont="1" applyFill="1" applyBorder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left"/>
    </xf>
    <xf numFmtId="0" fontId="13" fillId="3" borderId="27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vertical="center"/>
    </xf>
    <xf numFmtId="0" fontId="13" fillId="3" borderId="29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wrapText="1"/>
    </xf>
    <xf numFmtId="0" fontId="13" fillId="3" borderId="29" xfId="0" applyFont="1" applyFill="1" applyBorder="1" applyAlignment="1">
      <alignment horizontal="center"/>
    </xf>
    <xf numFmtId="1" fontId="13" fillId="3" borderId="32" xfId="0" applyNumberFormat="1" applyFont="1" applyFill="1" applyBorder="1" applyAlignment="1">
      <alignment horizontal="center"/>
    </xf>
    <xf numFmtId="0" fontId="13" fillId="3" borderId="29" xfId="0" applyFont="1" applyFill="1" applyBorder="1"/>
    <xf numFmtId="0" fontId="7" fillId="3" borderId="11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horizontal="center"/>
    </xf>
    <xf numFmtId="1" fontId="13" fillId="3" borderId="13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vertical="center" wrapText="1"/>
    </xf>
    <xf numFmtId="0" fontId="13" fillId="3" borderId="28" xfId="0" applyFont="1" applyFill="1" applyBorder="1"/>
    <xf numFmtId="0" fontId="13" fillId="3" borderId="28" xfId="0" applyFont="1" applyFill="1" applyBorder="1" applyAlignment="1">
      <alignment horizontal="center"/>
    </xf>
    <xf numFmtId="1" fontId="13" fillId="3" borderId="30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13" fillId="3" borderId="31" xfId="0" applyFont="1" applyFill="1" applyBorder="1"/>
    <xf numFmtId="0" fontId="13" fillId="3" borderId="33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wrapText="1"/>
    </xf>
    <xf numFmtId="0" fontId="13" fillId="3" borderId="31" xfId="0" applyFont="1" applyFill="1" applyBorder="1" applyAlignment="1">
      <alignment horizontal="center"/>
    </xf>
    <xf numFmtId="1" fontId="13" fillId="3" borderId="34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1" fontId="13" fillId="3" borderId="7" xfId="0" applyNumberFormat="1" applyFont="1" applyFill="1" applyBorder="1" applyAlignment="1">
      <alignment horizontal="center"/>
    </xf>
    <xf numFmtId="0" fontId="13" fillId="3" borderId="83" xfId="0" applyFont="1" applyFill="1" applyBorder="1"/>
    <xf numFmtId="0" fontId="13" fillId="3" borderId="83" xfId="0" applyFont="1" applyFill="1" applyBorder="1" applyAlignment="1">
      <alignment wrapText="1"/>
    </xf>
    <xf numFmtId="0" fontId="13" fillId="3" borderId="83" xfId="0" applyFont="1" applyFill="1" applyBorder="1" applyAlignment="1">
      <alignment horizontal="center"/>
    </xf>
    <xf numFmtId="1" fontId="13" fillId="3" borderId="82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0" fontId="13" fillId="3" borderId="0" xfId="0" applyFont="1" applyFill="1"/>
    <xf numFmtId="0" fontId="6" fillId="3" borderId="0" xfId="0" applyFont="1" applyFill="1" applyAlignment="1">
      <alignment wrapText="1"/>
    </xf>
    <xf numFmtId="0" fontId="6" fillId="3" borderId="0" xfId="0" applyFont="1" applyFill="1" applyBorder="1" applyAlignment="1">
      <alignment wrapText="1"/>
    </xf>
    <xf numFmtId="49" fontId="6" fillId="3" borderId="0" xfId="0" applyNumberFormat="1" applyFont="1" applyFill="1" applyAlignment="1">
      <alignment horizontal="left" wrapText="1"/>
    </xf>
    <xf numFmtId="0" fontId="10" fillId="5" borderId="37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3" fontId="10" fillId="0" borderId="48" xfId="0" applyNumberFormat="1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6" fillId="8" borderId="54" xfId="0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6" fillId="7" borderId="53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6" fillId="7" borderId="80" xfId="0" applyFont="1" applyFill="1" applyBorder="1" applyAlignment="1">
      <alignment horizontal="center" vertical="center"/>
    </xf>
    <xf numFmtId="0" fontId="6" fillId="7" borderId="81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3" fillId="3" borderId="65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3" borderId="8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10" fillId="5" borderId="5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13" fillId="3" borderId="3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35">
    <dxf>
      <numFmt numFmtId="15" formatCode="0.00E+00"/>
    </dxf>
    <dxf>
      <numFmt numFmtId="15" formatCode="0.00E+0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lightUp">
          <fgColor theme="0" tint="-0.14996795556505021"/>
          <bgColor auto="1"/>
        </patternFill>
      </fill>
    </dxf>
    <dxf>
      <font>
        <color rgb="FF00B05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b val="0"/>
        <i val="0"/>
        <color rgb="FF00B050"/>
      </font>
    </dxf>
    <dxf>
      <font>
        <b/>
        <i val="0"/>
      </font>
    </dxf>
    <dxf>
      <font>
        <color rgb="FF00B050"/>
      </font>
    </dxf>
    <dxf>
      <font>
        <b val="0"/>
        <i val="0"/>
        <color rgb="FF00B05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b/>
        <i val="0"/>
      </font>
    </dxf>
    <dxf>
      <font>
        <color rgb="FF00B050"/>
      </font>
    </dxf>
    <dxf>
      <font>
        <color rgb="FF00B05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color rgb="FF00B050"/>
      </font>
    </dxf>
    <dxf>
      <font>
        <b/>
        <i val="0"/>
      </font>
    </dxf>
    <dxf>
      <font>
        <b/>
        <i val="0"/>
      </font>
    </dxf>
    <dxf>
      <font>
        <color rgb="FF00B050"/>
      </font>
    </dxf>
    <dxf>
      <font>
        <color rgb="FF00B050"/>
      </font>
    </dxf>
    <dxf>
      <font>
        <b/>
        <i val="0"/>
      </font>
    </dxf>
    <dxf>
      <numFmt numFmtId="15" formatCode="0.00E+00"/>
    </dxf>
    <dxf>
      <numFmt numFmtId="2" formatCode="0.00"/>
    </dxf>
    <dxf>
      <font>
        <color theme="0"/>
      </font>
    </dxf>
    <dxf>
      <numFmt numFmtId="164" formatCode="0.0"/>
    </dxf>
    <dxf>
      <numFmt numFmtId="3" formatCode="#,##0"/>
    </dxf>
    <dxf>
      <font>
        <color theme="0"/>
      </font>
    </dxf>
    <dxf>
      <numFmt numFmtId="15" formatCode="0.00E+00"/>
    </dxf>
    <dxf>
      <numFmt numFmtId="4" formatCode="#,##0.00"/>
    </dxf>
  </dxfs>
  <tableStyles count="0" defaultTableStyle="TableStyleMedium2" defaultPivotStyle="PivotStyleLight16"/>
  <colors>
    <mruColors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1</xdr:row>
      <xdr:rowOff>95251</xdr:rowOff>
    </xdr:from>
    <xdr:to>
      <xdr:col>4</xdr:col>
      <xdr:colOff>704850</xdr:colOff>
      <xdr:row>4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338544-5247-4BD9-9CAA-86AEBCB01120}"/>
            </a:ext>
          </a:extLst>
        </xdr:cNvPr>
        <xdr:cNvSpPr txBox="1"/>
      </xdr:nvSpPr>
      <xdr:spPr>
        <a:xfrm>
          <a:off x="781050" y="95251"/>
          <a:ext cx="3114675" cy="85724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900" b="1"/>
            <a:t>Key</a:t>
          </a:r>
          <a:endParaRPr lang="en-US" sz="900"/>
        </a:p>
        <a:p>
          <a:r>
            <a:rPr lang="en-US" sz="900"/>
            <a:t>             =  </a:t>
          </a:r>
          <a:r>
            <a:rPr lang="en-US" sz="900">
              <a:solidFill>
                <a:srgbClr val="FF0000"/>
              </a:solidFill>
            </a:rPr>
            <a:t>Risk</a:t>
          </a:r>
          <a:r>
            <a:rPr lang="en-US" sz="900"/>
            <a:t>.  </a:t>
          </a:r>
          <a:r>
            <a:rPr lang="en-US" sz="900" baseline="0"/>
            <a:t>       </a:t>
          </a:r>
          <a:r>
            <a:rPr lang="en-US" sz="900" i="1"/>
            <a:t>MOE</a:t>
          </a:r>
          <a:r>
            <a:rPr lang="en-US" sz="900" i="1" baseline="-25000"/>
            <a:t>acute or chronic</a:t>
          </a:r>
          <a:r>
            <a:rPr lang="en-US" sz="900" i="1" baseline="0"/>
            <a:t> &lt; MOE</a:t>
          </a:r>
          <a:r>
            <a:rPr lang="en-US" sz="900" i="1" baseline="-25000"/>
            <a:t>benchmark</a:t>
          </a:r>
          <a:endParaRPr lang="en-US" sz="900" i="0" baseline="0"/>
        </a:p>
        <a:p>
          <a:r>
            <a:rPr lang="en-US" sz="900" i="0" baseline="0"/>
            <a:t>                                 </a:t>
          </a:r>
          <a:endParaRPr lang="en-US" sz="900" i="1" baseline="0"/>
        </a:p>
        <a:p>
          <a:endParaRPr lang="en-US" sz="9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           =  </a:t>
          </a:r>
          <a:r>
            <a:rPr lang="en-US" sz="900">
              <a:solidFill>
                <a:srgbClr val="339933"/>
              </a:solidFill>
              <a:latin typeface="+mn-lt"/>
              <a:ea typeface="+mn-ea"/>
              <a:cs typeface="+mn-cs"/>
            </a:rPr>
            <a:t>No Risk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.   </a:t>
          </a:r>
          <a:r>
            <a:rPr lang="en-US" sz="900" i="1">
              <a:solidFill>
                <a:schemeClr val="dk1"/>
              </a:solidFill>
              <a:latin typeface="+mn-lt"/>
              <a:ea typeface="+mn-ea"/>
              <a:cs typeface="+mn-cs"/>
            </a:rPr>
            <a:t>MOE</a:t>
          </a:r>
          <a:r>
            <a:rPr lang="en-US" sz="900" i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acute or chronic</a:t>
          </a:r>
          <a:r>
            <a:rPr lang="en-US" sz="9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≥ MOE</a:t>
          </a:r>
          <a:r>
            <a:rPr lang="en-US" sz="900" i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benchmark</a:t>
          </a:r>
          <a:endParaRPr lang="en-US" sz="90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</a:t>
          </a:r>
          <a:endParaRPr lang="en-US" sz="900" i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895350</xdr:colOff>
      <xdr:row>2</xdr:row>
      <xdr:rowOff>100012</xdr:rowOff>
    </xdr:from>
    <xdr:to>
      <xdr:col>1</xdr:col>
      <xdr:colOff>1104900</xdr:colOff>
      <xdr:row>2</xdr:row>
      <xdr:rowOff>228599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427662-65B4-400C-8802-40F6F5404B2E}"/>
            </a:ext>
          </a:extLst>
        </xdr:cNvPr>
        <xdr:cNvSpPr/>
      </xdr:nvSpPr>
      <xdr:spPr>
        <a:xfrm>
          <a:off x="1676400" y="300037"/>
          <a:ext cx="209550" cy="128587"/>
        </a:xfrm>
        <a:prstGeom prst="rect">
          <a:avLst/>
        </a:prstGeom>
        <a:solidFill>
          <a:srgbClr val="FF9999"/>
        </a:solidFill>
        <a:ln w="12700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895350</xdr:colOff>
      <xdr:row>3</xdr:row>
      <xdr:rowOff>143827</xdr:rowOff>
    </xdr:from>
    <xdr:to>
      <xdr:col>1</xdr:col>
      <xdr:colOff>1104900</xdr:colOff>
      <xdr:row>3</xdr:row>
      <xdr:rowOff>285750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C2DC9B3-1FD9-4D46-9D4F-117354AEFC70}"/>
            </a:ext>
          </a:extLst>
        </xdr:cNvPr>
        <xdr:cNvSpPr/>
      </xdr:nvSpPr>
      <xdr:spPr>
        <a:xfrm>
          <a:off x="895350" y="705802"/>
          <a:ext cx="209550" cy="141923"/>
        </a:xfrm>
        <a:prstGeom prst="rect">
          <a:avLst/>
        </a:prstGeom>
        <a:solidFill>
          <a:srgbClr val="CCFFCC"/>
        </a:solidFill>
        <a:ln w="1270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F8E5-8E09-4274-8D09-CC5AD023FE84}">
  <dimension ref="B2:B8"/>
  <sheetViews>
    <sheetView workbookViewId="0">
      <selection activeCell="B5" sqref="B5"/>
    </sheetView>
  </sheetViews>
  <sheetFormatPr defaultRowHeight="15.75" x14ac:dyDescent="0.25"/>
  <cols>
    <col min="1" max="1" width="9.140625" style="242"/>
    <col min="2" max="2" width="77.85546875" style="242" bestFit="1" customWidth="1"/>
    <col min="3" max="16384" width="9.140625" style="242"/>
  </cols>
  <sheetData>
    <row r="2" spans="2:2" x14ac:dyDescent="0.25">
      <c r="B2" s="247" t="s">
        <v>0</v>
      </c>
    </row>
    <row r="3" spans="2:2" x14ac:dyDescent="0.25">
      <c r="B3" s="107"/>
    </row>
    <row r="4" spans="2:2" x14ac:dyDescent="0.25">
      <c r="B4" s="247" t="s">
        <v>1</v>
      </c>
    </row>
    <row r="5" spans="2:2" x14ac:dyDescent="0.25">
      <c r="B5" s="248" t="s">
        <v>2</v>
      </c>
    </row>
    <row r="6" spans="2:2" x14ac:dyDescent="0.25">
      <c r="B6" s="247"/>
    </row>
    <row r="7" spans="2:2" x14ac:dyDescent="0.25">
      <c r="B7" s="247"/>
    </row>
    <row r="8" spans="2:2" x14ac:dyDescent="0.25">
      <c r="B8" s="249" t="s">
        <v>151</v>
      </c>
    </row>
  </sheetData>
  <sheetProtection algorithmName="SHA-512" hashValue="2FS4qAr4+YSq4ADY5qiB2dw9TOcc2aJLNcRGihORzqiwEYpcTXzvaCrn4UosOyc+CiR6Ra1TYST0IcDYz9PoKw==" saltValue="V6hblETTPhYJtvZNYnXpog==" spinCount="100000" sheet="1" objects="1" scenarios="1"/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FC60-83A6-46DF-85FD-9308C8B5C87F}">
  <dimension ref="A1:B8"/>
  <sheetViews>
    <sheetView workbookViewId="0">
      <selection activeCell="A10" sqref="A10"/>
    </sheetView>
  </sheetViews>
  <sheetFormatPr defaultRowHeight="15" x14ac:dyDescent="0.25"/>
  <cols>
    <col min="1" max="1" width="36.85546875" style="5" customWidth="1"/>
    <col min="2" max="2" width="173.5703125" style="5" bestFit="1" customWidth="1"/>
    <col min="3" max="16384" width="9.140625" style="5"/>
  </cols>
  <sheetData>
    <row r="1" spans="1:2" ht="20.25" x14ac:dyDescent="0.3">
      <c r="A1" s="4" t="s">
        <v>3</v>
      </c>
    </row>
    <row r="3" spans="1:2" s="7" customFormat="1" ht="15.75" x14ac:dyDescent="0.25">
      <c r="A3" s="6" t="s">
        <v>4</v>
      </c>
      <c r="B3" s="6" t="s">
        <v>5</v>
      </c>
    </row>
    <row r="4" spans="1:2" s="7" customFormat="1" ht="15.75" x14ac:dyDescent="0.25">
      <c r="A4" s="8" t="s">
        <v>6</v>
      </c>
      <c r="B4" s="7" t="s">
        <v>7</v>
      </c>
    </row>
    <row r="5" spans="1:2" s="7" customFormat="1" ht="15.75" x14ac:dyDescent="0.25">
      <c r="A5" s="9" t="s">
        <v>8</v>
      </c>
      <c r="B5" s="7" t="s">
        <v>9</v>
      </c>
    </row>
    <row r="6" spans="1:2" s="7" customFormat="1" ht="15.75" x14ac:dyDescent="0.25">
      <c r="A6" s="9" t="s">
        <v>10</v>
      </c>
      <c r="B6" s="7" t="s">
        <v>11</v>
      </c>
    </row>
    <row r="7" spans="1:2" s="7" customFormat="1" ht="15.75" x14ac:dyDescent="0.25">
      <c r="A7" s="9" t="s">
        <v>12</v>
      </c>
      <c r="B7" s="7" t="s">
        <v>13</v>
      </c>
    </row>
    <row r="8" spans="1:2" s="7" customFormat="1" ht="15.75" x14ac:dyDescent="0.25">
      <c r="A8" s="9" t="s">
        <v>14</v>
      </c>
      <c r="B8" s="7" t="s">
        <v>15</v>
      </c>
    </row>
  </sheetData>
  <sheetProtection algorithmName="SHA-512" hashValue="TG204UxvAw/DLMt7feh7T4UjHDhZWdfVPsMi4k1ffJC+c5cWiShdZsES45WzF63BoiZ4gtOpcNxYBgQXlKUILA==" saltValue="1pM+RV/KgMK/z6O5cJUhzA==" spinCount="100000" sheet="1" objects="1" scenarios="1"/>
  <hyperlinks>
    <hyperlink ref="A4" location="Dashboard!A1" display="Dashboard" xr:uid="{9135365E-A675-4493-9067-33763BEBEF74}"/>
    <hyperlink ref="A5" location="'Risk Reduction Heat Map'!A1" display="Risk Reduction Heat Map" xr:uid="{26D21CCB-BB31-4A43-A8DB-BC29803988DA}"/>
    <hyperlink ref="A6" location="'Exposure Results'!A1" display="'Exposure Results" xr:uid="{875935AE-C688-40E7-8FCE-E7350466AA3D}"/>
    <hyperlink ref="A7" location="'Exposure Factors'!A1" display="'Exposure Factors" xr:uid="{02F8D90C-86CC-45A0-881A-EFF602FB7477}"/>
    <hyperlink ref="A8" location="'Hazard Values'!A1" display="'Hazard Values" xr:uid="{EC69342A-E579-4183-8E3E-C7BCA73B892A}"/>
  </hyperlink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B66"/>
  <sheetViews>
    <sheetView tabSelected="1" zoomScale="70" zoomScaleNormal="70" workbookViewId="0">
      <selection activeCell="C6" sqref="C6"/>
    </sheetView>
  </sheetViews>
  <sheetFormatPr defaultColWidth="8.85546875" defaultRowHeight="15.75" x14ac:dyDescent="0.25"/>
  <cols>
    <col min="1" max="1" width="4" style="10" customWidth="1"/>
    <col min="2" max="2" width="14.42578125" style="10" hidden="1" customWidth="1"/>
    <col min="3" max="3" width="36.28515625" style="10" customWidth="1"/>
    <col min="4" max="4" width="20.5703125" style="11" bestFit="1" customWidth="1"/>
    <col min="5" max="7" width="19.5703125" style="10" customWidth="1"/>
    <col min="8" max="8" width="15" style="10" customWidth="1"/>
    <col min="9" max="9" width="11.28515625" style="10" customWidth="1"/>
    <col min="10" max="10" width="32" style="10" customWidth="1"/>
    <col min="11" max="15" width="16.85546875" style="10" customWidth="1"/>
    <col min="16" max="16" width="11.28515625" style="10" customWidth="1"/>
    <col min="17" max="17" width="34" style="10" customWidth="1"/>
    <col min="18" max="18" width="23" style="10" customWidth="1"/>
    <col min="19" max="20" width="18.42578125" style="10" customWidth="1"/>
    <col min="21" max="21" width="23.5703125" style="10" bestFit="1" customWidth="1"/>
    <col min="22" max="22" width="13.5703125" style="10" customWidth="1"/>
    <col min="23" max="23" width="16.85546875" style="10" customWidth="1"/>
    <col min="24" max="16384" width="8.85546875" style="10"/>
  </cols>
  <sheetData>
    <row r="1" spans="3:23" ht="16.5" thickBot="1" x14ac:dyDescent="0.3"/>
    <row r="2" spans="3:23" ht="31.5" x14ac:dyDescent="0.25">
      <c r="C2" s="12" t="s">
        <v>16</v>
      </c>
      <c r="D2" s="13" t="s">
        <v>17</v>
      </c>
      <c r="E2" s="290" t="s">
        <v>18</v>
      </c>
      <c r="F2" s="291"/>
    </row>
    <row r="3" spans="3:23" x14ac:dyDescent="0.25">
      <c r="C3" s="14" t="s">
        <v>19</v>
      </c>
      <c r="D3" s="15" t="s">
        <v>20</v>
      </c>
      <c r="E3" s="15" t="s">
        <v>21</v>
      </c>
      <c r="F3" s="16" t="s">
        <v>22</v>
      </c>
    </row>
    <row r="4" spans="3:23" ht="31.5" x14ac:dyDescent="0.25">
      <c r="C4" s="363" t="s">
        <v>109</v>
      </c>
      <c r="D4" s="364" t="s">
        <v>24</v>
      </c>
      <c r="E4" s="17">
        <v>1</v>
      </c>
      <c r="F4" s="18">
        <v>6.5000000000000002E-2</v>
      </c>
    </row>
    <row r="5" spans="3:23" s="21" customFormat="1" x14ac:dyDescent="0.25">
      <c r="C5" s="19"/>
      <c r="D5" s="20"/>
      <c r="I5" s="19"/>
      <c r="J5" s="22"/>
      <c r="K5" s="22"/>
      <c r="L5" s="22"/>
      <c r="M5" s="22"/>
      <c r="N5" s="22"/>
      <c r="O5" s="22"/>
      <c r="P5" s="19"/>
    </row>
    <row r="6" spans="3:23" x14ac:dyDescent="0.25">
      <c r="C6" s="22" t="s">
        <v>21</v>
      </c>
      <c r="D6" s="22"/>
      <c r="E6" s="22"/>
      <c r="F6" s="22"/>
      <c r="G6" s="22"/>
      <c r="H6" s="22"/>
      <c r="I6" s="21"/>
      <c r="J6" s="22" t="s">
        <v>21</v>
      </c>
      <c r="K6" s="21"/>
      <c r="L6" s="21"/>
      <c r="M6" s="21"/>
      <c r="N6" s="21"/>
      <c r="O6" s="21"/>
      <c r="P6" s="21"/>
      <c r="Q6" s="22" t="s">
        <v>22</v>
      </c>
      <c r="R6" s="22"/>
      <c r="S6" s="22"/>
      <c r="U6" s="22"/>
      <c r="V6" s="22"/>
      <c r="W6" s="22"/>
    </row>
    <row r="7" spans="3:23" x14ac:dyDescent="0.25">
      <c r="C7" s="23" t="s">
        <v>25</v>
      </c>
      <c r="E7" s="11"/>
      <c r="J7" s="23" t="s">
        <v>26</v>
      </c>
    </row>
    <row r="8" spans="3:23" ht="16.5" thickBot="1" x14ac:dyDescent="0.3">
      <c r="C8" s="21" t="s">
        <v>27</v>
      </c>
      <c r="E8" s="11"/>
      <c r="Q8" s="21" t="s">
        <v>27</v>
      </c>
      <c r="R8" s="21"/>
    </row>
    <row r="9" spans="3:23" ht="25.5" customHeight="1" x14ac:dyDescent="0.25">
      <c r="C9" s="293" t="s">
        <v>28</v>
      </c>
      <c r="D9" s="252" t="s">
        <v>29</v>
      </c>
      <c r="E9" s="24" t="s">
        <v>30</v>
      </c>
      <c r="F9" s="24" t="s">
        <v>31</v>
      </c>
      <c r="G9" s="25" t="s">
        <v>32</v>
      </c>
      <c r="J9" s="297" t="s">
        <v>33</v>
      </c>
      <c r="K9" s="298"/>
      <c r="Q9" s="293" t="s">
        <v>28</v>
      </c>
      <c r="R9" s="250" t="s">
        <v>29</v>
      </c>
      <c r="S9" s="24" t="s">
        <v>34</v>
      </c>
      <c r="T9" s="24" t="s">
        <v>31</v>
      </c>
      <c r="U9" s="25" t="s">
        <v>32</v>
      </c>
    </row>
    <row r="10" spans="3:23" ht="28.5" customHeight="1" x14ac:dyDescent="0.25">
      <c r="C10" s="294"/>
      <c r="D10" s="253"/>
      <c r="E10" s="26" t="s">
        <v>152</v>
      </c>
      <c r="F10" s="26" t="s">
        <v>153</v>
      </c>
      <c r="G10" s="27" t="s">
        <v>154</v>
      </c>
      <c r="J10" s="299"/>
      <c r="K10" s="300"/>
      <c r="Q10" s="294"/>
      <c r="R10" s="251"/>
      <c r="S10" s="26" t="s">
        <v>155</v>
      </c>
      <c r="T10" s="26" t="s">
        <v>153</v>
      </c>
      <c r="U10" s="27" t="s">
        <v>154</v>
      </c>
    </row>
    <row r="11" spans="3:23" ht="26.25" customHeight="1" thickBot="1" x14ac:dyDescent="0.3">
      <c r="C11" s="28" t="s">
        <v>35</v>
      </c>
      <c r="D11" s="287" t="s">
        <v>36</v>
      </c>
      <c r="E11" s="29">
        <f>SUMIFS('Exposure Results'!$D$6:$D$31,'Exposure Results'!$B$6:$B$31,$C$4,'Exposure Results'!$C$6:$C$31,$C11)</f>
        <v>1.89</v>
      </c>
      <c r="F11" s="30">
        <f>SUMIFS('Exposure Results'!$F$6:$F$31,'Exposure Results'!$B$6:$B$31,$C$4,'Exposure Results'!$C$6:$C$31,$C11)</f>
        <v>0.23624999999999999</v>
      </c>
      <c r="G11" s="31">
        <f>SUMIFS('Exposure Results'!$H$6:$H$31,'Exposure Results'!$B$6:$B$31,$C$4,'Exposure Results'!$C$6:$C$31,$C11)</f>
        <v>0.16181506849315069</v>
      </c>
      <c r="J11" s="32" t="s">
        <v>37</v>
      </c>
      <c r="K11" s="33">
        <v>10</v>
      </c>
      <c r="Q11" s="34" t="s">
        <v>35</v>
      </c>
      <c r="R11" s="256" t="s">
        <v>38</v>
      </c>
      <c r="S11" s="35">
        <f>SUMIFS('Exposure Results'!$P$6:$P$31,'Exposure Results'!$B$6:$B$31,$C$4,'Exposure Results'!$C$6:$C$31,$Q11)</f>
        <v>3100</v>
      </c>
      <c r="T11" s="35">
        <f>SUMIFS('Exposure Results'!$R$6:$R$31,'Exposure Results'!$B$6:$B$31,$C$4,'Exposure Results'!$C$6:$C$31,$Q11)</f>
        <v>2.5187499999999998</v>
      </c>
      <c r="U11" s="36">
        <f>SUMIFS('Exposure Results'!$T$6:$T$31,'Exposure Results'!$B$6:$B$31,$C$4,'Exposure Results'!$C$6:$C$31,$C11,'Exposure Results'!$C$6:$C$31,Dashboard!$Q11)</f>
        <v>1.7251712328767124</v>
      </c>
    </row>
    <row r="12" spans="3:23" ht="34.5" customHeight="1" thickBot="1" x14ac:dyDescent="0.3">
      <c r="C12" s="37" t="s">
        <v>39</v>
      </c>
      <c r="D12" s="288"/>
      <c r="E12" s="29">
        <f>SUMIFS('Exposure Results'!$D$6:$D$31,'Exposure Results'!$B$6:$B$31,$C$4,'Exposure Results'!$C$6:$C$31,$C12)</f>
        <v>0</v>
      </c>
      <c r="F12" s="30">
        <f>SUMIFS('Exposure Results'!$F$6:$F$31,'Exposure Results'!$B$6:$B$31,$C$4,'Exposure Results'!$C$6:$C$31,$C12)</f>
        <v>0</v>
      </c>
      <c r="G12" s="31">
        <f>SUMIFS('Exposure Results'!$H$6:$H$31,'Exposure Results'!$B$6:$B$31,$C$4,'Exposure Results'!$C$6:$C$31,$C12)</f>
        <v>0</v>
      </c>
      <c r="Q12" s="34" t="s">
        <v>39</v>
      </c>
      <c r="R12" s="257"/>
      <c r="S12" s="35">
        <f>SUMIFS('Exposure Results'!$P$6:$P$31,'Exposure Results'!$B$6:$B$31,$C$4,'Exposure Results'!$C$6:$C$31,$Q12)</f>
        <v>0</v>
      </c>
      <c r="T12" s="35">
        <f>SUMIFS('Exposure Results'!$R$6:$R$31,'Exposure Results'!$B$6:$B$31,$C$4,'Exposure Results'!$C$6:$C$31,$Q12)</f>
        <v>0</v>
      </c>
      <c r="U12" s="36">
        <f>SUMIFS('Exposure Results'!$T$6:$T$31,'Exposure Results'!$B$6:$B$31,$C$4,'Exposure Results'!$C$6:$C$31,$C12,'Exposure Results'!$C$6:$C$31,Dashboard!$Q12)</f>
        <v>0</v>
      </c>
    </row>
    <row r="13" spans="3:23" ht="33" customHeight="1" x14ac:dyDescent="0.25">
      <c r="C13" s="38" t="s">
        <v>35</v>
      </c>
      <c r="D13" s="289" t="s">
        <v>40</v>
      </c>
      <c r="E13" s="39">
        <f>SUMIFS('Exposure Results'!$E$6:$E$31,'Exposure Results'!$B$6:$B$31,Dashboard!$C$4,'Exposure Results'!$C$6:$C$31,Dashboard!$C13)</f>
        <v>0.89</v>
      </c>
      <c r="F13" s="39">
        <f>SUMIFS('Exposure Results'!$G$6:$G$31,'Exposure Results'!$B$6:$B$31,Dashboard!$C$4,'Exposure Results'!$C$6:$C$31,Dashboard!$C13)</f>
        <v>0.11125</v>
      </c>
      <c r="G13" s="40">
        <f>SUMIFS('Exposure Results'!$I$6:$I$31,'Exposure Results'!$B$6:$B$31,$C$4,'Exposure Results'!$C$6:$C$31,Dashboard!$C13)</f>
        <v>4.2671232876712331E-2</v>
      </c>
      <c r="Q13" s="41" t="s">
        <v>35</v>
      </c>
      <c r="R13" s="254" t="s">
        <v>40</v>
      </c>
      <c r="S13" s="42">
        <f>SUMIFS('Exposure Results'!$Q$6:$Q$31,'Exposure Results'!$B$6:$B$31,$C$4,'Exposure Results'!$C$6:$C$31,$Q13)</f>
        <v>900</v>
      </c>
      <c r="T13" s="42">
        <f>SUMIFS('Exposure Results'!$S$6:$S$31,'Exposure Results'!$B$6:$B$31,$C$4,'Exposure Results'!$C$6:$C$31,$Q13)</f>
        <v>0.73124999999999996</v>
      </c>
      <c r="U13" s="43">
        <f>SUMIFS('Exposure Results'!$U$6:$U$31,'Exposure Results'!$B$6:$B$31,$C$4,'Exposure Results'!$C$6:$C$31,$C13,'Exposure Results'!$C$6:$C$31,Dashboard!$Q13)</f>
        <v>0.28047945205479452</v>
      </c>
    </row>
    <row r="14" spans="3:23" ht="33" customHeight="1" thickBot="1" x14ac:dyDescent="0.3">
      <c r="C14" s="37" t="s">
        <v>39</v>
      </c>
      <c r="D14" s="288"/>
      <c r="E14" s="39">
        <f>SUMIFS('Exposure Results'!$E$6:$E$31,'Exposure Results'!$B$6:$B$31,Dashboard!$C$4,'Exposure Results'!$C$6:$C$31,Dashboard!$C14)</f>
        <v>0</v>
      </c>
      <c r="F14" s="39">
        <f>SUMIFS('Exposure Results'!$G$6:$G$31,'Exposure Results'!$B$6:$B$31,Dashboard!$C$4,'Exposure Results'!$C$6:$C$31,Dashboard!$C14)</f>
        <v>0</v>
      </c>
      <c r="G14" s="40">
        <f>SUMIFS('Exposure Results'!$I$6:$I$31,'Exposure Results'!$B$6:$B$31,$C$4,'Exposure Results'!$C$6:$C$31,Dashboard!$C14)</f>
        <v>0</v>
      </c>
      <c r="Q14" s="44" t="s">
        <v>39</v>
      </c>
      <c r="R14" s="255"/>
      <c r="S14" s="45">
        <f>SUMIFS('Exposure Results'!$Q$6:$Q$31,'Exposure Results'!$B$6:$B$31,$C$4,'Exposure Results'!$C$6:$C$31,$Q14)</f>
        <v>0</v>
      </c>
      <c r="T14" s="45">
        <f>SUMIFS('Exposure Results'!$S$6:$S$31,'Exposure Results'!$B$6:$B$31,$C$4,'Exposure Results'!$C$6:$C$31,$Q14)</f>
        <v>0</v>
      </c>
      <c r="U14" s="46">
        <f>SUMIFS('Exposure Results'!$U$6:$U$31,'Exposure Results'!$B$6:$B$31,$C$4,'Exposure Results'!$C$6:$C$31,$C14,'Exposure Results'!$C$6:$C$31,Dashboard!$Q14)</f>
        <v>0</v>
      </c>
    </row>
    <row r="15" spans="3:23" x14ac:dyDescent="0.25">
      <c r="E15" s="11"/>
    </row>
    <row r="16" spans="3:23" ht="16.5" thickBot="1" x14ac:dyDescent="0.3">
      <c r="C16" s="47" t="s">
        <v>41</v>
      </c>
      <c r="E16" s="11"/>
      <c r="J16" s="47" t="s">
        <v>42</v>
      </c>
      <c r="K16" s="11"/>
      <c r="L16" s="11"/>
      <c r="Q16" s="47" t="s">
        <v>43</v>
      </c>
      <c r="R16" s="47"/>
    </row>
    <row r="17" spans="2:54" s="49" customFormat="1" ht="23.25" customHeight="1" x14ac:dyDescent="0.25">
      <c r="B17" s="48"/>
      <c r="C17" s="281" t="s">
        <v>44</v>
      </c>
      <c r="D17" s="276" t="s">
        <v>156</v>
      </c>
      <c r="E17" s="252" t="s">
        <v>29</v>
      </c>
      <c r="F17" s="276" t="str">
        <f>CONCATENATE("Acute Dose ","Estimates")</f>
        <v>Acute Dose Estimates</v>
      </c>
      <c r="G17" s="276"/>
      <c r="H17" s="277" t="s">
        <v>45</v>
      </c>
      <c r="I17" s="10"/>
      <c r="J17" s="281" t="s">
        <v>44</v>
      </c>
      <c r="K17" s="276" t="s">
        <v>156</v>
      </c>
      <c r="L17" s="252" t="s">
        <v>29</v>
      </c>
      <c r="M17" s="276" t="str">
        <f>CONCATENATE("Acute Dose ","Estimates")</f>
        <v>Acute Dose Estimates</v>
      </c>
      <c r="N17" s="276"/>
      <c r="O17" s="277" t="s">
        <v>45</v>
      </c>
      <c r="P17" s="10"/>
      <c r="Q17" s="281" t="s">
        <v>44</v>
      </c>
      <c r="R17" s="276" t="s">
        <v>156</v>
      </c>
      <c r="S17" s="252" t="s">
        <v>29</v>
      </c>
      <c r="T17" s="276" t="str">
        <f>CONCATENATE("Acute Dose ","Estimates")</f>
        <v>Acute Dose Estimates</v>
      </c>
      <c r="U17" s="276"/>
      <c r="V17" s="277" t="s">
        <v>45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2:54" ht="15.75" customHeight="1" x14ac:dyDescent="0.25">
      <c r="B18" s="11" t="s">
        <v>46</v>
      </c>
      <c r="C18" s="282"/>
      <c r="D18" s="283"/>
      <c r="E18" s="253"/>
      <c r="F18" s="26" t="s">
        <v>47</v>
      </c>
      <c r="G18" s="26" t="s">
        <v>48</v>
      </c>
      <c r="H18" s="278"/>
      <c r="I18" s="48"/>
      <c r="J18" s="282"/>
      <c r="K18" s="283"/>
      <c r="L18" s="253"/>
      <c r="M18" s="26" t="s">
        <v>47</v>
      </c>
      <c r="N18" s="26" t="s">
        <v>48</v>
      </c>
      <c r="O18" s="278"/>
      <c r="P18" s="48"/>
      <c r="Q18" s="282"/>
      <c r="R18" s="283"/>
      <c r="S18" s="253"/>
      <c r="T18" s="26" t="s">
        <v>47</v>
      </c>
      <c r="U18" s="26" t="s">
        <v>48</v>
      </c>
      <c r="V18" s="278"/>
    </row>
    <row r="19" spans="2:54" ht="26.1" customHeight="1" x14ac:dyDescent="0.25">
      <c r="B19" s="11" t="s">
        <v>49</v>
      </c>
      <c r="C19" s="273" t="s">
        <v>157</v>
      </c>
      <c r="D19" s="259">
        <f>VLOOKUP($B19,'Hazard Values'!$F$5:$H$14,2,FALSE)</f>
        <v>22.5</v>
      </c>
      <c r="E19" s="50" t="s">
        <v>36</v>
      </c>
      <c r="F19" s="51">
        <f>IFERROR($D19/$F11, "")</f>
        <v>95.238095238095241</v>
      </c>
      <c r="G19" s="52" t="str">
        <f>IFERROR($D19/$F12, "-")</f>
        <v>-</v>
      </c>
      <c r="H19" s="260">
        <f>VLOOKUP($B19,'Hazard Values'!$F$5:$H$14,3,FALSE)</f>
        <v>30</v>
      </c>
      <c r="J19" s="273" t="s">
        <v>157</v>
      </c>
      <c r="K19" s="259">
        <f>VLOOKUP($B19,'Hazard Values'!$F$5:$H$14,2,FALSE)</f>
        <v>22.5</v>
      </c>
      <c r="L19" s="50" t="s">
        <v>36</v>
      </c>
      <c r="M19" s="51">
        <f t="shared" ref="M19:N26" si="0">IFERROR(F19*$K$11, "-")</f>
        <v>952.38095238095241</v>
      </c>
      <c r="N19" s="51" t="str">
        <f t="shared" si="0"/>
        <v>-</v>
      </c>
      <c r="O19" s="260">
        <f>VLOOKUP($B19,'Hazard Values'!$F$5:$H$14,3,FALSE)</f>
        <v>30</v>
      </c>
      <c r="Q19" s="273" t="s">
        <v>157</v>
      </c>
      <c r="R19" s="279">
        <f>VLOOKUP($B19,'Hazard Values'!$F$5:$H$14,2,FALSE)</f>
        <v>22.5</v>
      </c>
      <c r="S19" s="50" t="s">
        <v>36</v>
      </c>
      <c r="T19" s="51">
        <f>IFERROR($R19/$T11, "")</f>
        <v>8.933002481389579</v>
      </c>
      <c r="U19" s="51" t="str">
        <f>IFERROR($R19/$T14, "-")</f>
        <v>-</v>
      </c>
      <c r="V19" s="260">
        <f>VLOOKUP($B19,'Hazard Values'!$F$5:$H$14,3,FALSE)</f>
        <v>30</v>
      </c>
    </row>
    <row r="20" spans="2:54" ht="26.1" customHeight="1" x14ac:dyDescent="0.25">
      <c r="B20" s="11" t="s">
        <v>49</v>
      </c>
      <c r="C20" s="273"/>
      <c r="D20" s="259"/>
      <c r="E20" s="50" t="s">
        <v>40</v>
      </c>
      <c r="F20" s="51">
        <f>IFERROR($D19/$F13, "")</f>
        <v>202.24719101123594</v>
      </c>
      <c r="G20" s="52" t="str">
        <f>IFERROR($D19/$F14, "-")</f>
        <v>-</v>
      </c>
      <c r="H20" s="260"/>
      <c r="J20" s="273"/>
      <c r="K20" s="259"/>
      <c r="L20" s="50" t="s">
        <v>40</v>
      </c>
      <c r="M20" s="51">
        <f t="shared" si="0"/>
        <v>2022.4719101123594</v>
      </c>
      <c r="N20" s="51" t="str">
        <f t="shared" si="0"/>
        <v>-</v>
      </c>
      <c r="O20" s="260"/>
      <c r="Q20" s="273"/>
      <c r="R20" s="280"/>
      <c r="S20" s="50" t="s">
        <v>40</v>
      </c>
      <c r="T20" s="51">
        <f>IFERROR($R19/$T13, "")</f>
        <v>30.76923076923077</v>
      </c>
      <c r="U20" s="51" t="str">
        <f t="shared" ref="U20:U24" si="1">IFERROR($R20/$T14, "-")</f>
        <v>-</v>
      </c>
      <c r="V20" s="260"/>
    </row>
    <row r="21" spans="2:54" ht="26.1" customHeight="1" x14ac:dyDescent="0.25">
      <c r="B21" s="53" t="s">
        <v>50</v>
      </c>
      <c r="C21" s="273" t="s">
        <v>158</v>
      </c>
      <c r="D21" s="259">
        <f>VLOOKUP($B21,'Hazard Values'!$F$5:$H$14,2,FALSE)</f>
        <v>9.0299999999999994</v>
      </c>
      <c r="E21" s="50" t="s">
        <v>36</v>
      </c>
      <c r="F21" s="51">
        <f>IFERROR($D21/$F11, "")</f>
        <v>38.222222222222221</v>
      </c>
      <c r="G21" s="52" t="str">
        <f>IFERROR($D21/$F12, "-")</f>
        <v>-</v>
      </c>
      <c r="H21" s="260">
        <f>VLOOKUP($B21,'Hazard Values'!$F$5:$H$14,3,FALSE)</f>
        <v>100</v>
      </c>
      <c r="I21" s="48"/>
      <c r="J21" s="273" t="s">
        <v>158</v>
      </c>
      <c r="K21" s="259">
        <f>VLOOKUP($B21,'Hazard Values'!$F$5:$H$14,2,FALSE)</f>
        <v>9.0299999999999994</v>
      </c>
      <c r="L21" s="50" t="s">
        <v>36</v>
      </c>
      <c r="M21" s="51">
        <f t="shared" si="0"/>
        <v>382.22222222222223</v>
      </c>
      <c r="N21" s="51" t="str">
        <f t="shared" si="0"/>
        <v>-</v>
      </c>
      <c r="O21" s="260">
        <f>VLOOKUP($B21,'Hazard Values'!$F$5:$H$14,3,FALSE)</f>
        <v>100</v>
      </c>
      <c r="P21" s="48"/>
      <c r="Q21" s="273" t="s">
        <v>158</v>
      </c>
      <c r="R21" s="279">
        <f>VLOOKUP($B21,'Hazard Values'!$F$5:$H$14,2,FALSE)</f>
        <v>9.0299999999999994</v>
      </c>
      <c r="S21" s="50" t="s">
        <v>36</v>
      </c>
      <c r="T21" s="51">
        <f>IFERROR($R21/$T11, "")</f>
        <v>3.5851116625310175</v>
      </c>
      <c r="U21" s="51" t="str">
        <f t="shared" si="1"/>
        <v>-</v>
      </c>
      <c r="V21" s="260">
        <f>VLOOKUP($B21,'Hazard Values'!$F$5:$H$14,3,FALSE)</f>
        <v>100</v>
      </c>
    </row>
    <row r="22" spans="2:54" ht="26.1" customHeight="1" x14ac:dyDescent="0.25">
      <c r="B22" s="53" t="s">
        <v>50</v>
      </c>
      <c r="C22" s="273"/>
      <c r="D22" s="259"/>
      <c r="E22" s="50" t="s">
        <v>40</v>
      </c>
      <c r="F22" s="51">
        <f>IFERROR($D21/$F13, "")</f>
        <v>81.168539325842687</v>
      </c>
      <c r="G22" s="52" t="str">
        <f>IFERROR($D21/$F14, "-")</f>
        <v>-</v>
      </c>
      <c r="H22" s="260"/>
      <c r="I22" s="48"/>
      <c r="J22" s="273"/>
      <c r="K22" s="259"/>
      <c r="L22" s="50" t="s">
        <v>40</v>
      </c>
      <c r="M22" s="51">
        <f t="shared" si="0"/>
        <v>811.68539325842687</v>
      </c>
      <c r="N22" s="51" t="str">
        <f t="shared" si="0"/>
        <v>-</v>
      </c>
      <c r="O22" s="260"/>
      <c r="P22" s="48"/>
      <c r="Q22" s="273"/>
      <c r="R22" s="280"/>
      <c r="S22" s="50" t="s">
        <v>40</v>
      </c>
      <c r="T22" s="51">
        <f>IFERROR($R21/$T13, "")</f>
        <v>12.348717948717949</v>
      </c>
      <c r="U22" s="51" t="str">
        <f t="shared" si="1"/>
        <v>-</v>
      </c>
      <c r="V22" s="260"/>
    </row>
    <row r="23" spans="2:54" ht="26.1" customHeight="1" x14ac:dyDescent="0.25">
      <c r="B23" s="53" t="s">
        <v>51</v>
      </c>
      <c r="C23" s="273" t="s">
        <v>159</v>
      </c>
      <c r="D23" s="259">
        <f>VLOOKUP($B23,'Hazard Values'!$F$5:$H$14,2,FALSE)</f>
        <v>28.73</v>
      </c>
      <c r="E23" s="50" t="s">
        <v>36</v>
      </c>
      <c r="F23" s="51">
        <f>IFERROR($D23/$F11, "")</f>
        <v>121.60846560846562</v>
      </c>
      <c r="G23" s="52" t="str">
        <f>IFERROR($D23/$F12, "-")</f>
        <v>-</v>
      </c>
      <c r="H23" s="260">
        <f>VLOOKUP($B23,'Hazard Values'!$F$5:$H$14,3,FALSE)</f>
        <v>100</v>
      </c>
      <c r="I23" s="48"/>
      <c r="J23" s="273" t="s">
        <v>159</v>
      </c>
      <c r="K23" s="259">
        <f>VLOOKUP($B23,'Hazard Values'!$F$5:$H$14,2,FALSE)</f>
        <v>28.73</v>
      </c>
      <c r="L23" s="50" t="s">
        <v>36</v>
      </c>
      <c r="M23" s="51">
        <f t="shared" si="0"/>
        <v>1216.0846560846562</v>
      </c>
      <c r="N23" s="51" t="str">
        <f t="shared" si="0"/>
        <v>-</v>
      </c>
      <c r="O23" s="260">
        <f>VLOOKUP($B23,'Hazard Values'!$F$5:$H$14,3,FALSE)</f>
        <v>100</v>
      </c>
      <c r="P23" s="48"/>
      <c r="Q23" s="273" t="s">
        <v>159</v>
      </c>
      <c r="R23" s="279">
        <f>VLOOKUP($B23,'Hazard Values'!$F$5:$H$14,2,FALSE)</f>
        <v>28.73</v>
      </c>
      <c r="S23" s="50" t="s">
        <v>36</v>
      </c>
      <c r="T23" s="51">
        <f>IFERROR($R23/$T11, "")</f>
        <v>11.406451612903227</v>
      </c>
      <c r="U23" s="51" t="str">
        <f t="shared" si="1"/>
        <v>-</v>
      </c>
      <c r="V23" s="260">
        <f>VLOOKUP($B23,'Hazard Values'!$F$5:$H$14,3,FALSE)</f>
        <v>100</v>
      </c>
    </row>
    <row r="24" spans="2:54" ht="26.1" customHeight="1" x14ac:dyDescent="0.25">
      <c r="B24" s="53" t="s">
        <v>51</v>
      </c>
      <c r="C24" s="272"/>
      <c r="D24" s="259"/>
      <c r="E24" s="50" t="s">
        <v>40</v>
      </c>
      <c r="F24" s="51">
        <f>IFERROR($D23/$F13, "")</f>
        <v>258.24719101123594</v>
      </c>
      <c r="G24" s="52" t="str">
        <f>IFERROR($D23/$F14, "-")</f>
        <v>-</v>
      </c>
      <c r="H24" s="260"/>
      <c r="I24" s="48"/>
      <c r="J24" s="272"/>
      <c r="K24" s="259"/>
      <c r="L24" s="50" t="s">
        <v>40</v>
      </c>
      <c r="M24" s="51">
        <f t="shared" si="0"/>
        <v>2582.4719101123592</v>
      </c>
      <c r="N24" s="51" t="str">
        <f t="shared" si="0"/>
        <v>-</v>
      </c>
      <c r="O24" s="260"/>
      <c r="P24" s="48"/>
      <c r="Q24" s="272"/>
      <c r="R24" s="280"/>
      <c r="S24" s="50" t="s">
        <v>40</v>
      </c>
      <c r="T24" s="51">
        <f>IFERROR($R23/$T13, "")</f>
        <v>39.288888888888891</v>
      </c>
      <c r="U24" s="51" t="str">
        <f t="shared" si="1"/>
        <v>-</v>
      </c>
      <c r="V24" s="260"/>
    </row>
    <row r="25" spans="2:54" s="48" customFormat="1" ht="26.1" customHeight="1" x14ac:dyDescent="0.25">
      <c r="B25" s="53" t="s">
        <v>52</v>
      </c>
      <c r="C25" s="273" t="s">
        <v>160</v>
      </c>
      <c r="D25" s="259">
        <f>VLOOKUP($B25,'Hazard Values'!$F$6:$H$14,2,FALSE)</f>
        <v>89.6</v>
      </c>
      <c r="E25" s="50" t="s">
        <v>36</v>
      </c>
      <c r="F25" s="51">
        <f>IFERROR($D25/$F11, "")</f>
        <v>379.25925925925924</v>
      </c>
      <c r="G25" s="52" t="str">
        <f>IFERROR($D25/$F12, "-")</f>
        <v>-</v>
      </c>
      <c r="H25" s="275">
        <f>VLOOKUP($B25,'Hazard Values'!$F$5:$H$14,3,FALSE)</f>
        <v>100</v>
      </c>
      <c r="J25" s="273" t="s">
        <v>160</v>
      </c>
      <c r="K25" s="259">
        <f>VLOOKUP($B25,'Hazard Values'!$F$6:$H$14,2,FALSE)</f>
        <v>89.6</v>
      </c>
      <c r="L25" s="50" t="s">
        <v>36</v>
      </c>
      <c r="M25" s="51">
        <f t="shared" si="0"/>
        <v>3792.5925925925922</v>
      </c>
      <c r="N25" s="51" t="str">
        <f t="shared" si="0"/>
        <v>-</v>
      </c>
      <c r="O25" s="275">
        <f>VLOOKUP($B25,'Hazard Values'!$F$5:$H$14,3,FALSE)</f>
        <v>100</v>
      </c>
      <c r="Q25" s="273" t="s">
        <v>160</v>
      </c>
      <c r="R25" s="279">
        <f>VLOOKUP($B25,'Hazard Values'!$F$6:$H$14,2,FALSE)</f>
        <v>89.6</v>
      </c>
      <c r="S25" s="50" t="s">
        <v>36</v>
      </c>
      <c r="T25" s="51">
        <f>IFERROR($R25/$T11, "")</f>
        <v>35.573200992555833</v>
      </c>
      <c r="U25" s="51" t="s">
        <v>53</v>
      </c>
      <c r="V25" s="275">
        <f>VLOOKUP($B25,'Hazard Values'!$F$5:$H$14,3,FALSE)</f>
        <v>100</v>
      </c>
    </row>
    <row r="26" spans="2:54" s="48" customFormat="1" ht="26.1" customHeight="1" thickBot="1" x14ac:dyDescent="0.3">
      <c r="B26" s="53" t="s">
        <v>52</v>
      </c>
      <c r="C26" s="292"/>
      <c r="D26" s="262"/>
      <c r="E26" s="54" t="s">
        <v>40</v>
      </c>
      <c r="F26" s="55">
        <f>IFERROR($D25/$F13, "")</f>
        <v>805.39325842696621</v>
      </c>
      <c r="G26" s="56" t="str">
        <f>IFERROR($D25/$F14, "-")</f>
        <v>-</v>
      </c>
      <c r="H26" s="261"/>
      <c r="J26" s="292"/>
      <c r="K26" s="262"/>
      <c r="L26" s="54" t="s">
        <v>40</v>
      </c>
      <c r="M26" s="55">
        <f t="shared" si="0"/>
        <v>8053.9325842696617</v>
      </c>
      <c r="N26" s="55" t="str">
        <f t="shared" si="0"/>
        <v>-</v>
      </c>
      <c r="O26" s="261"/>
      <c r="Q26" s="292"/>
      <c r="R26" s="284"/>
      <c r="S26" s="54" t="s">
        <v>40</v>
      </c>
      <c r="T26" s="55">
        <f>IFERROR($R25/$T13, "")</f>
        <v>122.52991452991454</v>
      </c>
      <c r="U26" s="55" t="s">
        <v>53</v>
      </c>
      <c r="V26" s="261"/>
    </row>
    <row r="27" spans="2:54" s="48" customFormat="1" x14ac:dyDescent="0.25">
      <c r="B27" s="53"/>
      <c r="C27" s="57"/>
      <c r="D27" s="53"/>
      <c r="E27" s="53"/>
      <c r="F27" s="58"/>
      <c r="H27" s="53"/>
      <c r="Q27" s="57"/>
      <c r="R27" s="57"/>
      <c r="S27" s="53"/>
      <c r="T27" s="53"/>
      <c r="U27" s="53"/>
      <c r="V27" s="59"/>
      <c r="W27" s="53"/>
    </row>
    <row r="28" spans="2:54" s="48" customFormat="1" ht="30" customHeight="1" thickBot="1" x14ac:dyDescent="0.3">
      <c r="C28" s="47" t="s">
        <v>54</v>
      </c>
      <c r="D28" s="53"/>
      <c r="E28" s="53"/>
      <c r="F28" s="60"/>
      <c r="G28" s="60"/>
      <c r="H28" s="53"/>
      <c r="J28" s="47" t="s">
        <v>54</v>
      </c>
      <c r="K28" s="53"/>
      <c r="L28" s="53"/>
      <c r="M28" s="60"/>
      <c r="N28" s="60"/>
      <c r="O28" s="53"/>
      <c r="Q28" s="47" t="s">
        <v>55</v>
      </c>
      <c r="R28" s="47"/>
      <c r="U28" s="59"/>
      <c r="V28" s="59"/>
    </row>
    <row r="29" spans="2:54" s="48" customFormat="1" ht="12.75" customHeight="1" x14ac:dyDescent="0.25">
      <c r="C29" s="281" t="s">
        <v>56</v>
      </c>
      <c r="D29" s="276" t="s">
        <v>156</v>
      </c>
      <c r="E29" s="252" t="s">
        <v>29</v>
      </c>
      <c r="F29" s="276" t="str">
        <f>CONCATENATE("Chronic Dose"," Estimates")</f>
        <v>Chronic Dose Estimates</v>
      </c>
      <c r="G29" s="276"/>
      <c r="H29" s="277" t="s">
        <v>45</v>
      </c>
      <c r="J29" s="281" t="s">
        <v>56</v>
      </c>
      <c r="K29" s="276" t="s">
        <v>156</v>
      </c>
      <c r="L29" s="252" t="s">
        <v>29</v>
      </c>
      <c r="M29" s="276" t="str">
        <f>CONCATENATE("Chronic Dose"," Estimates")</f>
        <v>Chronic Dose Estimates</v>
      </c>
      <c r="N29" s="276"/>
      <c r="O29" s="277" t="s">
        <v>45</v>
      </c>
      <c r="Q29" s="295" t="s">
        <v>56</v>
      </c>
      <c r="R29" s="285" t="s">
        <v>156</v>
      </c>
      <c r="S29" s="252" t="s">
        <v>29</v>
      </c>
      <c r="T29" s="265" t="str">
        <f>CONCATENATE("Chronic Dose ","Estimates")</f>
        <v>Chronic Dose Estimates</v>
      </c>
      <c r="U29" s="266"/>
      <c r="V29" s="263" t="s">
        <v>45</v>
      </c>
    </row>
    <row r="30" spans="2:54" s="48" customFormat="1" x14ac:dyDescent="0.25">
      <c r="C30" s="282"/>
      <c r="D30" s="283"/>
      <c r="E30" s="253"/>
      <c r="F30" s="26" t="s">
        <v>47</v>
      </c>
      <c r="G30" s="26" t="s">
        <v>48</v>
      </c>
      <c r="H30" s="278"/>
      <c r="J30" s="282"/>
      <c r="K30" s="283"/>
      <c r="L30" s="253"/>
      <c r="M30" s="26" t="s">
        <v>47</v>
      </c>
      <c r="N30" s="26" t="s">
        <v>48</v>
      </c>
      <c r="O30" s="278"/>
      <c r="Q30" s="296"/>
      <c r="R30" s="286"/>
      <c r="S30" s="253"/>
      <c r="T30" s="26" t="s">
        <v>47</v>
      </c>
      <c r="U30" s="26" t="s">
        <v>48</v>
      </c>
      <c r="V30" s="264"/>
    </row>
    <row r="31" spans="2:54" s="48" customFormat="1" ht="26.45" customHeight="1" x14ac:dyDescent="0.25">
      <c r="B31" s="53" t="s">
        <v>57</v>
      </c>
      <c r="C31" s="258" t="s">
        <v>161</v>
      </c>
      <c r="D31" s="259">
        <f>VLOOKUP($B31,'Hazard Values'!$F$5:$H$14,2,FALSE)</f>
        <v>1.68</v>
      </c>
      <c r="E31" s="50" t="s">
        <v>36</v>
      </c>
      <c r="F31" s="61">
        <f>IFERROR($D31/$G$11, "")</f>
        <v>10.382222222222222</v>
      </c>
      <c r="G31" s="61" t="str">
        <f>IFERROR($D31/$G$12, "-")</f>
        <v>-</v>
      </c>
      <c r="H31" s="260">
        <f>VLOOKUP($B31,'Hazard Values'!$F$5:$H$14,3,FALSE)</f>
        <v>300</v>
      </c>
      <c r="J31" s="258" t="s">
        <v>161</v>
      </c>
      <c r="K31" s="259">
        <f>VLOOKUP($B31,'Hazard Values'!$F$5:$H$14,2,FALSE)</f>
        <v>1.68</v>
      </c>
      <c r="L31" s="50" t="s">
        <v>36</v>
      </c>
      <c r="M31" s="62">
        <f t="shared" ref="M31:M42" si="2">IFERROR(F31*$K$11, "-")</f>
        <v>103.82222222222222</v>
      </c>
      <c r="N31" s="51" t="str">
        <f t="shared" ref="N31:N42" si="3">IFERROR(G31*$K$11, "-")</f>
        <v>-</v>
      </c>
      <c r="O31" s="260">
        <f>VLOOKUP($B31,'Hazard Values'!$F$5:$H$14,3,FALSE)</f>
        <v>300</v>
      </c>
      <c r="Q31" s="269" t="s">
        <v>161</v>
      </c>
      <c r="R31" s="259">
        <f>VLOOKUP($B31,'Hazard Values'!$F$5:$H$14,2,FALSE)</f>
        <v>1.68</v>
      </c>
      <c r="S31" s="50" t="s">
        <v>36</v>
      </c>
      <c r="T31" s="61">
        <f>IFERROR($R31/$U$11, "")</f>
        <v>0.97381637717121583</v>
      </c>
      <c r="U31" s="61" t="str">
        <f>IFERROR($R31/$U$12, "")</f>
        <v/>
      </c>
      <c r="V31" s="260">
        <f>VLOOKUP($B31,'Hazard Values'!$F$5:$H$14,3,FALSE)</f>
        <v>300</v>
      </c>
    </row>
    <row r="32" spans="2:54" s="48" customFormat="1" ht="26.45" customHeight="1" x14ac:dyDescent="0.25">
      <c r="B32" s="53" t="s">
        <v>57</v>
      </c>
      <c r="C32" s="258"/>
      <c r="D32" s="259"/>
      <c r="E32" s="50" t="s">
        <v>40</v>
      </c>
      <c r="F32" s="61">
        <f>IFERROR($D31/$G$13, "")</f>
        <v>39.370786516853926</v>
      </c>
      <c r="G32" s="61" t="str">
        <f>IFERROR($D31/$G$14, "-")</f>
        <v>-</v>
      </c>
      <c r="H32" s="260"/>
      <c r="J32" s="258"/>
      <c r="K32" s="259"/>
      <c r="L32" s="50" t="s">
        <v>40</v>
      </c>
      <c r="M32" s="63">
        <f t="shared" si="2"/>
        <v>393.70786516853923</v>
      </c>
      <c r="N32" s="51" t="str">
        <f t="shared" si="3"/>
        <v>-</v>
      </c>
      <c r="O32" s="260"/>
      <c r="Q32" s="270"/>
      <c r="R32" s="259"/>
      <c r="S32" s="50" t="s">
        <v>40</v>
      </c>
      <c r="T32" s="61">
        <f>IFERROR($R31/$U$13, "")</f>
        <v>5.9897435897435898</v>
      </c>
      <c r="U32" s="61" t="str">
        <f>IFERROR($R31/$U$14, "")</f>
        <v/>
      </c>
      <c r="V32" s="260"/>
    </row>
    <row r="33" spans="2:23" s="48" customFormat="1" ht="26.45" customHeight="1" x14ac:dyDescent="0.25">
      <c r="B33" s="53" t="s">
        <v>58</v>
      </c>
      <c r="C33" s="258" t="s">
        <v>162</v>
      </c>
      <c r="D33" s="259">
        <f>VLOOKUP($B33,'Hazard Values'!$F$5:$H$14,2,FALSE)</f>
        <v>24</v>
      </c>
      <c r="E33" s="50" t="s">
        <v>36</v>
      </c>
      <c r="F33" s="61">
        <f>IFERROR($D33/$G$11, "")</f>
        <v>148.3174603174603</v>
      </c>
      <c r="G33" s="61" t="str">
        <f>IFERROR($D33/$G$12, "-")</f>
        <v>-</v>
      </c>
      <c r="H33" s="260">
        <f>VLOOKUP($B33,'Hazard Values'!$F$5:$H$14,3,FALSE)</f>
        <v>1000</v>
      </c>
      <c r="I33" s="59"/>
      <c r="J33" s="258" t="s">
        <v>162</v>
      </c>
      <c r="K33" s="259">
        <f>VLOOKUP($B33,'Hazard Values'!$F$5:$H$14,2,FALSE)</f>
        <v>24</v>
      </c>
      <c r="L33" s="50" t="s">
        <v>36</v>
      </c>
      <c r="M33" s="51">
        <f t="shared" si="2"/>
        <v>1483.1746031746029</v>
      </c>
      <c r="N33" s="51" t="str">
        <f t="shared" si="3"/>
        <v>-</v>
      </c>
      <c r="O33" s="260">
        <f>VLOOKUP($B33,'Hazard Values'!$F$5:$H$14,3,FALSE)</f>
        <v>1000</v>
      </c>
      <c r="P33" s="59"/>
      <c r="Q33" s="269" t="s">
        <v>162</v>
      </c>
      <c r="R33" s="259">
        <f>VLOOKUP($B33,'Hazard Values'!$F$5:$H$14,2,FALSE)</f>
        <v>24</v>
      </c>
      <c r="S33" s="50" t="s">
        <v>36</v>
      </c>
      <c r="T33" s="61">
        <f>IFERROR($R33/$U$11, "")</f>
        <v>13.91166253101737</v>
      </c>
      <c r="U33" s="61" t="str">
        <f>IFERROR($R33/$U$12, "")</f>
        <v/>
      </c>
      <c r="V33" s="260">
        <f>VLOOKUP($B33,'Hazard Values'!$F$5:$H$14,3,FALSE)</f>
        <v>1000</v>
      </c>
    </row>
    <row r="34" spans="2:23" s="48" customFormat="1" ht="26.45" customHeight="1" x14ac:dyDescent="0.25">
      <c r="B34" s="53" t="s">
        <v>58</v>
      </c>
      <c r="C34" s="258"/>
      <c r="D34" s="259"/>
      <c r="E34" s="50" t="s">
        <v>40</v>
      </c>
      <c r="F34" s="61">
        <f>IFERROR($D33/$G$13, "")</f>
        <v>562.43980738362757</v>
      </c>
      <c r="G34" s="61" t="str">
        <f>IFERROR($D33/$G$14, "-")</f>
        <v>-</v>
      </c>
      <c r="H34" s="260"/>
      <c r="I34" s="59"/>
      <c r="J34" s="258"/>
      <c r="K34" s="259"/>
      <c r="L34" s="50" t="s">
        <v>40</v>
      </c>
      <c r="M34" s="51">
        <f t="shared" si="2"/>
        <v>5624.3980738362752</v>
      </c>
      <c r="N34" s="51" t="str">
        <f t="shared" si="3"/>
        <v>-</v>
      </c>
      <c r="O34" s="260"/>
      <c r="P34" s="59"/>
      <c r="Q34" s="270"/>
      <c r="R34" s="259"/>
      <c r="S34" s="50" t="s">
        <v>40</v>
      </c>
      <c r="T34" s="61">
        <f>IFERROR($R33/$U$13, "")</f>
        <v>85.567765567765562</v>
      </c>
      <c r="U34" s="61" t="str">
        <f>IFERROR($R33/$U$14, "")</f>
        <v/>
      </c>
      <c r="V34" s="260"/>
    </row>
    <row r="35" spans="2:23" s="59" customFormat="1" ht="26.45" customHeight="1" x14ac:dyDescent="0.25">
      <c r="B35" s="53" t="s">
        <v>59</v>
      </c>
      <c r="C35" s="258" t="s">
        <v>163</v>
      </c>
      <c r="D35" s="259">
        <f>VLOOKUP($B35,'Hazard Values'!$F$5:$H$14,2,FALSE)</f>
        <v>0.68899999999999995</v>
      </c>
      <c r="E35" s="50" t="s">
        <v>36</v>
      </c>
      <c r="F35" s="61">
        <f>IFERROR($D35/$G$11, "")</f>
        <v>4.2579470899470895</v>
      </c>
      <c r="G35" s="61" t="str">
        <f>IFERROR($D35/$G$12, "-")</f>
        <v>-</v>
      </c>
      <c r="H35" s="260">
        <f>VLOOKUP($B35,'Hazard Values'!$F$5:$H$14,3,FALSE)</f>
        <v>30</v>
      </c>
      <c r="I35" s="48"/>
      <c r="J35" s="258" t="s">
        <v>163</v>
      </c>
      <c r="K35" s="259">
        <f>VLOOKUP($B35,'Hazard Values'!$F$5:$H$14,2,FALSE)</f>
        <v>0.68899999999999995</v>
      </c>
      <c r="L35" s="50" t="s">
        <v>36</v>
      </c>
      <c r="M35" s="51">
        <f t="shared" si="2"/>
        <v>42.579470899470891</v>
      </c>
      <c r="N35" s="51" t="str">
        <f t="shared" si="3"/>
        <v>-</v>
      </c>
      <c r="O35" s="260">
        <f>VLOOKUP($B35,'Hazard Values'!$F$5:$H$14,3,FALSE)</f>
        <v>30</v>
      </c>
      <c r="P35" s="48"/>
      <c r="Q35" s="269" t="s">
        <v>163</v>
      </c>
      <c r="R35" s="259">
        <f>VLOOKUP($B35,'Hazard Values'!$F$5:$H$14,2,FALSE)</f>
        <v>0.68899999999999995</v>
      </c>
      <c r="S35" s="50" t="s">
        <v>36</v>
      </c>
      <c r="T35" s="61">
        <f>IFERROR($R35/$U$11, "")</f>
        <v>0.39938064516129029</v>
      </c>
      <c r="U35" s="61" t="str">
        <f>IFERROR($R35/$U$12, "")</f>
        <v/>
      </c>
      <c r="V35" s="260">
        <f>VLOOKUP($B35,'Hazard Values'!$F$5:$H$14,3,FALSE)</f>
        <v>30</v>
      </c>
    </row>
    <row r="36" spans="2:23" s="59" customFormat="1" ht="26.45" customHeight="1" x14ac:dyDescent="0.25">
      <c r="B36" s="53" t="s">
        <v>59</v>
      </c>
      <c r="C36" s="258"/>
      <c r="D36" s="259"/>
      <c r="E36" s="50" t="s">
        <v>40</v>
      </c>
      <c r="F36" s="61">
        <f>IFERROR($D35/$G$13, "")</f>
        <v>16.146709470304973</v>
      </c>
      <c r="G36" s="61" t="str">
        <f>IFERROR($D35/$G$14, "-")</f>
        <v>-</v>
      </c>
      <c r="H36" s="260"/>
      <c r="I36" s="48"/>
      <c r="J36" s="258"/>
      <c r="K36" s="259"/>
      <c r="L36" s="50" t="s">
        <v>40</v>
      </c>
      <c r="M36" s="51">
        <f t="shared" si="2"/>
        <v>161.46709470304972</v>
      </c>
      <c r="N36" s="51" t="str">
        <f t="shared" si="3"/>
        <v>-</v>
      </c>
      <c r="O36" s="260"/>
      <c r="P36" s="48"/>
      <c r="Q36" s="270"/>
      <c r="R36" s="259"/>
      <c r="S36" s="50" t="s">
        <v>40</v>
      </c>
      <c r="T36" s="61">
        <f>IFERROR($R35/$U$13, "")</f>
        <v>2.4565079365079363</v>
      </c>
      <c r="U36" s="61" t="str">
        <f>IFERROR($R35/$U$14, "")</f>
        <v/>
      </c>
      <c r="V36" s="260"/>
    </row>
    <row r="37" spans="2:23" s="48" customFormat="1" ht="26.25" customHeight="1" x14ac:dyDescent="0.25">
      <c r="B37" s="53" t="s">
        <v>60</v>
      </c>
      <c r="C37" s="273" t="s">
        <v>164</v>
      </c>
      <c r="D37" s="259">
        <f>VLOOKUP($B37,'Hazard Values'!$F$5:$H$14,2,FALSE)</f>
        <v>9.0299999999999994</v>
      </c>
      <c r="E37" s="50" t="s">
        <v>36</v>
      </c>
      <c r="F37" s="61">
        <f>IFERROR($D37/$G$11, "")</f>
        <v>55.804444444444435</v>
      </c>
      <c r="G37" s="61" t="str">
        <f>IFERROR($D37/$G$12, "-")</f>
        <v>-</v>
      </c>
      <c r="H37" s="260">
        <f>VLOOKUP($B37,'Hazard Values'!$F$5:$H$14,3,FALSE)</f>
        <v>100</v>
      </c>
      <c r="J37" s="258" t="s">
        <v>165</v>
      </c>
      <c r="K37" s="259">
        <f>VLOOKUP($B37,'Hazard Values'!$F$5:$H$14,2,FALSE)</f>
        <v>9.0299999999999994</v>
      </c>
      <c r="L37" s="50" t="s">
        <v>36</v>
      </c>
      <c r="M37" s="51">
        <f t="shared" si="2"/>
        <v>558.04444444444437</v>
      </c>
      <c r="N37" s="51" t="str">
        <f t="shared" si="3"/>
        <v>-</v>
      </c>
      <c r="O37" s="260">
        <f>VLOOKUP($B37,'Hazard Values'!$F$5:$H$14,3,FALSE)</f>
        <v>100</v>
      </c>
      <c r="Q37" s="269" t="s">
        <v>165</v>
      </c>
      <c r="R37" s="259">
        <f>VLOOKUP($B37,'Hazard Values'!$F$5:$H$14,2,FALSE)</f>
        <v>9.0299999999999994</v>
      </c>
      <c r="S37" s="50" t="s">
        <v>36</v>
      </c>
      <c r="T37" s="61">
        <f>IFERROR($R37/$U$11, "")</f>
        <v>5.2342630272952846</v>
      </c>
      <c r="U37" s="61" t="str">
        <f>IFERROR($R37/$U$12, "")</f>
        <v/>
      </c>
      <c r="V37" s="260">
        <f>VLOOKUP($B37,'Hazard Values'!$F$5:$H$14,3,FALSE)</f>
        <v>100</v>
      </c>
    </row>
    <row r="38" spans="2:23" s="48" customFormat="1" ht="26.45" customHeight="1" x14ac:dyDescent="0.25">
      <c r="B38" s="53" t="s">
        <v>60</v>
      </c>
      <c r="C38" s="273"/>
      <c r="D38" s="259"/>
      <c r="E38" s="50" t="s">
        <v>40</v>
      </c>
      <c r="F38" s="61">
        <f>IFERROR($D37/$G$13, "")</f>
        <v>211.61797752808985</v>
      </c>
      <c r="G38" s="61" t="str">
        <f>IFERROR($D37/$G$14, "-")</f>
        <v>-</v>
      </c>
      <c r="H38" s="260"/>
      <c r="J38" s="258"/>
      <c r="K38" s="259"/>
      <c r="L38" s="50" t="s">
        <v>40</v>
      </c>
      <c r="M38" s="51">
        <f t="shared" si="2"/>
        <v>2116.1797752808984</v>
      </c>
      <c r="N38" s="51" t="str">
        <f t="shared" si="3"/>
        <v>-</v>
      </c>
      <c r="O38" s="260"/>
      <c r="Q38" s="270"/>
      <c r="R38" s="259"/>
      <c r="S38" s="50" t="s">
        <v>40</v>
      </c>
      <c r="T38" s="61">
        <f>IFERROR($R37/$U$13, "")</f>
        <v>32.194871794871794</v>
      </c>
      <c r="U38" s="61" t="str">
        <f>IFERROR($R37/$U$14, "")</f>
        <v/>
      </c>
      <c r="V38" s="260"/>
    </row>
    <row r="39" spans="2:23" s="48" customFormat="1" ht="26.45" customHeight="1" x14ac:dyDescent="0.25">
      <c r="B39" s="53" t="s">
        <v>61</v>
      </c>
      <c r="C39" s="273" t="s">
        <v>166</v>
      </c>
      <c r="D39" s="259">
        <f>VLOOKUP($B39,'Hazard Values'!$F$5:$H$14,2,FALSE)</f>
        <v>28.73</v>
      </c>
      <c r="E39" s="50" t="s">
        <v>36</v>
      </c>
      <c r="F39" s="61">
        <f>IFERROR($D39/$G$11, "")</f>
        <v>177.54835978835979</v>
      </c>
      <c r="G39" s="61" t="str">
        <f>IFERROR($D39/$G$12, "-")</f>
        <v>-</v>
      </c>
      <c r="H39" s="260">
        <f>VLOOKUP($B39,'Hazard Values'!$F$5:$H$14,3,FALSE)</f>
        <v>100</v>
      </c>
      <c r="J39" s="273" t="s">
        <v>164</v>
      </c>
      <c r="K39" s="259">
        <f>VLOOKUP($B39,'Hazard Values'!$F$5:$H$14,2,FALSE)</f>
        <v>28.73</v>
      </c>
      <c r="L39" s="50" t="s">
        <v>36</v>
      </c>
      <c r="M39" s="51">
        <f t="shared" si="2"/>
        <v>1775.4835978835979</v>
      </c>
      <c r="N39" s="51" t="str">
        <f t="shared" si="3"/>
        <v>-</v>
      </c>
      <c r="O39" s="260">
        <f>VLOOKUP($B39,'Hazard Values'!$F$5:$H$14,3,FALSE)</f>
        <v>100</v>
      </c>
      <c r="Q39" s="271" t="s">
        <v>164</v>
      </c>
      <c r="R39" s="259">
        <f>VLOOKUP($B39,'Hazard Values'!$F$5:$H$14,2,FALSE)</f>
        <v>28.73</v>
      </c>
      <c r="S39" s="50" t="s">
        <v>36</v>
      </c>
      <c r="T39" s="61">
        <f>IFERROR($R39/$U$11, "")</f>
        <v>16.653419354838711</v>
      </c>
      <c r="U39" s="61" t="str">
        <f>IFERROR($R39/$U$12, "")</f>
        <v/>
      </c>
      <c r="V39" s="260">
        <f>VLOOKUP($B39,'Hazard Values'!$F$5:$H$14,3,FALSE)</f>
        <v>100</v>
      </c>
    </row>
    <row r="40" spans="2:23" s="48" customFormat="1" ht="26.45" customHeight="1" x14ac:dyDescent="0.25">
      <c r="B40" s="53" t="s">
        <v>61</v>
      </c>
      <c r="C40" s="273"/>
      <c r="D40" s="259"/>
      <c r="E40" s="50" t="s">
        <v>40</v>
      </c>
      <c r="F40" s="61">
        <f>IFERROR($D39/$G$13, "")</f>
        <v>673.28731942215086</v>
      </c>
      <c r="G40" s="61" t="str">
        <f>IFERROR($D39/$G$14, "-")</f>
        <v>-</v>
      </c>
      <c r="H40" s="260"/>
      <c r="J40" s="273"/>
      <c r="K40" s="259"/>
      <c r="L40" s="50" t="s">
        <v>40</v>
      </c>
      <c r="M40" s="51">
        <f t="shared" si="2"/>
        <v>6732.873194221509</v>
      </c>
      <c r="N40" s="51" t="str">
        <f t="shared" si="3"/>
        <v>-</v>
      </c>
      <c r="O40" s="260"/>
      <c r="Q40" s="272"/>
      <c r="R40" s="259"/>
      <c r="S40" s="50" t="s">
        <v>40</v>
      </c>
      <c r="T40" s="61">
        <f>IFERROR($R39/$U$13, "")</f>
        <v>102.43174603174603</v>
      </c>
      <c r="U40" s="61" t="str">
        <f>IFERROR($R39/$U$14, "")</f>
        <v/>
      </c>
      <c r="V40" s="260"/>
    </row>
    <row r="41" spans="2:23" s="48" customFormat="1" ht="26.45" customHeight="1" x14ac:dyDescent="0.25">
      <c r="B41" s="53" t="s">
        <v>62</v>
      </c>
      <c r="C41" s="258" t="s">
        <v>167</v>
      </c>
      <c r="D41" s="259">
        <f>VLOOKUP($B41,'Hazard Values'!$F$5:$H$14,2,FALSE)</f>
        <v>89.6</v>
      </c>
      <c r="E41" s="50" t="s">
        <v>36</v>
      </c>
      <c r="F41" s="61">
        <f>IFERROR($D41/$G$11, "")</f>
        <v>553.71851851851841</v>
      </c>
      <c r="G41" s="61" t="str">
        <f>IFERROR($D41/$G$12, "-")</f>
        <v>-</v>
      </c>
      <c r="H41" s="260">
        <f>VLOOKUP($B41,'Hazard Values'!$F$5:$H$14,3,FALSE)</f>
        <v>100</v>
      </c>
      <c r="J41" s="258" t="s">
        <v>167</v>
      </c>
      <c r="K41" s="259">
        <f>VLOOKUP($B41,'Hazard Values'!$F$5:$H$14,2,FALSE)</f>
        <v>89.6</v>
      </c>
      <c r="L41" s="50" t="s">
        <v>36</v>
      </c>
      <c r="M41" s="51">
        <f t="shared" si="2"/>
        <v>5537.1851851851843</v>
      </c>
      <c r="N41" s="51" t="str">
        <f t="shared" si="3"/>
        <v>-</v>
      </c>
      <c r="O41" s="260">
        <f>VLOOKUP($B41,'Hazard Values'!$F$5:$H$14,3,FALSE)</f>
        <v>100</v>
      </c>
      <c r="Q41" s="267" t="s">
        <v>167</v>
      </c>
      <c r="R41" s="259">
        <f>VLOOKUP($B41,'Hazard Values'!$F$5:$H$14,2,FALSE)</f>
        <v>89.6</v>
      </c>
      <c r="S41" s="50" t="s">
        <v>36</v>
      </c>
      <c r="T41" s="61">
        <f>IFERROR($R41/$U$11, "")</f>
        <v>51.936873449131511</v>
      </c>
      <c r="U41" s="61" t="str">
        <f>IFERROR($R41/$U$12, "")</f>
        <v/>
      </c>
      <c r="V41" s="260">
        <f>VLOOKUP($B41,'Hazard Values'!$F$5:$H$14,3,FALSE)</f>
        <v>100</v>
      </c>
    </row>
    <row r="42" spans="2:23" s="48" customFormat="1" ht="26.45" customHeight="1" thickBot="1" x14ac:dyDescent="0.3">
      <c r="B42" s="53" t="s">
        <v>62</v>
      </c>
      <c r="C42" s="274"/>
      <c r="D42" s="262"/>
      <c r="E42" s="54" t="s">
        <v>40</v>
      </c>
      <c r="F42" s="64">
        <f>IFERROR($D41/$G$13, "")</f>
        <v>2099.7752808988762</v>
      </c>
      <c r="G42" s="64" t="str">
        <f>IFERROR($D41/$G$14, "-")</f>
        <v>-</v>
      </c>
      <c r="H42" s="261"/>
      <c r="J42" s="274"/>
      <c r="K42" s="262"/>
      <c r="L42" s="54" t="s">
        <v>40</v>
      </c>
      <c r="M42" s="55">
        <f t="shared" si="2"/>
        <v>20997.752808988764</v>
      </c>
      <c r="N42" s="55" t="str">
        <f t="shared" si="3"/>
        <v>-</v>
      </c>
      <c r="O42" s="261"/>
      <c r="Q42" s="268"/>
      <c r="R42" s="262"/>
      <c r="S42" s="54" t="s">
        <v>40</v>
      </c>
      <c r="T42" s="64">
        <f>IFERROR($R41/$U$13, "")</f>
        <v>319.45299145299145</v>
      </c>
      <c r="U42" s="64" t="str">
        <f>IFERROR($R41/$U$14, "")</f>
        <v/>
      </c>
      <c r="V42" s="261"/>
    </row>
    <row r="43" spans="2:23" s="48" customFormat="1" x14ac:dyDescent="0.25">
      <c r="B43" s="10"/>
      <c r="C43" s="60"/>
      <c r="D43" s="57"/>
      <c r="E43" s="57"/>
      <c r="F43" s="60"/>
      <c r="G43" s="60"/>
      <c r="H43" s="60"/>
      <c r="W43" s="47"/>
    </row>
    <row r="44" spans="2:23" s="48" customFormat="1" x14ac:dyDescent="0.25">
      <c r="B44" s="10"/>
      <c r="C44" s="60"/>
      <c r="D44" s="57"/>
      <c r="E44" s="57"/>
      <c r="F44" s="60"/>
      <c r="G44" s="60"/>
      <c r="H44" s="60"/>
      <c r="W44" s="47"/>
    </row>
    <row r="45" spans="2:23" s="48" customFormat="1" x14ac:dyDescent="0.25">
      <c r="C45" s="60"/>
      <c r="D45" s="65"/>
      <c r="E45" s="65"/>
      <c r="F45" s="58"/>
      <c r="G45" s="66"/>
      <c r="H45" s="66"/>
      <c r="I45" s="10"/>
      <c r="J45" s="10"/>
      <c r="K45" s="10"/>
      <c r="L45" s="10"/>
      <c r="M45" s="10"/>
      <c r="N45" s="10"/>
      <c r="O45" s="10"/>
      <c r="P45" s="10"/>
      <c r="Q45" s="60"/>
      <c r="R45" s="60"/>
      <c r="S45" s="65"/>
      <c r="T45" s="65"/>
      <c r="U45" s="58"/>
      <c r="V45" s="66"/>
      <c r="W45" s="66"/>
    </row>
    <row r="46" spans="2:23" x14ac:dyDescent="0.25">
      <c r="E46" s="11"/>
    </row>
    <row r="47" spans="2:23" x14ac:dyDescent="0.25">
      <c r="E47" s="11"/>
    </row>
    <row r="48" spans="2:23" ht="28.9" customHeight="1" x14ac:dyDescent="0.25">
      <c r="E48" s="11"/>
    </row>
    <row r="49" spans="3:19" x14ac:dyDescent="0.25">
      <c r="E49" s="11"/>
    </row>
    <row r="50" spans="3:19" x14ac:dyDescent="0.25">
      <c r="E50" s="11"/>
    </row>
    <row r="63" spans="3:19" x14ac:dyDescent="0.25">
      <c r="C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3:19" x14ac:dyDescent="0.25">
      <c r="C64" s="48"/>
      <c r="D64" s="59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3:19" s="67" customFormat="1" x14ac:dyDescent="0.25">
      <c r="C65" s="48"/>
      <c r="D65" s="59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3:19" x14ac:dyDescent="0.25">
      <c r="C66" s="48"/>
      <c r="D66" s="59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</row>
  </sheetData>
  <sheetProtection algorithmName="SHA-512" hashValue="fwg2xu/AEpQq86vBmHVDDuYpirUw0CMVClm8bOeS0vxQUr9jczLGph5rLglWd8Og6wmnBZ0zEk1C8G3scd0Gsg==" saltValue="HMq+2IS7Z/k00S6qpxZ7AQ==" spinCount="100000" sheet="1" objects="1" scenarios="1"/>
  <mergeCells count="130">
    <mergeCell ref="E2:F2"/>
    <mergeCell ref="C25:C26"/>
    <mergeCell ref="D29:D30"/>
    <mergeCell ref="C29:C30"/>
    <mergeCell ref="C9:C10"/>
    <mergeCell ref="Q9:Q10"/>
    <mergeCell ref="Q25:Q26"/>
    <mergeCell ref="Q29:Q30"/>
    <mergeCell ref="C17:C18"/>
    <mergeCell ref="H17:H18"/>
    <mergeCell ref="D25:D26"/>
    <mergeCell ref="D9:D10"/>
    <mergeCell ref="J25:J26"/>
    <mergeCell ref="K25:K26"/>
    <mergeCell ref="O25:O26"/>
    <mergeCell ref="M29:N29"/>
    <mergeCell ref="O29:O30"/>
    <mergeCell ref="J9:K10"/>
    <mergeCell ref="E29:E30"/>
    <mergeCell ref="C23:C24"/>
    <mergeCell ref="J23:J24"/>
    <mergeCell ref="Q23:Q24"/>
    <mergeCell ref="D23:D24"/>
    <mergeCell ref="K23:K24"/>
    <mergeCell ref="D11:D12"/>
    <mergeCell ref="D13:D14"/>
    <mergeCell ref="J21:J22"/>
    <mergeCell ref="K21:K22"/>
    <mergeCell ref="O21:O22"/>
    <mergeCell ref="C19:C20"/>
    <mergeCell ref="Q19:Q20"/>
    <mergeCell ref="D19:D20"/>
    <mergeCell ref="K19:K20"/>
    <mergeCell ref="F17:G17"/>
    <mergeCell ref="J19:J20"/>
    <mergeCell ref="R23:R24"/>
    <mergeCell ref="H19:H20"/>
    <mergeCell ref="H23:H24"/>
    <mergeCell ref="O19:O20"/>
    <mergeCell ref="O23:O24"/>
    <mergeCell ref="R29:R30"/>
    <mergeCell ref="C21:C22"/>
    <mergeCell ref="E17:E18"/>
    <mergeCell ref="D21:D22"/>
    <mergeCell ref="D17:D18"/>
    <mergeCell ref="R19:R20"/>
    <mergeCell ref="V21:V22"/>
    <mergeCell ref="S29:S30"/>
    <mergeCell ref="V25:V26"/>
    <mergeCell ref="T17:U17"/>
    <mergeCell ref="V17:V18"/>
    <mergeCell ref="V19:V20"/>
    <mergeCell ref="V23:V24"/>
    <mergeCell ref="F29:G29"/>
    <mergeCell ref="H21:H22"/>
    <mergeCell ref="H25:H26"/>
    <mergeCell ref="Q21:Q22"/>
    <mergeCell ref="R21:R22"/>
    <mergeCell ref="H29:H30"/>
    <mergeCell ref="Q17:Q18"/>
    <mergeCell ref="R17:R18"/>
    <mergeCell ref="R25:R26"/>
    <mergeCell ref="J17:J18"/>
    <mergeCell ref="K17:K18"/>
    <mergeCell ref="L17:L18"/>
    <mergeCell ref="M17:N17"/>
    <mergeCell ref="O17:O18"/>
    <mergeCell ref="J29:J30"/>
    <mergeCell ref="K29:K30"/>
    <mergeCell ref="L29:L30"/>
    <mergeCell ref="C41:C42"/>
    <mergeCell ref="D31:D32"/>
    <mergeCell ref="D33:D34"/>
    <mergeCell ref="D35:D36"/>
    <mergeCell ref="D37:D38"/>
    <mergeCell ref="D39:D40"/>
    <mergeCell ref="D41:D42"/>
    <mergeCell ref="C31:C32"/>
    <mergeCell ref="C33:C34"/>
    <mergeCell ref="C35:C36"/>
    <mergeCell ref="C37:C38"/>
    <mergeCell ref="C39:C40"/>
    <mergeCell ref="H41:H42"/>
    <mergeCell ref="H31:H32"/>
    <mergeCell ref="H33:H34"/>
    <mergeCell ref="H35:H36"/>
    <mergeCell ref="H37:H38"/>
    <mergeCell ref="H39:H40"/>
    <mergeCell ref="Q41:Q42"/>
    <mergeCell ref="Q31:Q32"/>
    <mergeCell ref="Q33:Q34"/>
    <mergeCell ref="Q35:Q36"/>
    <mergeCell ref="J31:J32"/>
    <mergeCell ref="K31:K32"/>
    <mergeCell ref="O31:O32"/>
    <mergeCell ref="J33:J34"/>
    <mergeCell ref="K33:K34"/>
    <mergeCell ref="O33:O34"/>
    <mergeCell ref="Q37:Q38"/>
    <mergeCell ref="Q39:Q40"/>
    <mergeCell ref="J39:J40"/>
    <mergeCell ref="K39:K40"/>
    <mergeCell ref="O39:O40"/>
    <mergeCell ref="J41:J42"/>
    <mergeCell ref="K41:K42"/>
    <mergeCell ref="O41:O42"/>
    <mergeCell ref="R9:R10"/>
    <mergeCell ref="S17:S18"/>
    <mergeCell ref="R13:R14"/>
    <mergeCell ref="R11:R12"/>
    <mergeCell ref="J37:J38"/>
    <mergeCell ref="K37:K38"/>
    <mergeCell ref="O37:O38"/>
    <mergeCell ref="V41:V42"/>
    <mergeCell ref="R31:R32"/>
    <mergeCell ref="R33:R34"/>
    <mergeCell ref="R35:R36"/>
    <mergeCell ref="R37:R38"/>
    <mergeCell ref="R39:R40"/>
    <mergeCell ref="R41:R42"/>
    <mergeCell ref="V31:V32"/>
    <mergeCell ref="V33:V34"/>
    <mergeCell ref="V35:V36"/>
    <mergeCell ref="V37:V38"/>
    <mergeCell ref="V39:V40"/>
    <mergeCell ref="J35:J36"/>
    <mergeCell ref="K35:K36"/>
    <mergeCell ref="O35:O36"/>
    <mergeCell ref="V29:V30"/>
    <mergeCell ref="T29:U29"/>
  </mergeCells>
  <conditionalFormatting sqref="S11:T12">
    <cfRule type="cellIs" dxfId="134" priority="103" operator="greaterThanOrEqual">
      <formula>0.1</formula>
    </cfRule>
    <cfRule type="cellIs" dxfId="133" priority="104" operator="lessThan">
      <formula>0.1</formula>
    </cfRule>
  </conditionalFormatting>
  <conditionalFormatting sqref="S11:U14">
    <cfRule type="cellIs" dxfId="132" priority="94" operator="equal">
      <formula>0</formula>
    </cfRule>
  </conditionalFormatting>
  <conditionalFormatting sqref="E11:G14 S11:U14">
    <cfRule type="cellIs" dxfId="131" priority="82" operator="greaterThanOrEqual">
      <formula>100</formula>
    </cfRule>
    <cfRule type="cellIs" dxfId="130" priority="83" operator="between">
      <formula>10</formula>
      <formula>99</formula>
    </cfRule>
    <cfRule type="cellIs" dxfId="129" priority="86" operator="equal">
      <formula>0</formula>
    </cfRule>
    <cfRule type="cellIs" dxfId="128" priority="91" operator="between">
      <formula>0.1</formula>
      <formula>10</formula>
    </cfRule>
    <cfRule type="cellIs" dxfId="127" priority="92" operator="lessThan">
      <formula>0.1</formula>
    </cfRule>
  </conditionalFormatting>
  <conditionalFormatting sqref="F31:G32">
    <cfRule type="cellIs" dxfId="126" priority="71" operator="lessThan">
      <formula>$H$31</formula>
    </cfRule>
    <cfRule type="cellIs" dxfId="125" priority="79" operator="greaterThanOrEqual">
      <formula>$H$31</formula>
    </cfRule>
  </conditionalFormatting>
  <conditionalFormatting sqref="T31:U32">
    <cfRule type="cellIs" dxfId="124" priority="70" operator="greaterThanOrEqual">
      <formula>$V$31</formula>
    </cfRule>
    <cfRule type="cellIs" dxfId="123" priority="78" operator="lessThan">
      <formula>$V$31</formula>
    </cfRule>
  </conditionalFormatting>
  <conditionalFormatting sqref="F33:G34">
    <cfRule type="cellIs" dxfId="122" priority="76" operator="lessThan">
      <formula>$H$33</formula>
    </cfRule>
    <cfRule type="cellIs" dxfId="121" priority="77" operator="greaterThanOrEqual">
      <formula>$H$33</formula>
    </cfRule>
  </conditionalFormatting>
  <conditionalFormatting sqref="T33:U34">
    <cfRule type="cellIs" dxfId="120" priority="68" operator="greaterThanOrEqual">
      <formula>$V$33</formula>
    </cfRule>
    <cfRule type="cellIs" dxfId="119" priority="69" operator="lessThan">
      <formula>$V$33</formula>
    </cfRule>
  </conditionalFormatting>
  <conditionalFormatting sqref="F35:G36">
    <cfRule type="cellIs" dxfId="118" priority="74" operator="lessThan">
      <formula>$H$35</formula>
    </cfRule>
    <cfRule type="cellIs" dxfId="117" priority="75" operator="greaterThanOrEqual">
      <formula>$H$35</formula>
    </cfRule>
  </conditionalFormatting>
  <conditionalFormatting sqref="T35:U36">
    <cfRule type="cellIs" dxfId="116" priority="66" operator="greaterThanOrEqual">
      <formula>$V$35</formula>
    </cfRule>
    <cfRule type="cellIs" dxfId="115" priority="67" operator="lessThan">
      <formula>$V$35</formula>
    </cfRule>
  </conditionalFormatting>
  <conditionalFormatting sqref="F37:G38">
    <cfRule type="cellIs" dxfId="114" priority="64" operator="greaterThanOrEqual">
      <formula>$H$37</formula>
    </cfRule>
    <cfRule type="cellIs" dxfId="113" priority="65" operator="lessThan">
      <formula>$H$37</formula>
    </cfRule>
  </conditionalFormatting>
  <conditionalFormatting sqref="T37:U38">
    <cfRule type="cellIs" dxfId="112" priority="62" operator="greaterThanOrEqual">
      <formula>$V$37</formula>
    </cfRule>
    <cfRule type="cellIs" dxfId="111" priority="63" operator="lessThan">
      <formula>$V$37</formula>
    </cfRule>
  </conditionalFormatting>
  <conditionalFormatting sqref="F39:G40">
    <cfRule type="cellIs" dxfId="110" priority="60" operator="greaterThanOrEqual">
      <formula>$H$39</formula>
    </cfRule>
    <cfRule type="cellIs" dxfId="109" priority="61" operator="lessThan">
      <formula>$H$39</formula>
    </cfRule>
  </conditionalFormatting>
  <conditionalFormatting sqref="T39:U40">
    <cfRule type="cellIs" dxfId="108" priority="58" operator="greaterThanOrEqual">
      <formula>$V$39</formula>
    </cfRule>
    <cfRule type="cellIs" dxfId="107" priority="59" operator="lessThan">
      <formula>$V$39</formula>
    </cfRule>
  </conditionalFormatting>
  <conditionalFormatting sqref="F41:G42">
    <cfRule type="cellIs" dxfId="106" priority="56" operator="greaterThanOrEqual">
      <formula>$H$41</formula>
    </cfRule>
    <cfRule type="cellIs" dxfId="105" priority="57" operator="lessThan">
      <formula>$H$41</formula>
    </cfRule>
  </conditionalFormatting>
  <conditionalFormatting sqref="T41:U42">
    <cfRule type="cellIs" dxfId="104" priority="54" operator="greaterThanOrEqual">
      <formula>$V$41</formula>
    </cfRule>
    <cfRule type="cellIs" dxfId="103" priority="55" operator="lessThan">
      <formula>$V$41</formula>
    </cfRule>
  </conditionalFormatting>
  <conditionalFormatting sqref="F25:G26">
    <cfRule type="cellIs" dxfId="102" priority="52" operator="greaterThanOrEqual">
      <formula>$H$25</formula>
    </cfRule>
    <cfRule type="cellIs" dxfId="101" priority="53" operator="lessThan">
      <formula>$H$25</formula>
    </cfRule>
  </conditionalFormatting>
  <conditionalFormatting sqref="M31:N32">
    <cfRule type="cellIs" dxfId="100" priority="34" operator="lessThan">
      <formula>$O$31</formula>
    </cfRule>
    <cfRule type="cellIs" dxfId="99" priority="35" operator="greaterThanOrEqual">
      <formula>$O$31</formula>
    </cfRule>
  </conditionalFormatting>
  <conditionalFormatting sqref="M33:N34">
    <cfRule type="cellIs" dxfId="98" priority="32" operator="greaterThanOrEqual">
      <formula>$O$33</formula>
    </cfRule>
    <cfRule type="cellIs" dxfId="97" priority="33" operator="lessThan">
      <formula>$O$33</formula>
    </cfRule>
  </conditionalFormatting>
  <conditionalFormatting sqref="M35:N36">
    <cfRule type="cellIs" dxfId="96" priority="30" operator="greaterThanOrEqual">
      <formula>$O$35</formula>
    </cfRule>
    <cfRule type="cellIs" dxfId="95" priority="31" operator="lessThan">
      <formula>$O$35</formula>
    </cfRule>
  </conditionalFormatting>
  <conditionalFormatting sqref="M37:N38">
    <cfRule type="cellIs" dxfId="94" priority="28" operator="greaterThanOrEqual">
      <formula>$O$37</formula>
    </cfRule>
    <cfRule type="cellIs" dxfId="93" priority="29" operator="lessThan">
      <formula>$O$37</formula>
    </cfRule>
  </conditionalFormatting>
  <conditionalFormatting sqref="M39:N40">
    <cfRule type="cellIs" dxfId="92" priority="26" operator="greaterThanOrEqual">
      <formula>$O$39</formula>
    </cfRule>
    <cfRule type="cellIs" dxfId="91" priority="27" operator="lessThan">
      <formula>$O$39</formula>
    </cfRule>
  </conditionalFormatting>
  <conditionalFormatting sqref="M41:N42">
    <cfRule type="cellIs" dxfId="90" priority="24" operator="greaterThanOrEqual">
      <formula>$O$41</formula>
    </cfRule>
    <cfRule type="cellIs" dxfId="89" priority="25" operator="lessThan">
      <formula>$O$41</formula>
    </cfRule>
  </conditionalFormatting>
  <conditionalFormatting sqref="M25:N26">
    <cfRule type="cellIs" dxfId="88" priority="22" operator="greaterThanOrEqual">
      <formula>$O$25</formula>
    </cfRule>
    <cfRule type="cellIs" dxfId="87" priority="23" operator="lessThan">
      <formula>$O$25</formula>
    </cfRule>
  </conditionalFormatting>
  <conditionalFormatting sqref="T25:T26">
    <cfRule type="cellIs" dxfId="86" priority="20" operator="greaterThanOrEqual">
      <formula>$V$25</formula>
    </cfRule>
    <cfRule type="cellIs" dxfId="85" priority="21" operator="lessThan">
      <formula>$V$25</formula>
    </cfRule>
  </conditionalFormatting>
  <conditionalFormatting sqref="F19:G20">
    <cfRule type="cellIs" dxfId="84" priority="18" operator="lessThan">
      <formula>$H$19</formula>
    </cfRule>
    <cfRule type="cellIs" dxfId="83" priority="19" operator="greaterThanOrEqual">
      <formula>$H$19</formula>
    </cfRule>
  </conditionalFormatting>
  <conditionalFormatting sqref="M19:M20">
    <cfRule type="cellIs" dxfId="82" priority="16" operator="lessThan">
      <formula>$H$19</formula>
    </cfRule>
    <cfRule type="cellIs" dxfId="81" priority="17" operator="greaterThanOrEqual">
      <formula>$H$19</formula>
    </cfRule>
  </conditionalFormatting>
  <conditionalFormatting sqref="N19:N20">
    <cfRule type="cellIs" dxfId="80" priority="14" operator="lessThan">
      <formula>$H$19</formula>
    </cfRule>
    <cfRule type="cellIs" dxfId="79" priority="15" operator="greaterThanOrEqual">
      <formula>$H$19</formula>
    </cfRule>
  </conditionalFormatting>
  <conditionalFormatting sqref="T19:U19 T20">
    <cfRule type="cellIs" dxfId="78" priority="12" operator="lessThan">
      <formula>$V$19</formula>
    </cfRule>
    <cfRule type="cellIs" dxfId="77" priority="13" operator="greaterThanOrEqual">
      <formula>$V$19</formula>
    </cfRule>
  </conditionalFormatting>
  <conditionalFormatting sqref="F21:G22 M21:N22">
    <cfRule type="cellIs" dxfId="76" priority="105" operator="lessThan">
      <formula>$O$23</formula>
    </cfRule>
    <cfRule type="cellIs" dxfId="75" priority="106" operator="greaterThanOrEqual">
      <formula>$O$23</formula>
    </cfRule>
  </conditionalFormatting>
  <conditionalFormatting sqref="F23:G24">
    <cfRule type="cellIs" dxfId="74" priority="5" operator="greaterThanOrEqual">
      <formula>$H$23</formula>
    </cfRule>
    <cfRule type="cellIs" dxfId="73" priority="6" operator="lessThan">
      <formula>$H$23</formula>
    </cfRule>
  </conditionalFormatting>
  <conditionalFormatting sqref="T21:T22">
    <cfRule type="cellIs" dxfId="72" priority="113" operator="lessThan">
      <formula>$V$21</formula>
    </cfRule>
    <cfRule type="cellIs" dxfId="71" priority="114" operator="greaterThanOrEqual">
      <formula>$V$21</formula>
    </cfRule>
  </conditionalFormatting>
  <conditionalFormatting sqref="T23:T24">
    <cfRule type="cellIs" dxfId="70" priority="8" operator="lessThan">
      <formula>$V$23</formula>
    </cfRule>
    <cfRule type="cellIs" dxfId="69" priority="9" operator="greaterThanOrEqual">
      <formula>$V$23</formula>
    </cfRule>
  </conditionalFormatting>
  <conditionalFormatting sqref="M23:N24">
    <cfRule type="cellIs" dxfId="68" priority="3" operator="greaterThanOrEqual">
      <formula>$O$23</formula>
    </cfRule>
    <cfRule type="cellIs" dxfId="67" priority="4" operator="lessThan">
      <formula>$O$23</formula>
    </cfRule>
  </conditionalFormatting>
  <conditionalFormatting sqref="U20:U26">
    <cfRule type="cellIs" dxfId="66" priority="1" operator="lessThan">
      <formula>$V$19</formula>
    </cfRule>
    <cfRule type="cellIs" dxfId="65" priority="2" operator="greaterThanOrEqual">
      <formula>$V$19</formula>
    </cfRule>
  </conditionalFormatting>
  <dataValidations count="1">
    <dataValidation allowBlank="1" showErrorMessage="1" sqref="Q9:R9 C13:C14 C9 S9:S10 E9:E10 Q12 Q14" xr:uid="{00000000-0002-0000-00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ListValues!$E$1:$E$3</xm:f>
          </x14:formula1>
          <xm:sqref>D4</xm:sqref>
        </x14:dataValidation>
        <x14:dataValidation type="list" allowBlank="1" showInputMessage="1" showErrorMessage="1" xr:uid="{00000000-0002-0000-0000-000003000000}">
          <x14:formula1>
            <xm:f>ListValues!$B$1:$B$13</xm:f>
          </x14:formula1>
          <xm:sqref>C4</xm:sqref>
        </x14:dataValidation>
        <x14:dataValidation type="list" allowBlank="1" showInputMessage="1" showErrorMessage="1" xr:uid="{64C2C2D7-639B-4FA8-A697-16467C9101BC}">
          <x14:formula1>
            <xm:f>'Risk Reduction Heat Map'!$K$8:$P$8</xm:f>
          </x14:formula1>
          <xm:sqref>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7152-FA37-46D2-91FB-2F1690BE6E0C}">
  <dimension ref="A1:Q49"/>
  <sheetViews>
    <sheetView topLeftCell="B1" workbookViewId="0">
      <selection activeCell="F4" sqref="F4:G4"/>
    </sheetView>
  </sheetViews>
  <sheetFormatPr defaultRowHeight="15.75" x14ac:dyDescent="0.25"/>
  <cols>
    <col min="1" max="1" width="11.7109375" style="68" hidden="1" customWidth="1"/>
    <col min="2" max="2" width="18.5703125" style="68" customWidth="1"/>
    <col min="3" max="3" width="14.140625" style="68" customWidth="1"/>
    <col min="4" max="4" width="15.140625" style="68" customWidth="1"/>
    <col min="5" max="5" width="19.28515625" style="68" customWidth="1"/>
    <col min="6" max="6" width="18.5703125" style="68" customWidth="1"/>
    <col min="7" max="7" width="22.7109375" style="68" customWidth="1"/>
    <col min="8" max="8" width="18.42578125" style="68" customWidth="1"/>
    <col min="9" max="9" width="11.85546875" style="68" customWidth="1"/>
    <col min="10" max="11" width="10.85546875" style="68" customWidth="1"/>
    <col min="12" max="16" width="9.85546875" style="68" bestFit="1" customWidth="1"/>
    <col min="17" max="16384" width="9.140625" style="68"/>
  </cols>
  <sheetData>
    <row r="1" spans="1:17" ht="25.5" customHeight="1" x14ac:dyDescent="0.25">
      <c r="B1" s="69" t="s">
        <v>63</v>
      </c>
    </row>
    <row r="2" spans="1:17" ht="16.5" thickBot="1" x14ac:dyDescent="0.3">
      <c r="A2" s="70"/>
      <c r="B2" s="11"/>
      <c r="C2" s="10"/>
      <c r="D2" s="71"/>
      <c r="E2" s="10"/>
      <c r="F2" s="10"/>
      <c r="G2" s="10"/>
      <c r="H2" s="11"/>
      <c r="I2" s="11"/>
      <c r="J2" s="10"/>
      <c r="K2" s="10"/>
      <c r="L2" s="10"/>
      <c r="M2" s="10"/>
      <c r="N2" s="10"/>
      <c r="O2" s="10"/>
      <c r="P2" s="10"/>
      <c r="Q2" s="10"/>
    </row>
    <row r="3" spans="1:17" ht="27" customHeight="1" x14ac:dyDescent="0.25">
      <c r="A3" s="70"/>
      <c r="B3" s="11"/>
      <c r="C3" s="10"/>
      <c r="D3" s="71"/>
      <c r="E3" s="10"/>
      <c r="F3" s="305" t="s">
        <v>64</v>
      </c>
      <c r="G3" s="306"/>
      <c r="H3" s="72"/>
      <c r="I3" s="11"/>
      <c r="J3" s="10"/>
      <c r="K3" s="10"/>
      <c r="L3" s="10"/>
      <c r="M3" s="10"/>
      <c r="N3" s="10"/>
      <c r="O3" s="10"/>
      <c r="P3" s="10"/>
      <c r="Q3" s="10"/>
    </row>
    <row r="4" spans="1:17" ht="38.25" customHeight="1" thickBot="1" x14ac:dyDescent="0.3">
      <c r="A4" s="70"/>
      <c r="B4" s="11"/>
      <c r="C4" s="10"/>
      <c r="D4" s="71"/>
      <c r="E4" s="10"/>
      <c r="F4" s="307" t="str">
        <f>Dashboard!$C$4</f>
        <v>Repackaging of import containers</v>
      </c>
      <c r="G4" s="308"/>
      <c r="H4" s="11"/>
      <c r="I4" s="11"/>
      <c r="J4" s="10"/>
      <c r="K4" s="10"/>
      <c r="L4" s="10"/>
      <c r="M4" s="10"/>
      <c r="N4" s="10"/>
      <c r="O4" s="10"/>
      <c r="P4" s="10"/>
      <c r="Q4" s="10"/>
    </row>
    <row r="5" spans="1:17" ht="16.5" thickBot="1" x14ac:dyDescent="0.3"/>
    <row r="6" spans="1:17" ht="16.5" thickBot="1" x14ac:dyDescent="0.3">
      <c r="A6" s="70"/>
      <c r="B6" s="11"/>
      <c r="C6" s="10"/>
      <c r="D6" s="71"/>
      <c r="E6" s="10"/>
      <c r="F6" s="10"/>
      <c r="G6" s="10"/>
      <c r="H6" s="11"/>
      <c r="I6" s="11"/>
      <c r="J6" s="319" t="s">
        <v>65</v>
      </c>
      <c r="K6" s="320"/>
      <c r="L6" s="320"/>
      <c r="M6" s="320"/>
      <c r="N6" s="320"/>
      <c r="O6" s="320"/>
      <c r="P6" s="321"/>
      <c r="Q6" s="10"/>
    </row>
    <row r="7" spans="1:17" ht="30" customHeight="1" thickBot="1" x14ac:dyDescent="0.3">
      <c r="A7" s="70"/>
      <c r="B7" s="73"/>
      <c r="C7" s="10"/>
      <c r="D7" s="71"/>
      <c r="E7" s="10"/>
      <c r="F7" s="10"/>
      <c r="G7" s="10"/>
      <c r="H7" s="11"/>
      <c r="I7" s="11"/>
      <c r="J7" s="312" t="s">
        <v>66</v>
      </c>
      <c r="K7" s="303" t="s">
        <v>67</v>
      </c>
      <c r="L7" s="303"/>
      <c r="M7" s="303"/>
      <c r="N7" s="303"/>
      <c r="O7" s="303"/>
      <c r="P7" s="304"/>
      <c r="Q7" s="10"/>
    </row>
    <row r="8" spans="1:17" ht="51.75" customHeight="1" thickBot="1" x14ac:dyDescent="0.3">
      <c r="A8" s="74" t="s">
        <v>68</v>
      </c>
      <c r="B8" s="75" t="s">
        <v>69</v>
      </c>
      <c r="C8" s="75" t="s">
        <v>20</v>
      </c>
      <c r="D8" s="75" t="s">
        <v>70</v>
      </c>
      <c r="E8" s="317" t="s">
        <v>71</v>
      </c>
      <c r="F8" s="318"/>
      <c r="G8" s="76" t="s">
        <v>72</v>
      </c>
      <c r="H8" s="76" t="s">
        <v>29</v>
      </c>
      <c r="I8" s="77" t="s">
        <v>73</v>
      </c>
      <c r="J8" s="313"/>
      <c r="K8" s="78">
        <v>5</v>
      </c>
      <c r="L8" s="78">
        <v>10</v>
      </c>
      <c r="M8" s="78">
        <v>25</v>
      </c>
      <c r="N8" s="78">
        <v>50</v>
      </c>
      <c r="O8" s="78">
        <v>1000</v>
      </c>
      <c r="P8" s="79">
        <v>10000</v>
      </c>
      <c r="Q8" s="10"/>
    </row>
    <row r="9" spans="1:17" ht="12.75" customHeight="1" x14ac:dyDescent="0.25">
      <c r="A9" s="80" t="s">
        <v>49</v>
      </c>
      <c r="B9" s="332" t="str">
        <f>Dashboard!$C$4</f>
        <v>Repackaging of import containers</v>
      </c>
      <c r="C9" s="309" t="str">
        <f>Dashboard!$D$4</f>
        <v>Average Adult Worker</v>
      </c>
      <c r="D9" s="309" t="s">
        <v>74</v>
      </c>
      <c r="E9" s="314" t="s">
        <v>75</v>
      </c>
      <c r="F9" s="309" t="s">
        <v>76</v>
      </c>
      <c r="G9" s="314" t="s">
        <v>77</v>
      </c>
      <c r="H9" s="81" t="s">
        <v>36</v>
      </c>
      <c r="I9" s="82">
        <f>VLOOKUP(A9, 'Hazard Values'!$F$5:$H$14, 3, FALSE)</f>
        <v>30</v>
      </c>
      <c r="J9" s="83">
        <f>IF(AND(COUNTIFS(Dashboard!$B$19:$B$42, A9,Dashboard!$E$19:$E$42, H9)=1, SUMIFS(Dashboard!$F$19:$F$42,Dashboard!$B$19:$B$42, A9, Dashboard!$E$19:$E$42, H9)&gt;0), SUMIFS(Dashboard!$F$19:$F$42, Dashboard!$B$19:$B$42, A9, Dashboard!$E$19:$E$42, H9), "-")</f>
        <v>95.238095238095241</v>
      </c>
      <c r="K9" s="84">
        <f>IFERROR(J9*$K$8,"-")</f>
        <v>476.1904761904762</v>
      </c>
      <c r="L9" s="84">
        <f t="shared" ref="L9" si="0">IFERROR(J9*$L$8, "-")</f>
        <v>952.38095238095241</v>
      </c>
      <c r="M9" s="84">
        <f t="shared" ref="M9" si="1">IFERROR(J9*$M$8,"-")</f>
        <v>2380.9523809523812</v>
      </c>
      <c r="N9" s="84">
        <f t="shared" ref="N9" si="2">IFERROR(J9*$N$8, "-")</f>
        <v>4761.9047619047624</v>
      </c>
      <c r="O9" s="84">
        <f t="shared" ref="O9" si="3">IFERROR(J9*$O$8,"-")</f>
        <v>95238.095238095237</v>
      </c>
      <c r="P9" s="85">
        <f t="shared" ref="P9" si="4">IFERROR(K9*$P$8,"-")</f>
        <v>4761904.7619047621</v>
      </c>
      <c r="Q9" s="10"/>
    </row>
    <row r="10" spans="1:17" s="10" customFormat="1" ht="12.75" customHeight="1" x14ac:dyDescent="0.25">
      <c r="A10" s="86" t="s">
        <v>49</v>
      </c>
      <c r="B10" s="333"/>
      <c r="C10" s="322"/>
      <c r="D10" s="322"/>
      <c r="E10" s="302"/>
      <c r="F10" s="310"/>
      <c r="G10" s="315"/>
      <c r="H10" s="87" t="s">
        <v>40</v>
      </c>
      <c r="I10" s="88">
        <f>VLOOKUP(A10, 'Hazard Values'!$F$5:$H$14, 3, FALSE)</f>
        <v>30</v>
      </c>
      <c r="J10" s="83">
        <f>IF(AND(COUNTIFS(Dashboard!$B$19:$B$42, A10,Dashboard!$E$19:$E$42, H10)=1, SUMIFS(Dashboard!$F$19:$F$42,Dashboard!$B$19:$B$42, A10, Dashboard!$E$19:$E$42, H10)&gt;0), SUMIFS(Dashboard!$F$19:$F$42, Dashboard!$B$19:$B$42, A10, Dashboard!$E$19:$E$42, H10), "-")</f>
        <v>202.24719101123594</v>
      </c>
      <c r="K10" s="84">
        <f>IFERROR(J10*$K$8,"-")</f>
        <v>1011.2359550561797</v>
      </c>
      <c r="L10" s="84">
        <f t="shared" ref="L10" si="5">IFERROR(J10*$L$8, "-")</f>
        <v>2022.4719101123594</v>
      </c>
      <c r="M10" s="84">
        <f t="shared" ref="M10" si="6">IFERROR(J10*$M$8,"-")</f>
        <v>5056.1797752808989</v>
      </c>
      <c r="N10" s="84">
        <f t="shared" ref="N10" si="7">IFERROR(J10*$N$8, "-")</f>
        <v>10112.359550561798</v>
      </c>
      <c r="O10" s="84">
        <f t="shared" ref="O10" si="8">IFERROR(J10*$O$8,"-")</f>
        <v>202247.19101123593</v>
      </c>
      <c r="P10" s="85">
        <f t="shared" ref="P10" si="9">IFERROR(K10*$P$8,"-")</f>
        <v>10112359.550561797</v>
      </c>
    </row>
    <row r="11" spans="1:17" s="10" customFormat="1" ht="12.75" customHeight="1" x14ac:dyDescent="0.25">
      <c r="A11" s="86" t="s">
        <v>50</v>
      </c>
      <c r="B11" s="333"/>
      <c r="C11" s="322"/>
      <c r="D11" s="322"/>
      <c r="E11" s="322" t="s">
        <v>78</v>
      </c>
      <c r="F11" s="311" t="s">
        <v>79</v>
      </c>
      <c r="G11" s="315"/>
      <c r="H11" s="89" t="s">
        <v>36</v>
      </c>
      <c r="I11" s="88">
        <f>VLOOKUP(A11, 'Hazard Values'!$F$5:$H$14, 3, FALSE)</f>
        <v>100</v>
      </c>
      <c r="J11" s="83">
        <f>IF(AND(COUNTIFS(Dashboard!$B$19:$B$42, A11,Dashboard!$E$19:$E$42, H11)=1, SUMIFS(Dashboard!$F$19:$F$42,Dashboard!$B$19:$B$42, A11, Dashboard!$E$19:$E$42, H11)&gt;0), SUMIFS(Dashboard!$F$19:$F$42, Dashboard!$B$19:$B$42, A11, Dashboard!$E$19:$E$42, H11), "-")</f>
        <v>38.222222222222221</v>
      </c>
      <c r="K11" s="84">
        <f t="shared" ref="K11:K28" si="10">IFERROR(J11*$K$8,"-")</f>
        <v>191.11111111111111</v>
      </c>
      <c r="L11" s="84">
        <f t="shared" ref="L11:L28" si="11">IFERROR(J11*$L$8, "-")</f>
        <v>382.22222222222223</v>
      </c>
      <c r="M11" s="84">
        <f t="shared" ref="M11:M28" si="12">IFERROR(J11*$M$8,"-")</f>
        <v>955.55555555555554</v>
      </c>
      <c r="N11" s="84">
        <f t="shared" ref="N11:N28" si="13">IFERROR(J11*$N$8, "-")</f>
        <v>1911.1111111111111</v>
      </c>
      <c r="O11" s="84">
        <f t="shared" ref="O11:O28" si="14">IFERROR(J11*$O$8,"-")</f>
        <v>38222.222222222219</v>
      </c>
      <c r="P11" s="85">
        <f t="shared" ref="P11:P28" si="15">IFERROR(K11*$P$8,"-")</f>
        <v>1911111.1111111112</v>
      </c>
    </row>
    <row r="12" spans="1:17" s="10" customFormat="1" ht="12.75" customHeight="1" x14ac:dyDescent="0.25">
      <c r="A12" s="86" t="s">
        <v>50</v>
      </c>
      <c r="B12" s="333"/>
      <c r="C12" s="322"/>
      <c r="D12" s="322"/>
      <c r="E12" s="322"/>
      <c r="F12" s="310"/>
      <c r="G12" s="315"/>
      <c r="H12" s="90" t="s">
        <v>40</v>
      </c>
      <c r="I12" s="88">
        <f>VLOOKUP(A12, 'Hazard Values'!$F$5:$H$14, 3, FALSE)</f>
        <v>100</v>
      </c>
      <c r="J12" s="83">
        <f>IF(AND(COUNTIFS(Dashboard!$B$19:$B$42, A12,Dashboard!$E$19:$E$42, H12)=1, SUMIFS(Dashboard!$F$19:$F$42,Dashboard!$B$19:$B$42, A12, Dashboard!$E$19:$E$42, H12)&gt;0), SUMIFS(Dashboard!$F$19:$F$42, Dashboard!$B$19:$B$42, A12, Dashboard!$E$19:$E$42, H12), "-")</f>
        <v>81.168539325842687</v>
      </c>
      <c r="K12" s="84">
        <f t="shared" si="10"/>
        <v>405.84269662921344</v>
      </c>
      <c r="L12" s="84">
        <f t="shared" si="11"/>
        <v>811.68539325842687</v>
      </c>
      <c r="M12" s="84">
        <f t="shared" si="12"/>
        <v>2029.2134831460671</v>
      </c>
      <c r="N12" s="84">
        <f t="shared" si="13"/>
        <v>4058.4269662921342</v>
      </c>
      <c r="O12" s="84">
        <f t="shared" si="14"/>
        <v>81168.539325842692</v>
      </c>
      <c r="P12" s="85">
        <f t="shared" si="15"/>
        <v>4058426.9662921345</v>
      </c>
    </row>
    <row r="13" spans="1:17" s="10" customFormat="1" ht="12.75" customHeight="1" x14ac:dyDescent="0.25">
      <c r="A13" s="86" t="s">
        <v>51</v>
      </c>
      <c r="B13" s="333"/>
      <c r="C13" s="322"/>
      <c r="D13" s="322"/>
      <c r="E13" s="322"/>
      <c r="F13" s="311" t="s">
        <v>80</v>
      </c>
      <c r="G13" s="315"/>
      <c r="H13" s="89" t="s">
        <v>36</v>
      </c>
      <c r="I13" s="88">
        <f>VLOOKUP(A13, 'Hazard Values'!$F$5:$H$14, 3, FALSE)</f>
        <v>100</v>
      </c>
      <c r="J13" s="83">
        <f>IF(AND(COUNTIFS(Dashboard!$B$19:$B$42, A13,Dashboard!$E$19:$E$42, H13)=1, SUMIFS(Dashboard!$F$19:$F$42,Dashboard!$B$19:$B$42, A13, Dashboard!$E$19:$E$42, H13)&gt;0), SUMIFS(Dashboard!$F$19:$F$42, Dashboard!$B$19:$B$42, A13, Dashboard!$E$19:$E$42, H13), "-")</f>
        <v>121.60846560846562</v>
      </c>
      <c r="K13" s="84">
        <f t="shared" si="10"/>
        <v>608.04232804232811</v>
      </c>
      <c r="L13" s="84">
        <f t="shared" si="11"/>
        <v>1216.0846560846562</v>
      </c>
      <c r="M13" s="84">
        <f t="shared" si="12"/>
        <v>3040.2116402116408</v>
      </c>
      <c r="N13" s="84">
        <f t="shared" si="13"/>
        <v>6080.4232804232815</v>
      </c>
      <c r="O13" s="84">
        <f t="shared" si="14"/>
        <v>121608.46560846562</v>
      </c>
      <c r="P13" s="85">
        <f t="shared" si="15"/>
        <v>6080423.2804232808</v>
      </c>
    </row>
    <row r="14" spans="1:17" s="10" customFormat="1" ht="12.75" customHeight="1" x14ac:dyDescent="0.25">
      <c r="A14" s="86" t="s">
        <v>51</v>
      </c>
      <c r="B14" s="333"/>
      <c r="C14" s="322"/>
      <c r="D14" s="322"/>
      <c r="E14" s="322"/>
      <c r="F14" s="310"/>
      <c r="G14" s="315"/>
      <c r="H14" s="90" t="s">
        <v>40</v>
      </c>
      <c r="I14" s="88">
        <f>VLOOKUP(A14, 'Hazard Values'!$F$5:$H$14, 3, FALSE)</f>
        <v>100</v>
      </c>
      <c r="J14" s="83">
        <f>IF(AND(COUNTIFS(Dashboard!$B$19:$B$42, A14,Dashboard!$E$19:$E$42, H14)=1, SUMIFS(Dashboard!$F$19:$F$42,Dashboard!$B$19:$B$42, A14, Dashboard!$E$19:$E$42, H14)&gt;0), SUMIFS(Dashboard!$F$19:$F$42, Dashboard!$B$19:$B$42, A14, Dashboard!$E$19:$E$42, H14), "-")</f>
        <v>258.24719101123594</v>
      </c>
      <c r="K14" s="84">
        <f t="shared" si="10"/>
        <v>1291.2359550561796</v>
      </c>
      <c r="L14" s="84">
        <f t="shared" si="11"/>
        <v>2582.4719101123592</v>
      </c>
      <c r="M14" s="84">
        <f t="shared" si="12"/>
        <v>6456.1797752808989</v>
      </c>
      <c r="N14" s="84">
        <f t="shared" si="13"/>
        <v>12912.359550561798</v>
      </c>
      <c r="O14" s="84">
        <f t="shared" si="14"/>
        <v>258247.19101123593</v>
      </c>
      <c r="P14" s="85">
        <f t="shared" si="15"/>
        <v>12912359.550561795</v>
      </c>
    </row>
    <row r="15" spans="1:17" s="10" customFormat="1" ht="12.75" customHeight="1" x14ac:dyDescent="0.25">
      <c r="A15" s="86" t="s">
        <v>52</v>
      </c>
      <c r="B15" s="333"/>
      <c r="C15" s="322"/>
      <c r="D15" s="322"/>
      <c r="E15" s="322"/>
      <c r="F15" s="311" t="s">
        <v>81</v>
      </c>
      <c r="G15" s="315"/>
      <c r="H15" s="89" t="s">
        <v>36</v>
      </c>
      <c r="I15" s="88">
        <f>VLOOKUP(A15, 'Hazard Values'!$F$5:$H$14, 3, FALSE)</f>
        <v>100</v>
      </c>
      <c r="J15" s="83">
        <f>IF(AND(COUNTIFS(Dashboard!$B$19:$B$42, A15,Dashboard!$E$19:$E$42, H15)=1, SUMIFS(Dashboard!$F$19:$F$42,Dashboard!$B$19:$B$42, A15, Dashboard!$E$19:$E$42, H15)&gt;0), SUMIFS(Dashboard!$F$19:$F$42, Dashboard!$B$19:$B$42, A15, Dashboard!$E$19:$E$42, H15), "-")</f>
        <v>379.25925925925924</v>
      </c>
      <c r="K15" s="84">
        <f t="shared" si="10"/>
        <v>1896.2962962962961</v>
      </c>
      <c r="L15" s="84">
        <f t="shared" si="11"/>
        <v>3792.5925925925922</v>
      </c>
      <c r="M15" s="84">
        <f t="shared" si="12"/>
        <v>9481.4814814814818</v>
      </c>
      <c r="N15" s="84">
        <f t="shared" si="13"/>
        <v>18962.962962962964</v>
      </c>
      <c r="O15" s="84">
        <f t="shared" si="14"/>
        <v>379259.25925925921</v>
      </c>
      <c r="P15" s="85">
        <f t="shared" si="15"/>
        <v>18962962.962962959</v>
      </c>
    </row>
    <row r="16" spans="1:17" s="10" customFormat="1" ht="12.75" customHeight="1" x14ac:dyDescent="0.25">
      <c r="A16" s="86" t="s">
        <v>52</v>
      </c>
      <c r="B16" s="333"/>
      <c r="C16" s="322"/>
      <c r="D16" s="310"/>
      <c r="E16" s="310"/>
      <c r="F16" s="322"/>
      <c r="G16" s="315"/>
      <c r="H16" s="90" t="s">
        <v>40</v>
      </c>
      <c r="I16" s="88">
        <f>VLOOKUP(A16, 'Hazard Values'!$F$5:$H$14, 3, FALSE)</f>
        <v>100</v>
      </c>
      <c r="J16" s="83">
        <f>IF(AND(COUNTIFS(Dashboard!$B$19:$B$42, A16,Dashboard!$E$19:$E$42, H16)=1, SUMIFS(Dashboard!$F$19:$F$42,Dashboard!$B$19:$B$42, A16, Dashboard!$E$19:$E$42, H16)&gt;0), SUMIFS(Dashboard!$F$19:$F$42, Dashboard!$B$19:$B$42, A16, Dashboard!$E$19:$E$42, H16), "-")</f>
        <v>805.39325842696621</v>
      </c>
      <c r="K16" s="84">
        <f t="shared" si="10"/>
        <v>4026.9662921348308</v>
      </c>
      <c r="L16" s="84">
        <f t="shared" si="11"/>
        <v>8053.9325842696617</v>
      </c>
      <c r="M16" s="84">
        <f t="shared" si="12"/>
        <v>20134.831460674155</v>
      </c>
      <c r="N16" s="84">
        <f t="shared" si="13"/>
        <v>40269.66292134831</v>
      </c>
      <c r="O16" s="84">
        <f t="shared" si="14"/>
        <v>805393.25842696626</v>
      </c>
      <c r="P16" s="85">
        <f t="shared" si="15"/>
        <v>40269662.921348311</v>
      </c>
    </row>
    <row r="17" spans="1:17" s="10" customFormat="1" ht="15" customHeight="1" x14ac:dyDescent="0.25">
      <c r="A17" s="86" t="s">
        <v>57</v>
      </c>
      <c r="B17" s="333"/>
      <c r="C17" s="322"/>
      <c r="D17" s="311" t="s">
        <v>82</v>
      </c>
      <c r="E17" s="324" t="s">
        <v>83</v>
      </c>
      <c r="F17" s="311" t="s">
        <v>76</v>
      </c>
      <c r="G17" s="315"/>
      <c r="H17" s="91" t="s">
        <v>36</v>
      </c>
      <c r="I17" s="88">
        <f>VLOOKUP(A17, 'Hazard Values'!$F$5:$H$14, 3, FALSE)</f>
        <v>300</v>
      </c>
      <c r="J17" s="83">
        <f>IF(AND(COUNTIFS(Dashboard!$B$19:$B$42, A17,Dashboard!$E$19:$E$42, H17)=1, SUMIFS(Dashboard!$F$19:$F$42,Dashboard!$B$19:$B$42, A17, Dashboard!$E$19:$E$42, H17)&gt;0), SUMIFS(Dashboard!$F$19:$F$42, Dashboard!$B$19:$B$42, A17, Dashboard!$E$19:$E$42, H17), "-")</f>
        <v>10.382222222222222</v>
      </c>
      <c r="K17" s="84">
        <f t="shared" si="10"/>
        <v>51.911111111111111</v>
      </c>
      <c r="L17" s="84">
        <f t="shared" si="11"/>
        <v>103.82222222222222</v>
      </c>
      <c r="M17" s="84">
        <f t="shared" si="12"/>
        <v>259.55555555555554</v>
      </c>
      <c r="N17" s="84">
        <f t="shared" si="13"/>
        <v>519.11111111111109</v>
      </c>
      <c r="O17" s="84">
        <f t="shared" si="14"/>
        <v>10382.222222222221</v>
      </c>
      <c r="P17" s="85">
        <f t="shared" si="15"/>
        <v>519111.11111111112</v>
      </c>
    </row>
    <row r="18" spans="1:17" s="10" customFormat="1" ht="15" customHeight="1" x14ac:dyDescent="0.25">
      <c r="A18" s="86" t="s">
        <v>57</v>
      </c>
      <c r="B18" s="333"/>
      <c r="C18" s="322"/>
      <c r="D18" s="322"/>
      <c r="E18" s="324"/>
      <c r="F18" s="322"/>
      <c r="G18" s="302"/>
      <c r="H18" s="87" t="s">
        <v>40</v>
      </c>
      <c r="I18" s="88">
        <f>VLOOKUP(A18, 'Hazard Values'!$F$5:$H$14, 3, FALSE)</f>
        <v>300</v>
      </c>
      <c r="J18" s="83">
        <f>IF(AND(COUNTIFS(Dashboard!$B$19:$B$42, A18,Dashboard!$E$19:$E$42, H18)=1, SUMIFS(Dashboard!$F$19:$F$42,Dashboard!$B$19:$B$42, A18, Dashboard!$E$19:$E$42, H18)&gt;0), SUMIFS(Dashboard!$F$19:$F$42, Dashboard!$B$19:$B$42, A18, Dashboard!$E$19:$E$42, H18), "-")</f>
        <v>39.370786516853926</v>
      </c>
      <c r="K18" s="84">
        <f t="shared" si="10"/>
        <v>196.85393258426961</v>
      </c>
      <c r="L18" s="84">
        <f t="shared" si="11"/>
        <v>393.70786516853923</v>
      </c>
      <c r="M18" s="84">
        <f t="shared" si="12"/>
        <v>984.26966292134819</v>
      </c>
      <c r="N18" s="84">
        <f t="shared" si="13"/>
        <v>1968.5393258426964</v>
      </c>
      <c r="O18" s="84">
        <f t="shared" si="14"/>
        <v>39370.786516853928</v>
      </c>
      <c r="P18" s="85">
        <f t="shared" si="15"/>
        <v>1968539.3258426962</v>
      </c>
    </row>
    <row r="19" spans="1:17" s="10" customFormat="1" ht="15" customHeight="1" x14ac:dyDescent="0.25">
      <c r="A19" s="86" t="s">
        <v>58</v>
      </c>
      <c r="B19" s="333"/>
      <c r="C19" s="322"/>
      <c r="D19" s="322"/>
      <c r="E19" s="324" t="s">
        <v>84</v>
      </c>
      <c r="F19" s="311" t="s">
        <v>85</v>
      </c>
      <c r="G19" s="301" t="s">
        <v>86</v>
      </c>
      <c r="H19" s="92" t="s">
        <v>36</v>
      </c>
      <c r="I19" s="88">
        <f>VLOOKUP(A19, 'Hazard Values'!$F$5:$H$14, 3, FALSE)</f>
        <v>1000</v>
      </c>
      <c r="J19" s="83">
        <f>IF(AND(COUNTIFS(Dashboard!$B$19:$B$42, A19,Dashboard!$E$19:$E$42, H19)=1, SUMIFS(Dashboard!$F$19:$F$42,Dashboard!$B$19:$B$42, A19, Dashboard!$E$19:$E$42, H19)&gt;0), SUMIFS(Dashboard!$F$19:$F$42, Dashboard!$B$19:$B$42, A19, Dashboard!$E$19:$E$42, H19), "-")</f>
        <v>148.3174603174603</v>
      </c>
      <c r="K19" s="84">
        <f t="shared" si="10"/>
        <v>741.58730158730145</v>
      </c>
      <c r="L19" s="84">
        <f t="shared" si="11"/>
        <v>1483.1746031746029</v>
      </c>
      <c r="M19" s="84">
        <f t="shared" si="12"/>
        <v>3707.9365079365075</v>
      </c>
      <c r="N19" s="84">
        <f t="shared" si="13"/>
        <v>7415.873015873015</v>
      </c>
      <c r="O19" s="84">
        <f t="shared" si="14"/>
        <v>148317.4603174603</v>
      </c>
      <c r="P19" s="85">
        <f t="shared" si="15"/>
        <v>7415873.0158730149</v>
      </c>
    </row>
    <row r="20" spans="1:17" s="10" customFormat="1" ht="15" customHeight="1" x14ac:dyDescent="0.25">
      <c r="A20" s="86" t="s">
        <v>58</v>
      </c>
      <c r="B20" s="333"/>
      <c r="C20" s="322"/>
      <c r="D20" s="322"/>
      <c r="E20" s="324"/>
      <c r="F20" s="310"/>
      <c r="G20" s="302"/>
      <c r="H20" s="87" t="s">
        <v>40</v>
      </c>
      <c r="I20" s="88">
        <f>VLOOKUP(A20, 'Hazard Values'!$F$5:$H$14, 3, FALSE)</f>
        <v>1000</v>
      </c>
      <c r="J20" s="83">
        <f>IF(AND(COUNTIFS(Dashboard!$B$19:$B$42, A20,Dashboard!$E$19:$E$42, H20)=1, SUMIFS(Dashboard!$F$19:$F$42,Dashboard!$B$19:$B$42, A20, Dashboard!$E$19:$E$42, H20)&gt;0), SUMIFS(Dashboard!$F$19:$F$42, Dashboard!$B$19:$B$42, A20, Dashboard!$E$19:$E$42, H20), "-")</f>
        <v>562.43980738362757</v>
      </c>
      <c r="K20" s="84">
        <f t="shared" si="10"/>
        <v>2812.1990369181376</v>
      </c>
      <c r="L20" s="84">
        <f t="shared" si="11"/>
        <v>5624.3980738362752</v>
      </c>
      <c r="M20" s="84">
        <f t="shared" si="12"/>
        <v>14060.995184590689</v>
      </c>
      <c r="N20" s="84">
        <f t="shared" si="13"/>
        <v>28121.990369181378</v>
      </c>
      <c r="O20" s="84">
        <f t="shared" si="14"/>
        <v>562439.80738362751</v>
      </c>
      <c r="P20" s="85">
        <f t="shared" si="15"/>
        <v>28121990.369181376</v>
      </c>
    </row>
    <row r="21" spans="1:17" s="10" customFormat="1" ht="15" customHeight="1" x14ac:dyDescent="0.25">
      <c r="A21" s="86" t="s">
        <v>59</v>
      </c>
      <c r="B21" s="333"/>
      <c r="C21" s="322"/>
      <c r="D21" s="322"/>
      <c r="E21" s="301" t="s">
        <v>87</v>
      </c>
      <c r="F21" s="322" t="s">
        <v>88</v>
      </c>
      <c r="G21" s="315" t="s">
        <v>77</v>
      </c>
      <c r="H21" s="89" t="s">
        <v>36</v>
      </c>
      <c r="I21" s="88">
        <f>VLOOKUP(A21, 'Hazard Values'!$F$5:$H$14, 3, FALSE)</f>
        <v>30</v>
      </c>
      <c r="J21" s="83">
        <f>IF(AND(COUNTIFS(Dashboard!$B$19:$B$42, A21,Dashboard!$E$19:$E$42, H21)=1, SUMIFS(Dashboard!$F$19:$F$42,Dashboard!$B$19:$B$42, A21, Dashboard!$E$19:$E$42, H21)&gt;0), SUMIFS(Dashboard!$F$19:$F$42, Dashboard!$B$19:$B$42, A21, Dashboard!$E$19:$E$42, H21), "-")</f>
        <v>4.2579470899470895</v>
      </c>
      <c r="K21" s="84">
        <f t="shared" si="10"/>
        <v>21.289735449735446</v>
      </c>
      <c r="L21" s="84">
        <f t="shared" si="11"/>
        <v>42.579470899470891</v>
      </c>
      <c r="M21" s="84">
        <f t="shared" si="12"/>
        <v>106.44867724867724</v>
      </c>
      <c r="N21" s="84">
        <f t="shared" si="13"/>
        <v>212.89735449735448</v>
      </c>
      <c r="O21" s="84">
        <f t="shared" si="14"/>
        <v>4257.9470899470898</v>
      </c>
      <c r="P21" s="85">
        <f t="shared" si="15"/>
        <v>212897.35449735445</v>
      </c>
    </row>
    <row r="22" spans="1:17" s="10" customFormat="1" ht="15" customHeight="1" x14ac:dyDescent="0.25">
      <c r="A22" s="86" t="s">
        <v>59</v>
      </c>
      <c r="B22" s="333"/>
      <c r="C22" s="322"/>
      <c r="D22" s="322"/>
      <c r="E22" s="315"/>
      <c r="F22" s="322"/>
      <c r="G22" s="315"/>
      <c r="H22" s="90" t="s">
        <v>40</v>
      </c>
      <c r="I22" s="88">
        <f>VLOOKUP(A22, 'Hazard Values'!$F$5:$H$14, 3, FALSE)</f>
        <v>30</v>
      </c>
      <c r="J22" s="83">
        <f>IF(AND(COUNTIFS(Dashboard!$B$19:$B$42, A22,Dashboard!$E$19:$E$42, H22)=1, SUMIFS(Dashboard!$F$19:$F$42,Dashboard!$B$19:$B$42, A22, Dashboard!$E$19:$E$42, H22)&gt;0), SUMIFS(Dashboard!$F$19:$F$42, Dashboard!$B$19:$B$42, A22, Dashboard!$E$19:$E$42, H22), "-")</f>
        <v>16.146709470304973</v>
      </c>
      <c r="K22" s="84">
        <f t="shared" si="10"/>
        <v>80.733547351524862</v>
      </c>
      <c r="L22" s="84">
        <f t="shared" si="11"/>
        <v>161.46709470304972</v>
      </c>
      <c r="M22" s="84">
        <f t="shared" si="12"/>
        <v>403.66773675762431</v>
      </c>
      <c r="N22" s="84">
        <f t="shared" si="13"/>
        <v>807.33547351524862</v>
      </c>
      <c r="O22" s="84">
        <f t="shared" si="14"/>
        <v>16146.709470304973</v>
      </c>
      <c r="P22" s="85">
        <f t="shared" si="15"/>
        <v>807335.47351524862</v>
      </c>
    </row>
    <row r="23" spans="1:17" s="10" customFormat="1" x14ac:dyDescent="0.25">
      <c r="A23" s="86" t="s">
        <v>60</v>
      </c>
      <c r="B23" s="333"/>
      <c r="C23" s="322"/>
      <c r="D23" s="322"/>
      <c r="E23" s="301" t="s">
        <v>78</v>
      </c>
      <c r="F23" s="301" t="s">
        <v>79</v>
      </c>
      <c r="G23" s="315"/>
      <c r="H23" s="91" t="s">
        <v>36</v>
      </c>
      <c r="I23" s="88">
        <f>VLOOKUP(A23, 'Hazard Values'!$F$5:$H$14, 3, FALSE)</f>
        <v>100</v>
      </c>
      <c r="J23" s="83">
        <f>IF(AND(COUNTIFS(Dashboard!$B$19:$B$42, A23,Dashboard!$E$19:$E$42, H23)=1, SUMIFS(Dashboard!$F$19:$F$42,Dashboard!$B$19:$B$42, A23, Dashboard!$E$19:$E$42, H23)&gt;0), SUMIFS(Dashboard!$F$19:$F$42, Dashboard!$B$19:$B$42, A23, Dashboard!$E$19:$E$42, H23), "-")</f>
        <v>55.804444444444435</v>
      </c>
      <c r="K23" s="84">
        <f t="shared" si="10"/>
        <v>279.02222222222218</v>
      </c>
      <c r="L23" s="84">
        <f t="shared" si="11"/>
        <v>558.04444444444437</v>
      </c>
      <c r="M23" s="84">
        <f t="shared" si="12"/>
        <v>1395.1111111111109</v>
      </c>
      <c r="N23" s="84">
        <f t="shared" si="13"/>
        <v>2790.2222222222217</v>
      </c>
      <c r="O23" s="84">
        <f t="shared" si="14"/>
        <v>55804.444444444438</v>
      </c>
      <c r="P23" s="85">
        <f t="shared" si="15"/>
        <v>2790222.222222222</v>
      </c>
      <c r="Q23" s="68"/>
    </row>
    <row r="24" spans="1:17" s="10" customFormat="1" x14ac:dyDescent="0.25">
      <c r="A24" s="86" t="s">
        <v>60</v>
      </c>
      <c r="B24" s="333"/>
      <c r="C24" s="322"/>
      <c r="D24" s="322"/>
      <c r="E24" s="315"/>
      <c r="F24" s="302"/>
      <c r="G24" s="315"/>
      <c r="H24" s="90" t="s">
        <v>40</v>
      </c>
      <c r="I24" s="88">
        <f>VLOOKUP(A24, 'Hazard Values'!$F$5:$H$14, 3, FALSE)</f>
        <v>100</v>
      </c>
      <c r="J24" s="83">
        <f>IF(AND(COUNTIFS(Dashboard!$B$19:$B$42, A24,Dashboard!$E$19:$E$42, H24)=1, SUMIFS(Dashboard!$F$19:$F$42,Dashboard!$B$19:$B$42, A24, Dashboard!$E$19:$E$42, H24)&gt;0), SUMIFS(Dashboard!$F$19:$F$42, Dashboard!$B$19:$B$42, A24, Dashboard!$E$19:$E$42, H24), "-")</f>
        <v>211.61797752808985</v>
      </c>
      <c r="K24" s="84">
        <f t="shared" si="10"/>
        <v>1058.0898876404492</v>
      </c>
      <c r="L24" s="84">
        <f t="shared" si="11"/>
        <v>2116.1797752808984</v>
      </c>
      <c r="M24" s="84">
        <f t="shared" si="12"/>
        <v>5290.4494382022467</v>
      </c>
      <c r="N24" s="84">
        <f t="shared" si="13"/>
        <v>10580.898876404493</v>
      </c>
      <c r="O24" s="84">
        <f t="shared" si="14"/>
        <v>211617.97752808986</v>
      </c>
      <c r="P24" s="85">
        <f t="shared" si="15"/>
        <v>10580898.876404492</v>
      </c>
      <c r="Q24" s="68"/>
    </row>
    <row r="25" spans="1:17" s="10" customFormat="1" x14ac:dyDescent="0.25">
      <c r="A25" s="86" t="s">
        <v>61</v>
      </c>
      <c r="B25" s="333"/>
      <c r="C25" s="322"/>
      <c r="D25" s="322"/>
      <c r="E25" s="337"/>
      <c r="F25" s="301" t="s">
        <v>80</v>
      </c>
      <c r="G25" s="315"/>
      <c r="H25" s="91" t="s">
        <v>36</v>
      </c>
      <c r="I25" s="88">
        <f>VLOOKUP(A25, 'Hazard Values'!$F$5:$H$14, 3, FALSE)</f>
        <v>100</v>
      </c>
      <c r="J25" s="83">
        <f>IF(AND(COUNTIFS(Dashboard!$B$19:$B$42, A25,Dashboard!$E$19:$E$42, H25)=1, SUMIFS(Dashboard!$F$19:$F$42,Dashboard!$B$19:$B$42, A25, Dashboard!$E$19:$E$42, H25)&gt;0), SUMIFS(Dashboard!$F$19:$F$42, Dashboard!$B$19:$B$42, A25, Dashboard!$E$19:$E$42, H25), "-")</f>
        <v>177.54835978835979</v>
      </c>
      <c r="K25" s="84">
        <f t="shared" si="10"/>
        <v>887.74179894179895</v>
      </c>
      <c r="L25" s="84">
        <f t="shared" si="11"/>
        <v>1775.4835978835979</v>
      </c>
      <c r="M25" s="84">
        <f t="shared" si="12"/>
        <v>4438.7089947089944</v>
      </c>
      <c r="N25" s="84">
        <f t="shared" si="13"/>
        <v>8877.4179894179888</v>
      </c>
      <c r="O25" s="84">
        <f t="shared" si="14"/>
        <v>177548.35978835978</v>
      </c>
      <c r="P25" s="85">
        <f t="shared" si="15"/>
        <v>8877417.9894179888</v>
      </c>
      <c r="Q25" s="68"/>
    </row>
    <row r="26" spans="1:17" s="10" customFormat="1" x14ac:dyDescent="0.25">
      <c r="A26" s="86" t="s">
        <v>61</v>
      </c>
      <c r="B26" s="333"/>
      <c r="C26" s="322"/>
      <c r="D26" s="322"/>
      <c r="E26" s="337"/>
      <c r="F26" s="302"/>
      <c r="G26" s="315"/>
      <c r="H26" s="90" t="s">
        <v>40</v>
      </c>
      <c r="I26" s="88">
        <f>VLOOKUP(A26, 'Hazard Values'!$F$5:$H$14, 3, FALSE)</f>
        <v>100</v>
      </c>
      <c r="J26" s="83">
        <f>IF(AND(COUNTIFS(Dashboard!$B$19:$B$42, A26,Dashboard!$E$19:$E$42, H26)=1, SUMIFS(Dashboard!$F$19:$F$42,Dashboard!$B$19:$B$42, A26, Dashboard!$E$19:$E$42, H26)&gt;0), SUMIFS(Dashboard!$F$19:$F$42, Dashboard!$B$19:$B$42, A26, Dashboard!$E$19:$E$42, H26), "-")</f>
        <v>673.28731942215086</v>
      </c>
      <c r="K26" s="84">
        <f t="shared" si="10"/>
        <v>3366.4365971107545</v>
      </c>
      <c r="L26" s="84">
        <f t="shared" si="11"/>
        <v>6732.873194221509</v>
      </c>
      <c r="M26" s="84">
        <f t="shared" si="12"/>
        <v>16832.182985553773</v>
      </c>
      <c r="N26" s="84">
        <f t="shared" si="13"/>
        <v>33664.365971107545</v>
      </c>
      <c r="O26" s="84">
        <f t="shared" si="14"/>
        <v>673287.31942215085</v>
      </c>
      <c r="P26" s="85">
        <f t="shared" si="15"/>
        <v>33664365.971107543</v>
      </c>
      <c r="Q26" s="68"/>
    </row>
    <row r="27" spans="1:17" s="10" customFormat="1" x14ac:dyDescent="0.25">
      <c r="A27" s="86" t="s">
        <v>62</v>
      </c>
      <c r="B27" s="333"/>
      <c r="C27" s="322"/>
      <c r="D27" s="322"/>
      <c r="E27" s="337"/>
      <c r="F27" s="335" t="s">
        <v>81</v>
      </c>
      <c r="G27" s="315"/>
      <c r="H27" s="91" t="s">
        <v>36</v>
      </c>
      <c r="I27" s="88">
        <f>VLOOKUP(A27, 'Hazard Values'!$F$5:$H$14, 3, FALSE)</f>
        <v>100</v>
      </c>
      <c r="J27" s="83">
        <f>IF(AND(COUNTIFS(Dashboard!$B$19:$B$42, A27,Dashboard!$E$19:$E$42, H27)=1, SUMIFS(Dashboard!$F$19:$F$42,Dashboard!$B$19:$B$42, A27, Dashboard!$E$19:$E$42, H27)&gt;0), SUMIFS(Dashboard!$F$19:$F$42, Dashboard!$B$19:$B$42, A27, Dashboard!$E$19:$E$42, H27), "-")</f>
        <v>553.71851851851841</v>
      </c>
      <c r="K27" s="84">
        <f t="shared" si="10"/>
        <v>2768.5925925925922</v>
      </c>
      <c r="L27" s="84">
        <f t="shared" si="11"/>
        <v>5537.1851851851843</v>
      </c>
      <c r="M27" s="84">
        <f t="shared" si="12"/>
        <v>13842.96296296296</v>
      </c>
      <c r="N27" s="84">
        <f t="shared" si="13"/>
        <v>27685.92592592592</v>
      </c>
      <c r="O27" s="84">
        <f t="shared" si="14"/>
        <v>553718.51851851842</v>
      </c>
      <c r="P27" s="85">
        <f t="shared" si="15"/>
        <v>27685925.925925922</v>
      </c>
      <c r="Q27" s="68"/>
    </row>
    <row r="28" spans="1:17" s="10" customFormat="1" ht="16.5" thickBot="1" x14ac:dyDescent="0.3">
      <c r="A28" s="93" t="s">
        <v>62</v>
      </c>
      <c r="B28" s="334"/>
      <c r="C28" s="323"/>
      <c r="D28" s="323"/>
      <c r="E28" s="338"/>
      <c r="F28" s="336"/>
      <c r="G28" s="316"/>
      <c r="H28" s="94" t="s">
        <v>40</v>
      </c>
      <c r="I28" s="88">
        <f>VLOOKUP(A28, 'Hazard Values'!$F$5:$H$14, 3, FALSE)</f>
        <v>100</v>
      </c>
      <c r="J28" s="95">
        <f>IF(AND(COUNTIFS(Dashboard!$B$19:$B$42, A28,Dashboard!$E$19:$E$42, H28)=1, SUMIFS(Dashboard!$F$19:$F$42,Dashboard!$B$19:$B$42, A28, Dashboard!$E$19:$E$42, H28)&gt;0), SUMIFS(Dashboard!$F$19:$F$42, Dashboard!$B$19:$B$42, A28, Dashboard!$E$19:$E$42, H28), "-")</f>
        <v>2099.7752808988762</v>
      </c>
      <c r="K28" s="96">
        <f t="shared" si="10"/>
        <v>10498.876404494382</v>
      </c>
      <c r="L28" s="96">
        <f t="shared" si="11"/>
        <v>20997.752808988764</v>
      </c>
      <c r="M28" s="96">
        <f t="shared" si="12"/>
        <v>52494.382022471902</v>
      </c>
      <c r="N28" s="96">
        <f t="shared" si="13"/>
        <v>104988.7640449438</v>
      </c>
      <c r="O28" s="96">
        <f t="shared" si="14"/>
        <v>2099775.280898876</v>
      </c>
      <c r="P28" s="97">
        <f t="shared" si="15"/>
        <v>104988764.04494382</v>
      </c>
      <c r="Q28" s="68"/>
    </row>
    <row r="29" spans="1:17" s="10" customFormat="1" ht="15" customHeight="1" x14ac:dyDescent="0.25">
      <c r="A29" s="80" t="s">
        <v>49</v>
      </c>
      <c r="B29" s="325" t="str">
        <f>Dashboard!$C$4</f>
        <v>Repackaging of import containers</v>
      </c>
      <c r="C29" s="329" t="s">
        <v>89</v>
      </c>
      <c r="D29" s="309" t="s">
        <v>74</v>
      </c>
      <c r="E29" s="314" t="s">
        <v>75</v>
      </c>
      <c r="F29" s="309" t="s">
        <v>76</v>
      </c>
      <c r="G29" s="314" t="s">
        <v>77</v>
      </c>
      <c r="H29" s="81" t="s">
        <v>36</v>
      </c>
      <c r="I29" s="82">
        <f>VLOOKUP(A29, 'Hazard Values'!$F$5:$H$14, 3, FALSE)</f>
        <v>30</v>
      </c>
      <c r="J29" s="98" t="str">
        <f>IF(AND(COUNTIFS(Dashboard!$B$19:$B$42, A29,Dashboard!$E$19:$E$42, H29)=1, SUMIFS(Dashboard!$G$19:$G$42,Dashboard!$B$19:$B$42, A29, Dashboard!$E$19:$E$42, H29)&gt;0), SUMIFS(Dashboard!$G$19:$G$42, Dashboard!$B$19:$B$42, A29, Dashboard!$E$19:$E$42, H29), "-")</f>
        <v>-</v>
      </c>
      <c r="K29" s="99" t="str">
        <f t="shared" ref="K29" si="16">IFERROR(J29*$K$8,"-")</f>
        <v>-</v>
      </c>
      <c r="L29" s="99" t="str">
        <f t="shared" ref="L29" si="17">IFERROR(J29*$L$8, "-")</f>
        <v>-</v>
      </c>
      <c r="M29" s="99" t="str">
        <f t="shared" ref="M29" si="18">IFERROR(J29*$M$8,"-")</f>
        <v>-</v>
      </c>
      <c r="N29" s="99" t="str">
        <f t="shared" ref="N29" si="19">IFERROR(J29*$N$8, "-")</f>
        <v>-</v>
      </c>
      <c r="O29" s="99" t="str">
        <f t="shared" ref="O29" si="20">IFERROR(J29*$O$8,"-")</f>
        <v>-</v>
      </c>
      <c r="P29" s="100" t="str">
        <f t="shared" ref="P29" si="21">IFERROR(K29*$P$8,"-")</f>
        <v>-</v>
      </c>
      <c r="Q29" s="68"/>
    </row>
    <row r="30" spans="1:17" s="10" customFormat="1" x14ac:dyDescent="0.25">
      <c r="A30" s="86" t="s">
        <v>49</v>
      </c>
      <c r="B30" s="326"/>
      <c r="C30" s="310"/>
      <c r="D30" s="322"/>
      <c r="E30" s="302"/>
      <c r="F30" s="310"/>
      <c r="G30" s="315"/>
      <c r="H30" s="87" t="s">
        <v>40</v>
      </c>
      <c r="I30" s="88">
        <f>VLOOKUP(A30, 'Hazard Values'!$F$5:$H$14, 3, FALSE)</f>
        <v>30</v>
      </c>
      <c r="J30" s="83" t="str">
        <f>IF(AND(COUNTIFS(Dashboard!$B$19:$B$42, A30,Dashboard!$E$19:$E$42, H30)=1, SUMIFS(Dashboard!$G$19:$G$42,Dashboard!$B$19:$B$42, A30, Dashboard!$E$19:$E$42, H30)&gt;0), SUMIFS(Dashboard!$G$19:$G$42, Dashboard!$B$19:$B$42, A30, Dashboard!$E$19:$E$42, H30), "-")</f>
        <v>-</v>
      </c>
      <c r="K30" s="84" t="str">
        <f t="shared" ref="K30:K48" si="22">IFERROR(J30*$K$8,"-")</f>
        <v>-</v>
      </c>
      <c r="L30" s="84" t="str">
        <f t="shared" ref="L30:L48" si="23">IFERROR(J30*$L$8, "-")</f>
        <v>-</v>
      </c>
      <c r="M30" s="84" t="str">
        <f t="shared" ref="M30:M48" si="24">IFERROR(J30*$M$8,"-")</f>
        <v>-</v>
      </c>
      <c r="N30" s="84" t="str">
        <f t="shared" ref="N30:N48" si="25">IFERROR(J30*$N$8, "-")</f>
        <v>-</v>
      </c>
      <c r="O30" s="84" t="str">
        <f t="shared" ref="O30:O48" si="26">IFERROR(J30*$O$8,"-")</f>
        <v>-</v>
      </c>
      <c r="P30" s="85" t="str">
        <f t="shared" ref="P30:P48" si="27">IFERROR(K30*$P$8,"-")</f>
        <v>-</v>
      </c>
      <c r="Q30" s="68"/>
    </row>
    <row r="31" spans="1:17" s="10" customFormat="1" x14ac:dyDescent="0.25">
      <c r="A31" s="86" t="s">
        <v>50</v>
      </c>
      <c r="B31" s="326"/>
      <c r="C31" s="310"/>
      <c r="D31" s="322"/>
      <c r="E31" s="101"/>
      <c r="F31" s="311" t="s">
        <v>79</v>
      </c>
      <c r="G31" s="315"/>
      <c r="H31" s="89" t="s">
        <v>36</v>
      </c>
      <c r="I31" s="88">
        <f>VLOOKUP(A31, 'Hazard Values'!$F$5:$H$14, 3, FALSE)</f>
        <v>100</v>
      </c>
      <c r="J31" s="83" t="str">
        <f>IF(AND(COUNTIFS(Dashboard!$B$19:$B$42, A31,Dashboard!$E$19:$E$42, H31)=1, SUMIFS(Dashboard!$G$19:$G$42,Dashboard!$B$19:$B$42, A31, Dashboard!$E$19:$E$42, H31)&gt;0), SUMIFS(Dashboard!$G$19:$G$42, Dashboard!$B$19:$B$42, A31, Dashboard!$E$19:$E$42, H31), "-")</f>
        <v>-</v>
      </c>
      <c r="K31" s="84" t="str">
        <f t="shared" si="22"/>
        <v>-</v>
      </c>
      <c r="L31" s="84" t="str">
        <f t="shared" si="23"/>
        <v>-</v>
      </c>
      <c r="M31" s="84" t="str">
        <f t="shared" si="24"/>
        <v>-</v>
      </c>
      <c r="N31" s="84" t="str">
        <f t="shared" si="25"/>
        <v>-</v>
      </c>
      <c r="O31" s="84" t="str">
        <f t="shared" si="26"/>
        <v>-</v>
      </c>
      <c r="P31" s="85" t="str">
        <f t="shared" si="27"/>
        <v>-</v>
      </c>
      <c r="Q31" s="68"/>
    </row>
    <row r="32" spans="1:17" s="10" customFormat="1" ht="25.5" customHeight="1" x14ac:dyDescent="0.25">
      <c r="A32" s="86" t="s">
        <v>50</v>
      </c>
      <c r="B32" s="326"/>
      <c r="C32" s="310"/>
      <c r="D32" s="322"/>
      <c r="E32" s="322" t="s">
        <v>78</v>
      </c>
      <c r="F32" s="310"/>
      <c r="G32" s="315"/>
      <c r="H32" s="90" t="s">
        <v>40</v>
      </c>
      <c r="I32" s="88">
        <f>VLOOKUP(A32, 'Hazard Values'!$F$5:$H$14, 3, FALSE)</f>
        <v>100</v>
      </c>
      <c r="J32" s="83" t="str">
        <f>IF(AND(COUNTIFS(Dashboard!$B$19:$B$42, A32,Dashboard!$E$19:$E$42, H32)=1, SUMIFS(Dashboard!$G$19:$G$42,Dashboard!$B$19:$B$42, A32, Dashboard!$E$19:$E$42, H32)&gt;0), SUMIFS(Dashboard!$G$19:$G$42, Dashboard!$B$19:$B$42, A32, Dashboard!$E$19:$E$42, H32), "-")</f>
        <v>-</v>
      </c>
      <c r="K32" s="84" t="str">
        <f t="shared" si="22"/>
        <v>-</v>
      </c>
      <c r="L32" s="84" t="str">
        <f t="shared" si="23"/>
        <v>-</v>
      </c>
      <c r="M32" s="84" t="str">
        <f t="shared" si="24"/>
        <v>-</v>
      </c>
      <c r="N32" s="84" t="str">
        <f t="shared" si="25"/>
        <v>-</v>
      </c>
      <c r="O32" s="84" t="str">
        <f t="shared" si="26"/>
        <v>-</v>
      </c>
      <c r="P32" s="85" t="str">
        <f t="shared" si="27"/>
        <v>-</v>
      </c>
      <c r="Q32" s="68"/>
    </row>
    <row r="33" spans="1:17" s="10" customFormat="1" ht="25.5" customHeight="1" x14ac:dyDescent="0.25">
      <c r="A33" s="86" t="s">
        <v>51</v>
      </c>
      <c r="B33" s="326"/>
      <c r="C33" s="310"/>
      <c r="D33" s="322"/>
      <c r="E33" s="322"/>
      <c r="F33" s="311" t="s">
        <v>80</v>
      </c>
      <c r="G33" s="315"/>
      <c r="H33" s="89" t="s">
        <v>36</v>
      </c>
      <c r="I33" s="88">
        <f>VLOOKUP(A33, 'Hazard Values'!$F$5:$H$14, 3, FALSE)</f>
        <v>100</v>
      </c>
      <c r="J33" s="83" t="str">
        <f>IF(AND(COUNTIFS(Dashboard!$B$19:$B$42, A33,Dashboard!$E$19:$E$42, H33)=1, SUMIFS(Dashboard!$G$19:$G$42,Dashboard!$B$19:$B$42, A33, Dashboard!$E$19:$E$42, H33)&gt;0), SUMIFS(Dashboard!$G$19:$G$42, Dashboard!$B$19:$B$42, A33, Dashboard!$E$19:$E$42, H33), "-")</f>
        <v>-</v>
      </c>
      <c r="K33" s="84" t="str">
        <f t="shared" si="22"/>
        <v>-</v>
      </c>
      <c r="L33" s="84" t="str">
        <f t="shared" si="23"/>
        <v>-</v>
      </c>
      <c r="M33" s="84" t="str">
        <f t="shared" si="24"/>
        <v>-</v>
      </c>
      <c r="N33" s="84" t="str">
        <f t="shared" si="25"/>
        <v>-</v>
      </c>
      <c r="O33" s="84" t="str">
        <f t="shared" si="26"/>
        <v>-</v>
      </c>
      <c r="P33" s="85" t="str">
        <f t="shared" si="27"/>
        <v>-</v>
      </c>
      <c r="Q33" s="68"/>
    </row>
    <row r="34" spans="1:17" s="10" customFormat="1" x14ac:dyDescent="0.25">
      <c r="A34" s="86" t="s">
        <v>51</v>
      </c>
      <c r="B34" s="326"/>
      <c r="C34" s="310"/>
      <c r="D34" s="322"/>
      <c r="E34" s="322"/>
      <c r="F34" s="310"/>
      <c r="G34" s="315"/>
      <c r="H34" s="90" t="s">
        <v>40</v>
      </c>
      <c r="I34" s="88">
        <f>VLOOKUP(A34, 'Hazard Values'!$F$5:$H$14, 3, FALSE)</f>
        <v>100</v>
      </c>
      <c r="J34" s="83" t="str">
        <f>IF(AND(COUNTIFS(Dashboard!$B$19:$B$42, A34,Dashboard!$E$19:$E$42, H34)=1, SUMIFS(Dashboard!$G$19:$G$42,Dashboard!$B$19:$B$42, A34, Dashboard!$E$19:$E$42, H34)&gt;0), SUMIFS(Dashboard!$G$19:$G$42, Dashboard!$B$19:$B$42, A34, Dashboard!$E$19:$E$42, H34), "-")</f>
        <v>-</v>
      </c>
      <c r="K34" s="84" t="str">
        <f t="shared" si="22"/>
        <v>-</v>
      </c>
      <c r="L34" s="84" t="str">
        <f t="shared" si="23"/>
        <v>-</v>
      </c>
      <c r="M34" s="84" t="str">
        <f t="shared" si="24"/>
        <v>-</v>
      </c>
      <c r="N34" s="84" t="str">
        <f t="shared" si="25"/>
        <v>-</v>
      </c>
      <c r="O34" s="84" t="str">
        <f t="shared" si="26"/>
        <v>-</v>
      </c>
      <c r="P34" s="85" t="str">
        <f t="shared" si="27"/>
        <v>-</v>
      </c>
      <c r="Q34" s="68"/>
    </row>
    <row r="35" spans="1:17" s="10" customFormat="1" ht="15" customHeight="1" x14ac:dyDescent="0.25">
      <c r="A35" s="86" t="s">
        <v>52</v>
      </c>
      <c r="B35" s="326"/>
      <c r="C35" s="310"/>
      <c r="D35" s="322"/>
      <c r="E35" s="322"/>
      <c r="F35" s="311" t="s">
        <v>81</v>
      </c>
      <c r="G35" s="315"/>
      <c r="H35" s="89" t="s">
        <v>36</v>
      </c>
      <c r="I35" s="88">
        <f>VLOOKUP(A35, 'Hazard Values'!$F$5:$H$14, 3, FALSE)</f>
        <v>100</v>
      </c>
      <c r="J35" s="83" t="str">
        <f>IF(AND(COUNTIFS(Dashboard!$B$19:$B$42, A35,Dashboard!$E$19:$E$42, H35)=1, SUMIFS(Dashboard!$G$19:$G$42,Dashboard!$B$19:$B$42, A35, Dashboard!$E$19:$E$42, H35)&gt;0), SUMIFS(Dashboard!$G$19:$G$42, Dashboard!$B$19:$B$42, A35, Dashboard!$E$19:$E$42, H35), "-")</f>
        <v>-</v>
      </c>
      <c r="K35" s="84" t="str">
        <f t="shared" ref="K35:K36" si="28">IFERROR(J35*$K$8,"-")</f>
        <v>-</v>
      </c>
      <c r="L35" s="84" t="str">
        <f t="shared" ref="L35:L36" si="29">IFERROR(J35*$L$8, "-")</f>
        <v>-</v>
      </c>
      <c r="M35" s="84" t="str">
        <f t="shared" ref="M35:M36" si="30">IFERROR(J35*$M$8,"-")</f>
        <v>-</v>
      </c>
      <c r="N35" s="84" t="str">
        <f t="shared" ref="N35:N36" si="31">IFERROR(J35*$N$8, "-")</f>
        <v>-</v>
      </c>
      <c r="O35" s="84" t="str">
        <f t="shared" ref="O35:O36" si="32">IFERROR(J35*$O$8,"-")</f>
        <v>-</v>
      </c>
      <c r="P35" s="85" t="str">
        <f t="shared" ref="P35:P36" si="33">IFERROR(K35*$P$8,"-")</f>
        <v>-</v>
      </c>
      <c r="Q35" s="68"/>
    </row>
    <row r="36" spans="1:17" s="10" customFormat="1" x14ac:dyDescent="0.25">
      <c r="A36" s="86" t="s">
        <v>52</v>
      </c>
      <c r="B36" s="327"/>
      <c r="C36" s="330"/>
      <c r="D36" s="310"/>
      <c r="E36" s="310"/>
      <c r="F36" s="322"/>
      <c r="G36" s="315"/>
      <c r="H36" s="90" t="s">
        <v>40</v>
      </c>
      <c r="I36" s="88">
        <f>VLOOKUP(A36, 'Hazard Values'!$F$5:$H$14, 3, FALSE)</f>
        <v>100</v>
      </c>
      <c r="J36" s="83" t="str">
        <f>IF(AND(COUNTIFS(Dashboard!$B$19:$B$42, A36,Dashboard!$E$19:$E$42, H36)=1, SUMIFS(Dashboard!$G$19:$G$42,Dashboard!$B$19:$B$42, A36, Dashboard!$E$19:$E$42, H36)&gt;0), SUMIFS(Dashboard!$G$19:$G$42, Dashboard!$B$19:$B$42, A36, Dashboard!$E$19:$E$42, H36), "-")</f>
        <v>-</v>
      </c>
      <c r="K36" s="84" t="str">
        <f t="shared" si="28"/>
        <v>-</v>
      </c>
      <c r="L36" s="84" t="str">
        <f t="shared" si="29"/>
        <v>-</v>
      </c>
      <c r="M36" s="84" t="str">
        <f t="shared" si="30"/>
        <v>-</v>
      </c>
      <c r="N36" s="84" t="str">
        <f t="shared" si="31"/>
        <v>-</v>
      </c>
      <c r="O36" s="84" t="str">
        <f t="shared" si="32"/>
        <v>-</v>
      </c>
      <c r="P36" s="85" t="str">
        <f t="shared" si="33"/>
        <v>-</v>
      </c>
      <c r="Q36" s="68"/>
    </row>
    <row r="37" spans="1:17" s="10" customFormat="1" ht="15" customHeight="1" x14ac:dyDescent="0.25">
      <c r="A37" s="86" t="s">
        <v>57</v>
      </c>
      <c r="B37" s="327"/>
      <c r="C37" s="330"/>
      <c r="D37" s="311" t="s">
        <v>82</v>
      </c>
      <c r="E37" s="324" t="s">
        <v>83</v>
      </c>
      <c r="F37" s="311" t="s">
        <v>76</v>
      </c>
      <c r="G37" s="315"/>
      <c r="H37" s="91" t="s">
        <v>36</v>
      </c>
      <c r="I37" s="88">
        <f>VLOOKUP(A37, 'Hazard Values'!$F$5:$H$14, 3, FALSE)</f>
        <v>300</v>
      </c>
      <c r="J37" s="83" t="str">
        <f>IF(AND(COUNTIFS(Dashboard!$B$19:$B$42, A37,Dashboard!$E$19:$E$42, H37)=1, SUMIFS(Dashboard!$G$19:$G$42,Dashboard!$B$19:$B$42, A37, Dashboard!$E$19:$E$42, H37)&gt;0), SUMIFS(Dashboard!$G$19:$G$42, Dashboard!$B$19:$B$42, A37, Dashboard!$E$19:$E$42, H37), "-")</f>
        <v>-</v>
      </c>
      <c r="K37" s="84" t="str">
        <f t="shared" si="22"/>
        <v>-</v>
      </c>
      <c r="L37" s="84" t="str">
        <f t="shared" si="23"/>
        <v>-</v>
      </c>
      <c r="M37" s="84" t="str">
        <f t="shared" si="24"/>
        <v>-</v>
      </c>
      <c r="N37" s="84" t="str">
        <f t="shared" si="25"/>
        <v>-</v>
      </c>
      <c r="O37" s="84" t="str">
        <f t="shared" si="26"/>
        <v>-</v>
      </c>
      <c r="P37" s="85" t="str">
        <f t="shared" si="27"/>
        <v>-</v>
      </c>
      <c r="Q37" s="68"/>
    </row>
    <row r="38" spans="1:17" s="10" customFormat="1" x14ac:dyDescent="0.25">
      <c r="A38" s="86" t="s">
        <v>57</v>
      </c>
      <c r="B38" s="327"/>
      <c r="C38" s="330"/>
      <c r="D38" s="322"/>
      <c r="E38" s="324"/>
      <c r="F38" s="322"/>
      <c r="G38" s="302"/>
      <c r="H38" s="87" t="s">
        <v>40</v>
      </c>
      <c r="I38" s="88">
        <f>VLOOKUP(A38, 'Hazard Values'!$F$5:$H$14, 3, FALSE)</f>
        <v>300</v>
      </c>
      <c r="J38" s="83" t="str">
        <f>IF(AND(COUNTIFS(Dashboard!$B$19:$B$42, A38,Dashboard!$E$19:$E$42, H38)=1, SUMIFS(Dashboard!$G$19:$G$42,Dashboard!$B$19:$B$42, A38, Dashboard!$E$19:$E$42, H38)&gt;0), SUMIFS(Dashboard!$G$19:$G$42, Dashboard!$B$19:$B$42, A38, Dashboard!$E$19:$E$42, H38), "-")</f>
        <v>-</v>
      </c>
      <c r="K38" s="84" t="str">
        <f t="shared" si="22"/>
        <v>-</v>
      </c>
      <c r="L38" s="84" t="str">
        <f t="shared" si="23"/>
        <v>-</v>
      </c>
      <c r="M38" s="84" t="str">
        <f t="shared" si="24"/>
        <v>-</v>
      </c>
      <c r="N38" s="84" t="str">
        <f t="shared" si="25"/>
        <v>-</v>
      </c>
      <c r="O38" s="84" t="str">
        <f t="shared" si="26"/>
        <v>-</v>
      </c>
      <c r="P38" s="85" t="str">
        <f t="shared" si="27"/>
        <v>-</v>
      </c>
      <c r="Q38" s="68"/>
    </row>
    <row r="39" spans="1:17" s="10" customFormat="1" ht="15" customHeight="1" x14ac:dyDescent="0.25">
      <c r="A39" s="86" t="s">
        <v>58</v>
      </c>
      <c r="B39" s="327"/>
      <c r="C39" s="330"/>
      <c r="D39" s="322"/>
      <c r="E39" s="324" t="s">
        <v>84</v>
      </c>
      <c r="F39" s="311" t="s">
        <v>85</v>
      </c>
      <c r="G39" s="301" t="s">
        <v>86</v>
      </c>
      <c r="H39" s="92" t="s">
        <v>36</v>
      </c>
      <c r="I39" s="88">
        <f>VLOOKUP(A39, 'Hazard Values'!$F$5:$H$14, 3, FALSE)</f>
        <v>1000</v>
      </c>
      <c r="J39" s="83" t="str">
        <f>IF(AND(COUNTIFS(Dashboard!$B$19:$B$42, A39,Dashboard!$E$19:$E$42, H39)=1, SUMIFS(Dashboard!$G$19:$G$42,Dashboard!$B$19:$B$42, A39, Dashboard!$E$19:$E$42, H39)&gt;0), SUMIFS(Dashboard!$G$19:$G$42, Dashboard!$B$19:$B$42, A39, Dashboard!$E$19:$E$42, H39), "-")</f>
        <v>-</v>
      </c>
      <c r="K39" s="84" t="str">
        <f t="shared" si="22"/>
        <v>-</v>
      </c>
      <c r="L39" s="84" t="str">
        <f t="shared" si="23"/>
        <v>-</v>
      </c>
      <c r="M39" s="84" t="str">
        <f t="shared" si="24"/>
        <v>-</v>
      </c>
      <c r="N39" s="84" t="str">
        <f t="shared" si="25"/>
        <v>-</v>
      </c>
      <c r="O39" s="84" t="str">
        <f t="shared" si="26"/>
        <v>-</v>
      </c>
      <c r="P39" s="85" t="str">
        <f t="shared" si="27"/>
        <v>-</v>
      </c>
      <c r="Q39" s="68"/>
    </row>
    <row r="40" spans="1:17" s="10" customFormat="1" ht="13.5" customHeight="1" x14ac:dyDescent="0.25">
      <c r="A40" s="86" t="s">
        <v>58</v>
      </c>
      <c r="B40" s="327"/>
      <c r="C40" s="330"/>
      <c r="D40" s="322"/>
      <c r="E40" s="324"/>
      <c r="F40" s="322"/>
      <c r="G40" s="302"/>
      <c r="H40" s="87" t="s">
        <v>40</v>
      </c>
      <c r="I40" s="88">
        <f>VLOOKUP(A40, 'Hazard Values'!$F$5:$H$14, 3, FALSE)</f>
        <v>1000</v>
      </c>
      <c r="J40" s="83" t="str">
        <f>IF(AND(COUNTIFS(Dashboard!$B$19:$B$42, A40,Dashboard!$E$19:$E$42, H40)=1, SUMIFS(Dashboard!$G$19:$G$42,Dashboard!$B$19:$B$42, A40, Dashboard!$E$19:$E$42, H40)&gt;0), SUMIFS(Dashboard!$G$19:$G$42, Dashboard!$B$19:$B$42, A40, Dashboard!$E$19:$E$42, H40), "-")</f>
        <v>-</v>
      </c>
      <c r="K40" s="84" t="str">
        <f t="shared" si="22"/>
        <v>-</v>
      </c>
      <c r="L40" s="84" t="str">
        <f t="shared" si="23"/>
        <v>-</v>
      </c>
      <c r="M40" s="84" t="str">
        <f t="shared" si="24"/>
        <v>-</v>
      </c>
      <c r="N40" s="84" t="str">
        <f t="shared" si="25"/>
        <v>-</v>
      </c>
      <c r="O40" s="84" t="str">
        <f t="shared" si="26"/>
        <v>-</v>
      </c>
      <c r="P40" s="85" t="str">
        <f t="shared" si="27"/>
        <v>-</v>
      </c>
      <c r="Q40" s="68"/>
    </row>
    <row r="41" spans="1:17" s="10" customFormat="1" x14ac:dyDescent="0.25">
      <c r="A41" s="86" t="s">
        <v>59</v>
      </c>
      <c r="B41" s="327"/>
      <c r="C41" s="330"/>
      <c r="D41" s="322"/>
      <c r="E41" s="301" t="s">
        <v>87</v>
      </c>
      <c r="F41" s="311" t="s">
        <v>88</v>
      </c>
      <c r="G41" s="315" t="s">
        <v>77</v>
      </c>
      <c r="H41" s="89" t="s">
        <v>36</v>
      </c>
      <c r="I41" s="88">
        <f>VLOOKUP(A41, 'Hazard Values'!$F$5:$H$14, 3, FALSE)</f>
        <v>30</v>
      </c>
      <c r="J41" s="83" t="str">
        <f>IF(AND(COUNTIFS(Dashboard!$B$19:$B$42, A41,Dashboard!$E$19:$E$42, H41)=1, SUMIFS(Dashboard!$G$19:$G$42,Dashboard!$B$19:$B$42, A41, Dashboard!$E$19:$E$42, H41)&gt;0), SUMIFS(Dashboard!$G$19:$G$42, Dashboard!$B$19:$B$42, A41, Dashboard!$E$19:$E$42, H41), "-")</f>
        <v>-</v>
      </c>
      <c r="K41" s="84" t="str">
        <f t="shared" si="22"/>
        <v>-</v>
      </c>
      <c r="L41" s="84" t="str">
        <f t="shared" si="23"/>
        <v>-</v>
      </c>
      <c r="M41" s="84" t="str">
        <f t="shared" si="24"/>
        <v>-</v>
      </c>
      <c r="N41" s="84" t="str">
        <f t="shared" si="25"/>
        <v>-</v>
      </c>
      <c r="O41" s="84" t="str">
        <f t="shared" si="26"/>
        <v>-</v>
      </c>
      <c r="P41" s="85" t="str">
        <f t="shared" si="27"/>
        <v>-</v>
      </c>
      <c r="Q41" s="68"/>
    </row>
    <row r="42" spans="1:17" s="10" customFormat="1" x14ac:dyDescent="0.25">
      <c r="A42" s="86" t="s">
        <v>59</v>
      </c>
      <c r="B42" s="327"/>
      <c r="C42" s="330"/>
      <c r="D42" s="322"/>
      <c r="E42" s="315"/>
      <c r="F42" s="322"/>
      <c r="G42" s="315"/>
      <c r="H42" s="90" t="s">
        <v>40</v>
      </c>
      <c r="I42" s="88">
        <f>VLOOKUP(A42, 'Hazard Values'!$F$5:$H$14, 3, FALSE)</f>
        <v>30</v>
      </c>
      <c r="J42" s="83" t="str">
        <f>IF(AND(COUNTIFS(Dashboard!$B$19:$B$42, A42,Dashboard!$E$19:$E$42, H42)=1, SUMIFS(Dashboard!$G$19:$G$42,Dashboard!$B$19:$B$42, A42, Dashboard!$E$19:$E$42, H42)&gt;0), SUMIFS(Dashboard!$G$19:$G$42, Dashboard!$B$19:$B$42, A42, Dashboard!$E$19:$E$42, H42), "-")</f>
        <v>-</v>
      </c>
      <c r="K42" s="84" t="str">
        <f t="shared" si="22"/>
        <v>-</v>
      </c>
      <c r="L42" s="84" t="str">
        <f t="shared" si="23"/>
        <v>-</v>
      </c>
      <c r="M42" s="84" t="str">
        <f t="shared" si="24"/>
        <v>-</v>
      </c>
      <c r="N42" s="84" t="str">
        <f t="shared" si="25"/>
        <v>-</v>
      </c>
      <c r="O42" s="84" t="str">
        <f t="shared" si="26"/>
        <v>-</v>
      </c>
      <c r="P42" s="85" t="str">
        <f t="shared" si="27"/>
        <v>-</v>
      </c>
      <c r="Q42" s="68"/>
    </row>
    <row r="43" spans="1:17" s="10" customFormat="1" x14ac:dyDescent="0.25">
      <c r="A43" s="86" t="s">
        <v>60</v>
      </c>
      <c r="B43" s="327"/>
      <c r="C43" s="330"/>
      <c r="D43" s="322"/>
      <c r="E43" s="301" t="s">
        <v>78</v>
      </c>
      <c r="F43" s="301" t="s">
        <v>79</v>
      </c>
      <c r="G43" s="315"/>
      <c r="H43" s="91" t="s">
        <v>36</v>
      </c>
      <c r="I43" s="88">
        <f>VLOOKUP(A43, 'Hazard Values'!$F$5:$H$14, 3, FALSE)</f>
        <v>100</v>
      </c>
      <c r="J43" s="83" t="str">
        <f>IF(AND(COUNTIFS(Dashboard!$B$19:$B$42, A43,Dashboard!$E$19:$E$42, H43)=1, SUMIFS(Dashboard!$G$19:$G$42,Dashboard!$B$19:$B$42, A43, Dashboard!$E$19:$E$42, H43)&gt;0), SUMIFS(Dashboard!$G$19:$G$42, Dashboard!$B$19:$B$42, A43, Dashboard!$E$19:$E$42, H43), "-")</f>
        <v>-</v>
      </c>
      <c r="K43" s="84" t="str">
        <f t="shared" si="22"/>
        <v>-</v>
      </c>
      <c r="L43" s="84" t="str">
        <f t="shared" si="23"/>
        <v>-</v>
      </c>
      <c r="M43" s="84" t="str">
        <f t="shared" si="24"/>
        <v>-</v>
      </c>
      <c r="N43" s="84" t="str">
        <f t="shared" si="25"/>
        <v>-</v>
      </c>
      <c r="O43" s="84" t="str">
        <f t="shared" si="26"/>
        <v>-</v>
      </c>
      <c r="P43" s="85" t="str">
        <f t="shared" si="27"/>
        <v>-</v>
      </c>
      <c r="Q43" s="68"/>
    </row>
    <row r="44" spans="1:17" s="10" customFormat="1" x14ac:dyDescent="0.25">
      <c r="A44" s="86" t="s">
        <v>60</v>
      </c>
      <c r="B44" s="327"/>
      <c r="C44" s="330"/>
      <c r="D44" s="322"/>
      <c r="E44" s="315"/>
      <c r="F44" s="315"/>
      <c r="G44" s="315"/>
      <c r="H44" s="90" t="s">
        <v>40</v>
      </c>
      <c r="I44" s="88">
        <f>VLOOKUP(A44, 'Hazard Values'!$F$5:$H$14, 3, FALSE)</f>
        <v>100</v>
      </c>
      <c r="J44" s="83" t="str">
        <f>IF(AND(COUNTIFS(Dashboard!$B$19:$B$42, A44,Dashboard!$E$19:$E$42, H44)=1, SUMIFS(Dashboard!$G$19:$G$42,Dashboard!$B$19:$B$42, A44, Dashboard!$E$19:$E$42, H44)&gt;0), SUMIFS(Dashboard!$G$19:$G$42, Dashboard!$B$19:$B$42, A44, Dashboard!$E$19:$E$42, H44), "-")</f>
        <v>-</v>
      </c>
      <c r="K44" s="84" t="str">
        <f t="shared" si="22"/>
        <v>-</v>
      </c>
      <c r="L44" s="84" t="str">
        <f t="shared" si="23"/>
        <v>-</v>
      </c>
      <c r="M44" s="84" t="str">
        <f t="shared" si="24"/>
        <v>-</v>
      </c>
      <c r="N44" s="84" t="str">
        <f t="shared" si="25"/>
        <v>-</v>
      </c>
      <c r="O44" s="84" t="str">
        <f t="shared" si="26"/>
        <v>-</v>
      </c>
      <c r="P44" s="85" t="str">
        <f t="shared" si="27"/>
        <v>-</v>
      </c>
      <c r="Q44" s="68"/>
    </row>
    <row r="45" spans="1:17" s="10" customFormat="1" x14ac:dyDescent="0.25">
      <c r="A45" s="86" t="s">
        <v>61</v>
      </c>
      <c r="B45" s="327"/>
      <c r="C45" s="330"/>
      <c r="D45" s="322"/>
      <c r="E45" s="315"/>
      <c r="F45" s="301" t="s">
        <v>80</v>
      </c>
      <c r="G45" s="315"/>
      <c r="H45" s="91" t="s">
        <v>36</v>
      </c>
      <c r="I45" s="88">
        <f>VLOOKUP(A45, 'Hazard Values'!$F$5:$H$14, 3, FALSE)</f>
        <v>100</v>
      </c>
      <c r="J45" s="83" t="str">
        <f>IF(AND(COUNTIFS(Dashboard!$B$19:$B$42, A45,Dashboard!$E$19:$E$42, H45)=1, SUMIFS(Dashboard!$G$19:$G$42,Dashboard!$B$19:$B$42, A45, Dashboard!$E$19:$E$42, H45)&gt;0), SUMIFS(Dashboard!$G$19:$G$42, Dashboard!$B$19:$B$42, A45, Dashboard!$E$19:$E$42, H45), "-")</f>
        <v>-</v>
      </c>
      <c r="K45" s="84" t="str">
        <f t="shared" si="22"/>
        <v>-</v>
      </c>
      <c r="L45" s="84" t="str">
        <f t="shared" si="23"/>
        <v>-</v>
      </c>
      <c r="M45" s="84" t="str">
        <f t="shared" si="24"/>
        <v>-</v>
      </c>
      <c r="N45" s="84" t="str">
        <f t="shared" si="25"/>
        <v>-</v>
      </c>
      <c r="O45" s="84" t="str">
        <f t="shared" si="26"/>
        <v>-</v>
      </c>
      <c r="P45" s="85" t="str">
        <f t="shared" si="27"/>
        <v>-</v>
      </c>
      <c r="Q45" s="68"/>
    </row>
    <row r="46" spans="1:17" s="10" customFormat="1" x14ac:dyDescent="0.25">
      <c r="A46" s="86" t="s">
        <v>61</v>
      </c>
      <c r="B46" s="327"/>
      <c r="C46" s="330"/>
      <c r="D46" s="322"/>
      <c r="E46" s="315"/>
      <c r="F46" s="302"/>
      <c r="G46" s="315"/>
      <c r="H46" s="90" t="s">
        <v>40</v>
      </c>
      <c r="I46" s="88">
        <f>VLOOKUP(A46, 'Hazard Values'!$F$5:$H$14, 3, FALSE)</f>
        <v>100</v>
      </c>
      <c r="J46" s="83" t="str">
        <f>IF(AND(COUNTIFS(Dashboard!$B$19:$B$42, A46,Dashboard!$E$19:$E$42, H46)=1, SUMIFS(Dashboard!$G$19:$G$42,Dashboard!$B$19:$B$42, A46, Dashboard!$E$19:$E$42, H46)&gt;0), SUMIFS(Dashboard!$G$19:$G$42, Dashboard!$B$19:$B$42, A46, Dashboard!$E$19:$E$42, H46), "-")</f>
        <v>-</v>
      </c>
      <c r="K46" s="84" t="str">
        <f t="shared" si="22"/>
        <v>-</v>
      </c>
      <c r="L46" s="84" t="str">
        <f t="shared" si="23"/>
        <v>-</v>
      </c>
      <c r="M46" s="84" t="str">
        <f t="shared" si="24"/>
        <v>-</v>
      </c>
      <c r="N46" s="84" t="str">
        <f t="shared" si="25"/>
        <v>-</v>
      </c>
      <c r="O46" s="84" t="str">
        <f t="shared" si="26"/>
        <v>-</v>
      </c>
      <c r="P46" s="85" t="str">
        <f t="shared" si="27"/>
        <v>-</v>
      </c>
      <c r="Q46" s="68"/>
    </row>
    <row r="47" spans="1:17" s="10" customFormat="1" x14ac:dyDescent="0.25">
      <c r="A47" s="86" t="s">
        <v>62</v>
      </c>
      <c r="B47" s="327"/>
      <c r="C47" s="330"/>
      <c r="D47" s="322"/>
      <c r="E47" s="315"/>
      <c r="F47" s="311" t="s">
        <v>81</v>
      </c>
      <c r="G47" s="315"/>
      <c r="H47" s="91" t="s">
        <v>36</v>
      </c>
      <c r="I47" s="88">
        <f>VLOOKUP(A47, 'Hazard Values'!$F$5:$H$14, 3, FALSE)</f>
        <v>100</v>
      </c>
      <c r="J47" s="83" t="str">
        <f>IF(AND(COUNTIFS(Dashboard!$B$19:$B$42, A47,Dashboard!$E$19:$E$42, H47)=1, SUMIFS(Dashboard!$G$19:$G$42,Dashboard!$B$19:$B$42, A47, Dashboard!$E$19:$E$42, H47)&gt;0), SUMIFS(Dashboard!$G$19:$G$42, Dashboard!$B$19:$B$42, A47, Dashboard!$E$19:$E$42, H47), "-")</f>
        <v>-</v>
      </c>
      <c r="K47" s="84" t="str">
        <f t="shared" si="22"/>
        <v>-</v>
      </c>
      <c r="L47" s="84" t="str">
        <f t="shared" si="23"/>
        <v>-</v>
      </c>
      <c r="M47" s="84" t="str">
        <f t="shared" si="24"/>
        <v>-</v>
      </c>
      <c r="N47" s="84" t="str">
        <f t="shared" si="25"/>
        <v>-</v>
      </c>
      <c r="O47" s="84" t="str">
        <f t="shared" si="26"/>
        <v>-</v>
      </c>
      <c r="P47" s="85" t="str">
        <f t="shared" si="27"/>
        <v>-</v>
      </c>
      <c r="Q47" s="68"/>
    </row>
    <row r="48" spans="1:17" s="10" customFormat="1" ht="16.5" thickBot="1" x14ac:dyDescent="0.3">
      <c r="A48" s="93" t="s">
        <v>62</v>
      </c>
      <c r="B48" s="328"/>
      <c r="C48" s="331"/>
      <c r="D48" s="323"/>
      <c r="E48" s="316"/>
      <c r="F48" s="323"/>
      <c r="G48" s="316"/>
      <c r="H48" s="94" t="s">
        <v>40</v>
      </c>
      <c r="I48" s="102">
        <f>VLOOKUP(A48, 'Hazard Values'!$F$5:$H$14, 3, FALSE)</f>
        <v>100</v>
      </c>
      <c r="J48" s="103" t="str">
        <f>IF(AND(COUNTIFS(Dashboard!$B$19:$B$42, A48,Dashboard!$E$19:$E$42, H48)=1, SUMIFS(Dashboard!$G$19:$G$42,Dashboard!$B$19:$B$42, A48, Dashboard!$E$19:$E$42, H48)&gt;0), SUMIFS(Dashboard!$G$19:$G$42, Dashboard!$B$19:$B$42, A48, Dashboard!$E$19:$E$42, H48), "-")</f>
        <v>-</v>
      </c>
      <c r="K48" s="104" t="str">
        <f t="shared" si="22"/>
        <v>-</v>
      </c>
      <c r="L48" s="104" t="str">
        <f t="shared" si="23"/>
        <v>-</v>
      </c>
      <c r="M48" s="104" t="str">
        <f t="shared" si="24"/>
        <v>-</v>
      </c>
      <c r="N48" s="104" t="str">
        <f t="shared" si="25"/>
        <v>-</v>
      </c>
      <c r="O48" s="104" t="str">
        <f t="shared" si="26"/>
        <v>-</v>
      </c>
      <c r="P48" s="105" t="str">
        <f t="shared" si="27"/>
        <v>-</v>
      </c>
      <c r="Q48" s="68"/>
    </row>
    <row r="49" spans="1:17" s="10" customFormat="1" x14ac:dyDescent="0.25">
      <c r="A49" s="70"/>
      <c r="B49" s="11"/>
      <c r="D49" s="71"/>
      <c r="H49" s="11"/>
      <c r="I49" s="11"/>
      <c r="P49" s="68"/>
      <c r="Q49" s="68"/>
    </row>
  </sheetData>
  <sheetProtection algorithmName="SHA-512" hashValue="UpbNYlNkH3u+6cJcgiUOs0J6TzAhcqHWGr0dOmACeciucSc2uX+c4OItx/uQbjKVUfip++8vQK8Rc6Yy4nuU4w==" saltValue="tz7jyfy3wy9CgyCPYNHvew==" spinCount="100000" sheet="1" objects="1" scenarios="1"/>
  <mergeCells count="52">
    <mergeCell ref="F43:F44"/>
    <mergeCell ref="F47:F48"/>
    <mergeCell ref="G39:G40"/>
    <mergeCell ref="G41:G48"/>
    <mergeCell ref="B9:B28"/>
    <mergeCell ref="F27:F28"/>
    <mergeCell ref="E21:E22"/>
    <mergeCell ref="F15:F16"/>
    <mergeCell ref="F17:F18"/>
    <mergeCell ref="F19:F20"/>
    <mergeCell ref="F21:F22"/>
    <mergeCell ref="E17:E18"/>
    <mergeCell ref="E19:E20"/>
    <mergeCell ref="D9:D16"/>
    <mergeCell ref="F41:F42"/>
    <mergeCell ref="E23:E28"/>
    <mergeCell ref="B29:B48"/>
    <mergeCell ref="C29:C48"/>
    <mergeCell ref="D29:D36"/>
    <mergeCell ref="D37:D48"/>
    <mergeCell ref="E43:E48"/>
    <mergeCell ref="E32:E36"/>
    <mergeCell ref="E29:E30"/>
    <mergeCell ref="C9:C28"/>
    <mergeCell ref="E37:E38"/>
    <mergeCell ref="E39:E40"/>
    <mergeCell ref="F35:F36"/>
    <mergeCell ref="E41:E42"/>
    <mergeCell ref="F23:F24"/>
    <mergeCell ref="F37:F38"/>
    <mergeCell ref="F39:F40"/>
    <mergeCell ref="D17:D28"/>
    <mergeCell ref="F25:F26"/>
    <mergeCell ref="F29:F30"/>
    <mergeCell ref="F33:F34"/>
    <mergeCell ref="F13:F14"/>
    <mergeCell ref="F45:F46"/>
    <mergeCell ref="K7:P7"/>
    <mergeCell ref="F3:G3"/>
    <mergeCell ref="F4:G4"/>
    <mergeCell ref="F9:F10"/>
    <mergeCell ref="F31:F32"/>
    <mergeCell ref="J7:J8"/>
    <mergeCell ref="G19:G20"/>
    <mergeCell ref="G9:G18"/>
    <mergeCell ref="G21:G28"/>
    <mergeCell ref="G29:G38"/>
    <mergeCell ref="E8:F8"/>
    <mergeCell ref="J6:P6"/>
    <mergeCell ref="E9:E10"/>
    <mergeCell ref="E11:E16"/>
    <mergeCell ref="F11:F12"/>
  </mergeCells>
  <conditionalFormatting sqref="J9:P48">
    <cfRule type="cellIs" dxfId="64" priority="1" operator="equal">
      <formula>"-"</formula>
    </cfRule>
  </conditionalFormatting>
  <conditionalFormatting sqref="J16:P16">
    <cfRule type="cellIs" dxfId="63" priority="78" operator="lessThan">
      <formula>$I$16</formula>
    </cfRule>
    <cfRule type="cellIs" dxfId="62" priority="79" operator="greaterThanOrEqual">
      <formula>$I$16</formula>
    </cfRule>
  </conditionalFormatting>
  <conditionalFormatting sqref="J17:P17">
    <cfRule type="cellIs" dxfId="61" priority="76" operator="lessThan">
      <formula>$I$17</formula>
    </cfRule>
    <cfRule type="cellIs" dxfId="60" priority="77" operator="greaterThanOrEqual">
      <formula>$I$17</formula>
    </cfRule>
  </conditionalFormatting>
  <conditionalFormatting sqref="J18:P18">
    <cfRule type="cellIs" dxfId="59" priority="74" operator="lessThan">
      <formula>$I$18</formula>
    </cfRule>
    <cfRule type="cellIs" dxfId="58" priority="75" operator="greaterThanOrEqual">
      <formula>$I$18</formula>
    </cfRule>
  </conditionalFormatting>
  <conditionalFormatting sqref="J19:P19">
    <cfRule type="cellIs" dxfId="57" priority="72" operator="lessThan">
      <formula>$I$19</formula>
    </cfRule>
    <cfRule type="cellIs" dxfId="56" priority="73" operator="greaterThanOrEqual">
      <formula>$I$19</formula>
    </cfRule>
  </conditionalFormatting>
  <conditionalFormatting sqref="J20:P20">
    <cfRule type="cellIs" dxfId="55" priority="70" operator="lessThan">
      <formula>$I$20</formula>
    </cfRule>
    <cfRule type="cellIs" dxfId="54" priority="71" operator="greaterThanOrEqual">
      <formula>$I$20</formula>
    </cfRule>
  </conditionalFormatting>
  <conditionalFormatting sqref="J21:P21">
    <cfRule type="cellIs" dxfId="53" priority="68" operator="lessThan">
      <formula>$I$21</formula>
    </cfRule>
    <cfRule type="cellIs" dxfId="52" priority="69" operator="greaterThanOrEqual">
      <formula>$I$21</formula>
    </cfRule>
  </conditionalFormatting>
  <conditionalFormatting sqref="J22:P22">
    <cfRule type="cellIs" dxfId="51" priority="66" operator="lessThan">
      <formula>$I$22</formula>
    </cfRule>
    <cfRule type="cellIs" dxfId="50" priority="67" operator="greaterThanOrEqual">
      <formula>$I$22</formula>
    </cfRule>
  </conditionalFormatting>
  <conditionalFormatting sqref="J23:P23">
    <cfRule type="cellIs" dxfId="49" priority="60" operator="lessThan">
      <formula>$I$23</formula>
    </cfRule>
    <cfRule type="cellIs" dxfId="48" priority="61" operator="greaterThanOrEqual">
      <formula>$I$23</formula>
    </cfRule>
  </conditionalFormatting>
  <conditionalFormatting sqref="J27:P27">
    <cfRule type="cellIs" dxfId="47" priority="56" operator="lessThan">
      <formula>$I$27</formula>
    </cfRule>
    <cfRule type="cellIs" dxfId="46" priority="57" operator="greaterThanOrEqual">
      <formula>$I$27</formula>
    </cfRule>
  </conditionalFormatting>
  <conditionalFormatting sqref="J37:P38">
    <cfRule type="cellIs" dxfId="45" priority="51" operator="lessThan">
      <formula>$I$37</formula>
    </cfRule>
    <cfRule type="cellIs" dxfId="44" priority="52" operator="greaterThanOrEqual">
      <formula>$I$37</formula>
    </cfRule>
  </conditionalFormatting>
  <conditionalFormatting sqref="J39:P40">
    <cfRule type="cellIs" dxfId="43" priority="49" operator="lessThan">
      <formula>$I$39</formula>
    </cfRule>
    <cfRule type="cellIs" dxfId="42" priority="50" operator="greaterThanOrEqual">
      <formula>$I$39</formula>
    </cfRule>
  </conditionalFormatting>
  <conditionalFormatting sqref="J41:P42">
    <cfRule type="cellIs" dxfId="41" priority="47" operator="lessThan">
      <formula>$I$41</formula>
    </cfRule>
    <cfRule type="cellIs" dxfId="40" priority="48" operator="greaterThanOrEqual">
      <formula>$I$41</formula>
    </cfRule>
  </conditionalFormatting>
  <conditionalFormatting sqref="J43:P48">
    <cfRule type="cellIs" dxfId="39" priority="43" operator="lessThan">
      <formula>$I$43</formula>
    </cfRule>
    <cfRule type="cellIs" dxfId="38" priority="44" operator="greaterThanOrEqual">
      <formula>$I$43</formula>
    </cfRule>
  </conditionalFormatting>
  <conditionalFormatting sqref="J28:P28">
    <cfRule type="cellIs" dxfId="37" priority="54" operator="lessThan">
      <formula>$I$28</formula>
    </cfRule>
    <cfRule type="cellIs" dxfId="36" priority="55" operator="greaterThanOrEqual">
      <formula>$I$28</formula>
    </cfRule>
  </conditionalFormatting>
  <conditionalFormatting sqref="J29:P29">
    <cfRule type="cellIs" dxfId="35" priority="42" operator="greaterThanOrEqual">
      <formula>$I$29</formula>
    </cfRule>
    <cfRule type="cellIs" dxfId="34" priority="53" operator="lessThan">
      <formula>$I$29</formula>
    </cfRule>
  </conditionalFormatting>
  <conditionalFormatting sqref="J30:P30">
    <cfRule type="cellIs" dxfId="33" priority="9" operator="lessThan">
      <formula>$I$30</formula>
    </cfRule>
    <cfRule type="cellIs" dxfId="32" priority="40" operator="greaterThanOrEqual">
      <formula>$I$30</formula>
    </cfRule>
  </conditionalFormatting>
  <conditionalFormatting sqref="J35:P35">
    <cfRule type="cellIs" dxfId="31" priority="39" operator="greaterThanOrEqual">
      <formula>$I$35</formula>
    </cfRule>
  </conditionalFormatting>
  <conditionalFormatting sqref="J36:P36">
    <cfRule type="cellIs" dxfId="30" priority="38" operator="greaterThanOrEqual">
      <formula>$I$36</formula>
    </cfRule>
  </conditionalFormatting>
  <conditionalFormatting sqref="J9:P9">
    <cfRule type="cellIs" dxfId="29" priority="95" operator="lessThan">
      <formula>$I$9</formula>
    </cfRule>
    <cfRule type="cellIs" dxfId="28" priority="96" operator="greaterThanOrEqual">
      <formula>$I$9</formula>
    </cfRule>
  </conditionalFormatting>
  <conditionalFormatting sqref="J15:P15">
    <cfRule type="cellIs" dxfId="27" priority="80" operator="greaterThanOrEqual">
      <formula>$I$15</formula>
    </cfRule>
    <cfRule type="cellIs" dxfId="26" priority="81" operator="lessThan">
      <formula>$I$15</formula>
    </cfRule>
  </conditionalFormatting>
  <conditionalFormatting sqref="J10:P10">
    <cfRule type="cellIs" dxfId="25" priority="82" operator="greaterThanOrEqual">
      <formula>$I$10</formula>
    </cfRule>
    <cfRule type="cellIs" dxfId="24" priority="90" operator="lessThan">
      <formula>$I$10</formula>
    </cfRule>
  </conditionalFormatting>
  <conditionalFormatting sqref="J11:P11">
    <cfRule type="cellIs" dxfId="23" priority="21" operator="lessThan">
      <formula>$I$11</formula>
    </cfRule>
    <cfRule type="cellIs" dxfId="22" priority="24" operator="greaterThanOrEqual">
      <formula>$I$11</formula>
    </cfRule>
  </conditionalFormatting>
  <conditionalFormatting sqref="J12:P12">
    <cfRule type="cellIs" dxfId="21" priority="19" operator="lessThan">
      <formula>$I$12</formula>
    </cfRule>
    <cfRule type="cellIs" dxfId="20" priority="20" operator="greaterThanOrEqual">
      <formula>$I$12</formula>
    </cfRule>
  </conditionalFormatting>
  <conditionalFormatting sqref="J13:P13">
    <cfRule type="cellIs" dxfId="19" priority="17" operator="lessThan">
      <formula>$I$13</formula>
    </cfRule>
    <cfRule type="cellIs" dxfId="18" priority="18" operator="greaterThanOrEqual">
      <formula>$I$13</formula>
    </cfRule>
  </conditionalFormatting>
  <conditionalFormatting sqref="J14:P14">
    <cfRule type="cellIs" dxfId="17" priority="15" operator="lessThan">
      <formula>$I$14</formula>
    </cfRule>
    <cfRule type="cellIs" dxfId="16" priority="16" operator="greaterThanOrEqual">
      <formula>$I$14</formula>
    </cfRule>
  </conditionalFormatting>
  <conditionalFormatting sqref="J24:P24">
    <cfRule type="cellIs" dxfId="15" priority="58" operator="lessThan">
      <formula>$I$24</formula>
    </cfRule>
    <cfRule type="cellIs" dxfId="14" priority="59" operator="greaterThanOrEqual">
      <formula>$I$24</formula>
    </cfRule>
  </conditionalFormatting>
  <conditionalFormatting sqref="J25:P25">
    <cfRule type="cellIs" dxfId="13" priority="13" operator="lessThan">
      <formula>$I$25</formula>
    </cfRule>
    <cfRule type="cellIs" dxfId="12" priority="14" operator="greaterThanOrEqual">
      <formula>$I$25</formula>
    </cfRule>
  </conditionalFormatting>
  <conditionalFormatting sqref="J26:P26">
    <cfRule type="cellIs" dxfId="11" priority="11" operator="lessThan">
      <formula>$I$26</formula>
    </cfRule>
    <cfRule type="cellIs" dxfId="10" priority="12" operator="greaterThanOrEqual">
      <formula>$I$26</formula>
    </cfRule>
  </conditionalFormatting>
  <conditionalFormatting sqref="J31:P31">
    <cfRule type="cellIs" dxfId="9" priority="8" operator="lessThan">
      <formula>$I$31</formula>
    </cfRule>
    <cfRule type="cellIs" dxfId="8" priority="10" operator="greaterThanOrEqual">
      <formula>$I$31</formula>
    </cfRule>
  </conditionalFormatting>
  <conditionalFormatting sqref="J32:P32">
    <cfRule type="cellIs" dxfId="7" priority="6" operator="lessThan">
      <formula>$I$32</formula>
    </cfRule>
    <cfRule type="cellIs" dxfId="6" priority="7" operator="greaterThanOrEqual">
      <formula>$I$32</formula>
    </cfRule>
  </conditionalFormatting>
  <conditionalFormatting sqref="J33:P33">
    <cfRule type="cellIs" dxfId="5" priority="4" operator="lessThan">
      <formula>$I$33</formula>
    </cfRule>
    <cfRule type="cellIs" dxfId="4" priority="5" operator="greaterThanOrEqual">
      <formula>$I$33</formula>
    </cfRule>
  </conditionalFormatting>
  <conditionalFormatting sqref="J34:P36">
    <cfRule type="cellIs" dxfId="3" priority="2" operator="lessThan">
      <formula>$I$34</formula>
    </cfRule>
    <cfRule type="cellIs" dxfId="2" priority="3" operator="greaterThanOrEqual">
      <formula>$I$34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1"/>
  <sheetViews>
    <sheetView zoomScale="80" zoomScaleNormal="80" workbookViewId="0">
      <pane xSplit="2" ySplit="5" topLeftCell="O22" activePane="bottomRight" state="frozen"/>
      <selection pane="topRight" activeCell="C1" sqref="C1"/>
      <selection pane="bottomLeft" activeCell="A5" sqref="A5"/>
      <selection pane="bottomRight" activeCell="W17" sqref="W17"/>
    </sheetView>
  </sheetViews>
  <sheetFormatPr defaultRowHeight="15.75" x14ac:dyDescent="0.25"/>
  <cols>
    <col min="1" max="1" width="9.28515625" style="106" bestFit="1" customWidth="1"/>
    <col min="2" max="2" width="28.5703125" style="68" customWidth="1"/>
    <col min="3" max="3" width="12.140625" style="68" bestFit="1" customWidth="1"/>
    <col min="4" max="9" width="9.42578125" style="68" bestFit="1" customWidth="1"/>
    <col min="10" max="10" width="18" style="68" customWidth="1"/>
    <col min="11" max="11" width="9.42578125" style="68" bestFit="1" customWidth="1"/>
    <col min="12" max="12" width="9.140625" style="68"/>
    <col min="13" max="17" width="9.28515625" style="68" bestFit="1" customWidth="1"/>
    <col min="18" max="18" width="13.42578125" style="68" bestFit="1" customWidth="1"/>
    <col min="19" max="19" width="13.28515625" style="68" customWidth="1"/>
    <col min="20" max="20" width="9.7109375" style="68" customWidth="1"/>
    <col min="21" max="21" width="9.42578125" style="68" bestFit="1" customWidth="1"/>
    <col min="22" max="22" width="13.7109375" style="106" customWidth="1"/>
    <col min="23" max="23" width="16.85546875" style="107" customWidth="1"/>
    <col min="24" max="24" width="11.140625" style="107" customWidth="1"/>
    <col min="25" max="26" width="11" style="68" customWidth="1"/>
    <col min="27" max="27" width="13" style="68" customWidth="1"/>
    <col min="28" max="29" width="13.140625" style="68" customWidth="1"/>
    <col min="30" max="16384" width="9.140625" style="68"/>
  </cols>
  <sheetData>
    <row r="1" spans="1:29" ht="27.75" customHeight="1" thickBot="1" x14ac:dyDescent="0.3">
      <c r="A1" s="69" t="s">
        <v>10</v>
      </c>
    </row>
    <row r="2" spans="1:29" ht="15.75" customHeight="1" thickBot="1" x14ac:dyDescent="0.3">
      <c r="B2" s="69"/>
      <c r="D2" s="339" t="s">
        <v>90</v>
      </c>
      <c r="E2" s="340"/>
      <c r="F2" s="340"/>
      <c r="G2" s="340"/>
      <c r="H2" s="340"/>
      <c r="I2" s="340"/>
      <c r="J2" s="341"/>
      <c r="K2" s="339" t="s">
        <v>91</v>
      </c>
      <c r="L2" s="340"/>
      <c r="M2" s="340"/>
      <c r="N2" s="340"/>
      <c r="O2" s="340"/>
      <c r="P2" s="340"/>
      <c r="Q2" s="340"/>
      <c r="R2" s="340"/>
      <c r="S2" s="340"/>
      <c r="T2" s="340"/>
      <c r="U2" s="341"/>
    </row>
    <row r="3" spans="1:29" ht="27.75" customHeight="1" x14ac:dyDescent="0.25">
      <c r="A3" s="297" t="s">
        <v>92</v>
      </c>
      <c r="B3" s="347" t="s">
        <v>93</v>
      </c>
      <c r="C3" s="349" t="s">
        <v>28</v>
      </c>
      <c r="D3" s="281" t="s">
        <v>30</v>
      </c>
      <c r="E3" s="276"/>
      <c r="F3" s="276" t="s">
        <v>31</v>
      </c>
      <c r="G3" s="276"/>
      <c r="H3" s="276" t="s">
        <v>32</v>
      </c>
      <c r="I3" s="265"/>
      <c r="J3" s="298" t="s">
        <v>94</v>
      </c>
      <c r="K3" s="108" t="s">
        <v>168</v>
      </c>
      <c r="L3" s="24" t="s">
        <v>169</v>
      </c>
      <c r="M3" s="265" t="s">
        <v>95</v>
      </c>
      <c r="N3" s="266"/>
      <c r="O3" s="24" t="s">
        <v>96</v>
      </c>
      <c r="P3" s="265" t="s">
        <v>34</v>
      </c>
      <c r="Q3" s="266"/>
      <c r="R3" s="265" t="s">
        <v>31</v>
      </c>
      <c r="S3" s="266"/>
      <c r="T3" s="265" t="s">
        <v>32</v>
      </c>
      <c r="U3" s="354"/>
      <c r="V3" s="297" t="s">
        <v>97</v>
      </c>
      <c r="W3" s="342" t="s">
        <v>98</v>
      </c>
      <c r="X3" s="342" t="s">
        <v>99</v>
      </c>
      <c r="Y3" s="342" t="s">
        <v>100</v>
      </c>
      <c r="Z3" s="342"/>
      <c r="AA3" s="342" t="s">
        <v>101</v>
      </c>
      <c r="AB3" s="342" t="s">
        <v>102</v>
      </c>
      <c r="AC3" s="298"/>
    </row>
    <row r="4" spans="1:29" ht="34.5" x14ac:dyDescent="0.25">
      <c r="A4" s="299"/>
      <c r="B4" s="348"/>
      <c r="C4" s="345"/>
      <c r="D4" s="282" t="s">
        <v>152</v>
      </c>
      <c r="E4" s="351"/>
      <c r="F4" s="283" t="s">
        <v>153</v>
      </c>
      <c r="G4" s="351"/>
      <c r="H4" s="283" t="s">
        <v>154</v>
      </c>
      <c r="I4" s="352"/>
      <c r="J4" s="300"/>
      <c r="K4" s="109" t="s">
        <v>103</v>
      </c>
      <c r="L4" s="110" t="s">
        <v>170</v>
      </c>
      <c r="M4" s="345" t="s">
        <v>104</v>
      </c>
      <c r="N4" s="346"/>
      <c r="O4" s="110" t="s">
        <v>105</v>
      </c>
      <c r="P4" s="345" t="s">
        <v>155</v>
      </c>
      <c r="Q4" s="346"/>
      <c r="R4" s="345" t="s">
        <v>171</v>
      </c>
      <c r="S4" s="346"/>
      <c r="T4" s="345" t="s">
        <v>172</v>
      </c>
      <c r="U4" s="353"/>
      <c r="V4" s="299"/>
      <c r="W4" s="343"/>
      <c r="X4" s="343"/>
      <c r="Y4" s="343"/>
      <c r="Z4" s="343"/>
      <c r="AA4" s="343"/>
      <c r="AB4" s="343"/>
      <c r="AC4" s="300"/>
    </row>
    <row r="5" spans="1:29" ht="48" thickBot="1" x14ac:dyDescent="0.3">
      <c r="A5" s="299"/>
      <c r="B5" s="348"/>
      <c r="C5" s="345"/>
      <c r="D5" s="111" t="s">
        <v>106</v>
      </c>
      <c r="E5" s="112" t="s">
        <v>40</v>
      </c>
      <c r="F5" s="112" t="s">
        <v>106</v>
      </c>
      <c r="G5" s="112" t="s">
        <v>40</v>
      </c>
      <c r="H5" s="112" t="s">
        <v>106</v>
      </c>
      <c r="I5" s="113" t="s">
        <v>40</v>
      </c>
      <c r="J5" s="300"/>
      <c r="K5" s="114"/>
      <c r="L5" s="112"/>
      <c r="M5" s="112" t="s">
        <v>106</v>
      </c>
      <c r="N5" s="112" t="s">
        <v>40</v>
      </c>
      <c r="O5" s="112"/>
      <c r="P5" s="112" t="s">
        <v>106</v>
      </c>
      <c r="Q5" s="112" t="s">
        <v>40</v>
      </c>
      <c r="R5" s="112" t="s">
        <v>106</v>
      </c>
      <c r="S5" s="112" t="s">
        <v>40</v>
      </c>
      <c r="T5" s="112" t="s">
        <v>106</v>
      </c>
      <c r="U5" s="113" t="s">
        <v>40</v>
      </c>
      <c r="V5" s="350"/>
      <c r="W5" s="344"/>
      <c r="X5" s="344"/>
      <c r="Y5" s="115" t="s">
        <v>107</v>
      </c>
      <c r="Z5" s="115" t="s">
        <v>108</v>
      </c>
      <c r="AA5" s="344"/>
      <c r="AB5" s="115" t="s">
        <v>107</v>
      </c>
      <c r="AC5" s="115" t="s">
        <v>108</v>
      </c>
    </row>
    <row r="6" spans="1:29" ht="78.75" x14ac:dyDescent="0.25">
      <c r="A6" s="116">
        <v>1</v>
      </c>
      <c r="B6" s="117" t="s">
        <v>109</v>
      </c>
      <c r="C6" s="118" t="s">
        <v>35</v>
      </c>
      <c r="D6" s="119">
        <v>1.89</v>
      </c>
      <c r="E6" s="120">
        <v>0.89</v>
      </c>
      <c r="F6" s="121">
        <f>IFERROR(Inhal_Abs*D6*HLOOKUP(Dashboard!$D$4,'Exposure Factors'!$C$3:$E$8,2,FALSE)*$X6/HLOOKUP(Dashboard!$D$4,'Exposure Factors'!$C$3:$E$8,3,FALSE),"")</f>
        <v>0.23624999999999999</v>
      </c>
      <c r="G6" s="121">
        <f>IFERROR(Inhal_Abs*E6*HLOOKUP(Dashboard!$D$4,'Exposure Factors'!$C$3:$E$8,2,FALSE)*$X6/HLOOKUP(Dashboard!$D$4,'Exposure Factors'!$C$3:$E$8,3,FALSE),"")</f>
        <v>0.11125</v>
      </c>
      <c r="H6" s="121">
        <f>IFERROR(F6*$AB6*HLOOKUP(Dashboard!$D$4,'Exposure Factors'!$C$3:$E$8,5,FALSE)/(365*HLOOKUP(Dashboard!$D$4,'Exposure Factors'!$C$3:$E$8,5,FALSE)),"")</f>
        <v>0.16181506849315069</v>
      </c>
      <c r="I6" s="122">
        <f>IFERROR(G6*$AC6*HLOOKUP(Dashboard!$D$4,'Exposure Factors'!$C$3:$E$8,6,FALSE)/(365*HLOOKUP(Dashboard!$D$4,'Exposure Factors'!$C$3:$E$8,6,FALSE)),"")</f>
        <v>4.2671232876712331E-2</v>
      </c>
      <c r="J6" s="123" t="s">
        <v>110</v>
      </c>
      <c r="K6" s="124">
        <v>1</v>
      </c>
      <c r="L6" s="125"/>
      <c r="M6" s="126">
        <v>3100</v>
      </c>
      <c r="N6" s="126">
        <v>900</v>
      </c>
      <c r="O6" s="126">
        <v>1</v>
      </c>
      <c r="P6" s="126">
        <f>IF(ISNUMBER(M6),K6*M6*O6,"")</f>
        <v>3100</v>
      </c>
      <c r="Q6" s="126">
        <f>IF(ISNUMBER(N6),K6*N6*O6,"")</f>
        <v>900</v>
      </c>
      <c r="R6" s="127">
        <f>IF(ISNUMBER(M6),(Dermal_Abs*K6*M6*O6/HLOOKUP(Dashboard!$D$4,'Exposure Factors'!$C$3:$E$8,3,FALSE)),"")</f>
        <v>2.5187499999999998</v>
      </c>
      <c r="S6" s="127">
        <f>IF(ISNUMBER(N6),(Dermal_Abs*K6*N6*O6/HLOOKUP(Dashboard!$D$4,'Exposure Factors'!$C$3:$E$8,3,FALSE)),"")</f>
        <v>0.73124999999999996</v>
      </c>
      <c r="T6" s="128">
        <f>IFERROR($R6*$AB6*HLOOKUP(Dashboard!$D$4,'Exposure Factors'!$C$3:$E$8,5,FALSE)/(365*HLOOKUP(Dashboard!$D$4,'Exposure Factors'!$C$3:$E$8,5,FALSE)),"")</f>
        <v>1.7251712328767124</v>
      </c>
      <c r="U6" s="129">
        <f>IFERROR($S6*$AC6*HLOOKUP(Dashboard!$D$4,'Exposure Factors'!$C$3:$E$8,6,FALSE)/(365*HLOOKUP(Dashboard!$D$4,'Exposure Factors'!$C$3:$E$8,6,FALSE)),"")</f>
        <v>0.28047945205479452</v>
      </c>
      <c r="V6" s="130">
        <v>10</v>
      </c>
      <c r="W6" s="131"/>
      <c r="X6" s="132">
        <v>8</v>
      </c>
      <c r="Y6" s="133">
        <v>250</v>
      </c>
      <c r="Z6" s="133">
        <f>ROUNDUP(MEDIAN(29,250), 0)</f>
        <v>140</v>
      </c>
      <c r="AA6" s="134">
        <v>1</v>
      </c>
      <c r="AB6" s="134">
        <f>Y6*AA6</f>
        <v>250</v>
      </c>
      <c r="AC6" s="135">
        <f>Z6*AA6</f>
        <v>140</v>
      </c>
    </row>
    <row r="7" spans="1:29" ht="31.5" x14ac:dyDescent="0.25">
      <c r="A7" s="116">
        <v>1</v>
      </c>
      <c r="B7" s="117" t="s">
        <v>109</v>
      </c>
      <c r="C7" s="118" t="s">
        <v>39</v>
      </c>
      <c r="D7" s="136" t="s">
        <v>111</v>
      </c>
      <c r="E7" s="137" t="s">
        <v>111</v>
      </c>
      <c r="F7" s="121" t="str">
        <f>IFERROR(Inhal_Abs*D7*HLOOKUP(Dashboard!$D$4,'Exposure Factors'!$C$3:$E$8,2,FALSE)*$X7/HLOOKUP(Dashboard!$D$4,'Exposure Factors'!$C$3:$E$8,3,FALSE),"")</f>
        <v/>
      </c>
      <c r="G7" s="121" t="str">
        <f>IFERROR(Inhal_Abs*E7*HLOOKUP(Dashboard!$D$4,'Exposure Factors'!$C$3:$E$8,2,FALSE)*$X7/HLOOKUP(Dashboard!$D$4,'Exposure Factors'!$C$3:$E$8,3,FALSE),"")</f>
        <v/>
      </c>
      <c r="H7" s="121" t="str">
        <f>IFERROR(F7*$AB7*HLOOKUP(Dashboard!$D$4,'Exposure Factors'!$C$3:$E$8,5,FALSE)/(365*HLOOKUP(Dashboard!$D$4,'Exposure Factors'!$C$3:$E$8,5,FALSE)),"")</f>
        <v/>
      </c>
      <c r="I7" s="122" t="str">
        <f>IFERROR(G7*$AB7*HLOOKUP(Dashboard!$D$4,'Exposure Factors'!$C$3:$E$8,6,FALSE)/(365*HLOOKUP(Dashboard!$D$4,'Exposure Factors'!$C$3:$E$8,6,FALSE)),"")</f>
        <v/>
      </c>
      <c r="J7" s="123"/>
      <c r="K7" s="124"/>
      <c r="L7" s="125"/>
      <c r="M7" s="126"/>
      <c r="N7" s="126"/>
      <c r="O7" s="126"/>
      <c r="P7" s="126"/>
      <c r="Q7" s="126"/>
      <c r="R7" s="127"/>
      <c r="S7" s="127"/>
      <c r="T7" s="128"/>
      <c r="U7" s="129"/>
      <c r="V7" s="116"/>
      <c r="W7" s="138"/>
      <c r="X7" s="139"/>
      <c r="Y7" s="140"/>
      <c r="Z7" s="140"/>
      <c r="AA7" s="140"/>
      <c r="AB7" s="140"/>
      <c r="AC7" s="141"/>
    </row>
    <row r="8" spans="1:29" ht="110.25" x14ac:dyDescent="0.25">
      <c r="A8" s="116">
        <v>2</v>
      </c>
      <c r="B8" s="117" t="s">
        <v>112</v>
      </c>
      <c r="C8" s="142" t="s">
        <v>35</v>
      </c>
      <c r="D8" s="119">
        <v>2.5</v>
      </c>
      <c r="E8" s="120">
        <v>1.25</v>
      </c>
      <c r="F8" s="121">
        <f>IFERROR(Inhal_Abs*D8*HLOOKUP(Dashboard!$D$4,'Exposure Factors'!$C$3:$E$8,2,FALSE)*$X8/HLOOKUP(Dashboard!$D$4,'Exposure Factors'!$C$3:$E$8,3,FALSE),"")</f>
        <v>0.3125</v>
      </c>
      <c r="G8" s="121">
        <f>IFERROR(Inhal_Abs*E8*HLOOKUP(Dashboard!$D$4,'Exposure Factors'!$C$3:$E$8,2,FALSE)*$X8/HLOOKUP(Dashboard!$D$4,'Exposure Factors'!$C$3:$E$8,3,FALSE),"")</f>
        <v>0.15625</v>
      </c>
      <c r="H8" s="121">
        <f>IFERROR(F8*$AB8*HLOOKUP(Dashboard!$D$4,'Exposure Factors'!$C$3:$E$8,5,FALSE)/(365*HLOOKUP(Dashboard!$D$4,'Exposure Factors'!$C$3:$E$8,5,FALSE)),"")</f>
        <v>5.1369863013698627E-2</v>
      </c>
      <c r="I8" s="122">
        <f>IFERROR(G8*$AC8*HLOOKUP(Dashboard!$D$4,'Exposure Factors'!$C$3:$E$8,6,FALSE)/(365*HLOOKUP(Dashboard!$D$4,'Exposure Factors'!$C$3:$E$8,6,FALSE)),"")</f>
        <v>1.4982876712328766E-2</v>
      </c>
      <c r="J8" s="123" t="s">
        <v>113</v>
      </c>
      <c r="K8" s="124">
        <v>1</v>
      </c>
      <c r="L8" s="143"/>
      <c r="M8" s="126">
        <v>3100</v>
      </c>
      <c r="N8" s="126">
        <v>900</v>
      </c>
      <c r="O8" s="126">
        <v>1</v>
      </c>
      <c r="P8" s="126">
        <f>IF(ISNUMBER(M8),K8*M8*O8,"")</f>
        <v>3100</v>
      </c>
      <c r="Q8" s="126">
        <f>IF(ISNUMBER(N8),K8*N8*O8,"")</f>
        <v>900</v>
      </c>
      <c r="R8" s="127">
        <f>IF(ISNUMBER(M8),(Dermal_Abs*K8*M8*O8/HLOOKUP(Dashboard!$D$4,'Exposure Factors'!$C$3:$E$8,3,FALSE)),"")</f>
        <v>2.5187499999999998</v>
      </c>
      <c r="S8" s="127">
        <f>IF(ISNUMBER(N8),(Dermal_Abs*K8*N8*O8/HLOOKUP(Dashboard!$D$4,'Exposure Factors'!$C$3:$E$8,3,FALSE)),"")</f>
        <v>0.73124999999999996</v>
      </c>
      <c r="T8" s="128">
        <f>IFERROR($R8*$AB8*HLOOKUP(Dashboard!$D$4,'Exposure Factors'!$C$3:$E$8,5,FALSE)/(365*HLOOKUP(Dashboard!$D$4,'Exposure Factors'!$C$3:$E$8,5,FALSE)),"")</f>
        <v>0.41404109589041094</v>
      </c>
      <c r="U8" s="129">
        <f>IFERROR($S8*$AC8*HLOOKUP(Dashboard!$D$4,'Exposure Factors'!$C$3:$E$8,6,FALSE)/(365*HLOOKUP(Dashboard!$D$4,'Exposure Factors'!$C$3:$E$8,6,FALSE)),"")</f>
        <v>7.011986301369863E-2</v>
      </c>
      <c r="V8" s="144" t="s">
        <v>114</v>
      </c>
      <c r="W8" s="138"/>
      <c r="X8" s="139">
        <v>8</v>
      </c>
      <c r="Y8" s="145">
        <v>60</v>
      </c>
      <c r="Z8" s="145">
        <f>ROUNDUP(MEDIAN(10,60), 0)</f>
        <v>35</v>
      </c>
      <c r="AA8" s="140">
        <v>1</v>
      </c>
      <c r="AB8" s="140">
        <f>Y8*AA8</f>
        <v>60</v>
      </c>
      <c r="AC8" s="141">
        <f>Z8*AA8</f>
        <v>35</v>
      </c>
    </row>
    <row r="9" spans="1:29" ht="47.25" x14ac:dyDescent="0.25">
      <c r="A9" s="116">
        <v>2</v>
      </c>
      <c r="B9" s="117" t="s">
        <v>112</v>
      </c>
      <c r="C9" s="142" t="s">
        <v>39</v>
      </c>
      <c r="D9" s="119" t="s">
        <v>111</v>
      </c>
      <c r="E9" s="120" t="s">
        <v>111</v>
      </c>
      <c r="F9" s="121" t="str">
        <f>IFERROR(Inhal_Abs*D9*HLOOKUP(Dashboard!$D$4,'Exposure Factors'!$C$3:$E$8,2,FALSE)*$X9/HLOOKUP(Dashboard!$D$4,'Exposure Factors'!$C$3:$E$8,3,FALSE),"")</f>
        <v/>
      </c>
      <c r="G9" s="121" t="str">
        <f>IFERROR(Inhal_Abs*E9*HLOOKUP(Dashboard!$D$4,'Exposure Factors'!$C$3:$E$8,2,FALSE)*$X9/HLOOKUP(Dashboard!$D$4,'Exposure Factors'!$C$3:$E$8,3,FALSE),"")</f>
        <v/>
      </c>
      <c r="H9" s="121" t="str">
        <f>IFERROR(F9*$AB9*HLOOKUP(Dashboard!$D$4,'Exposure Factors'!$C$3:$E$8,5,FALSE)/(365*HLOOKUP(Dashboard!$D$4,'Exposure Factors'!$C$3:$E$8,5,FALSE)),"")</f>
        <v/>
      </c>
      <c r="I9" s="122" t="str">
        <f>IFERROR(G9*$AB9*HLOOKUP(Dashboard!$D$4,'Exposure Factors'!$C$3:$E$8,6,FALSE)/(365*HLOOKUP(Dashboard!$D$4,'Exposure Factors'!$C$3:$E$8,6,FALSE)),"")</f>
        <v/>
      </c>
      <c r="J9" s="123"/>
      <c r="K9" s="124"/>
      <c r="L9" s="143"/>
      <c r="M9" s="126"/>
      <c r="N9" s="126"/>
      <c r="O9" s="126"/>
      <c r="P9" s="126"/>
      <c r="Q9" s="126"/>
      <c r="R9" s="127"/>
      <c r="S9" s="127"/>
      <c r="T9" s="128"/>
      <c r="U9" s="129"/>
      <c r="V9" s="116"/>
      <c r="W9" s="138"/>
      <c r="X9" s="139"/>
      <c r="Y9" s="140"/>
      <c r="Z9" s="140"/>
      <c r="AA9" s="140"/>
      <c r="AB9" s="140"/>
      <c r="AC9" s="141"/>
    </row>
    <row r="10" spans="1:29" ht="78.75" x14ac:dyDescent="0.25">
      <c r="A10" s="116">
        <v>3</v>
      </c>
      <c r="B10" s="117" t="s">
        <v>115</v>
      </c>
      <c r="C10" s="118" t="s">
        <v>35</v>
      </c>
      <c r="D10" s="119">
        <v>0.22</v>
      </c>
      <c r="E10" s="120">
        <v>0.08</v>
      </c>
      <c r="F10" s="121">
        <f>IFERROR(Inhal_Abs*D10*HLOOKUP(Dashboard!$D$4,'Exposure Factors'!$C$3:$E$8,2,FALSE)*$X10/HLOOKUP(Dashboard!$D$4,'Exposure Factors'!$C$3:$E$8,3,FALSE),"")</f>
        <v>2.7500000000000004E-2</v>
      </c>
      <c r="G10" s="121">
        <f>IFERROR(Inhal_Abs*E10*HLOOKUP(Dashboard!$D$4,'Exposure Factors'!$C$3:$E$8,2,FALSE)*$X10/HLOOKUP(Dashboard!$D$4,'Exposure Factors'!$C$3:$E$8,3,FALSE),"")</f>
        <v>0.01</v>
      </c>
      <c r="H10" s="121">
        <f>IFERROR(F10*$AB10*HLOOKUP(Dashboard!$D$4,'Exposure Factors'!$C$3:$E$8,5,FALSE)/(365*HLOOKUP(Dashboard!$D$4,'Exposure Factors'!$C$3:$E$8,5,FALSE)),"")</f>
        <v>1.2054794520547946E-3</v>
      </c>
      <c r="I10" s="122">
        <f>IFERROR(G10*$AC10*HLOOKUP(Dashboard!$D$4,'Exposure Factors'!$C$3:$E$8,6,FALSE)/(365*HLOOKUP(Dashboard!$D$4,'Exposure Factors'!$C$3:$E$8,6,FALSE)),"")</f>
        <v>2.4657534246575342E-4</v>
      </c>
      <c r="J10" s="123" t="s">
        <v>116</v>
      </c>
      <c r="K10" s="124">
        <v>0.7</v>
      </c>
      <c r="L10" s="143"/>
      <c r="M10" s="126">
        <v>3100</v>
      </c>
      <c r="N10" s="126">
        <v>900</v>
      </c>
      <c r="O10" s="126">
        <v>1</v>
      </c>
      <c r="P10" s="126">
        <f>IF(ISNUMBER(M10),K10*M10*O10,"")</f>
        <v>2170</v>
      </c>
      <c r="Q10" s="126">
        <f>IF(ISNUMBER(N10),K10*N10*O10,"")</f>
        <v>630</v>
      </c>
      <c r="R10" s="127">
        <f>IF(ISNUMBER(M10),(Dermal_Abs*K10*M10*O10/HLOOKUP(Dashboard!$D$4,'Exposure Factors'!$C$3:$E$8,3,FALSE)),"")</f>
        <v>1.7631249999999998</v>
      </c>
      <c r="S10" s="127">
        <f>IF(ISNUMBER(N10),(Dermal_Abs*K10*N10*O10/HLOOKUP(Dashboard!$D$4,'Exposure Factors'!$C$3:$E$8,3,FALSE)),"")</f>
        <v>0.51187499999999997</v>
      </c>
      <c r="T10" s="128">
        <f>IFERROR($R10*$AB10*HLOOKUP(Dashboard!$D$4,'Exposure Factors'!$C$3:$E$8,5,FALSE)/(365*HLOOKUP(Dashboard!$D$4,'Exposure Factors'!$C$3:$E$8,5,FALSE)),"")</f>
        <v>7.7287671232876706E-2</v>
      </c>
      <c r="U10" s="129">
        <f>IFERROR($S10*$AC10*HLOOKUP(Dashboard!$D$4,'Exposure Factors'!$C$3:$E$8,6,FALSE)/(365*HLOOKUP(Dashboard!$D$4,'Exposure Factors'!$C$3:$E$8,6,FALSE)),"")</f>
        <v>1.2621575342465751E-2</v>
      </c>
      <c r="V10" s="116">
        <v>9</v>
      </c>
      <c r="W10" s="138"/>
      <c r="X10" s="139">
        <v>8</v>
      </c>
      <c r="Y10" s="145">
        <v>16</v>
      </c>
      <c r="Z10" s="145">
        <f>ROUNDUP(MEDIAN(1,16), 0)</f>
        <v>9</v>
      </c>
      <c r="AA10" s="140">
        <v>1</v>
      </c>
      <c r="AB10" s="140">
        <f>Y10*AA10</f>
        <v>16</v>
      </c>
      <c r="AC10" s="141">
        <f>Z10*AA10</f>
        <v>9</v>
      </c>
    </row>
    <row r="11" spans="1:29" ht="31.5" x14ac:dyDescent="0.25">
      <c r="A11" s="116">
        <v>3</v>
      </c>
      <c r="B11" s="117" t="s">
        <v>115</v>
      </c>
      <c r="C11" s="118" t="s">
        <v>39</v>
      </c>
      <c r="D11" s="119" t="s">
        <v>111</v>
      </c>
      <c r="E11" s="120" t="s">
        <v>111</v>
      </c>
      <c r="F11" s="121" t="str">
        <f>IFERROR(Inhal_Abs*D11*HLOOKUP(Dashboard!$D$4,'Exposure Factors'!$C$3:$E$8,2,FALSE)*$X11/HLOOKUP(Dashboard!$D$4,'Exposure Factors'!$C$3:$E$8,3,FALSE),"")</f>
        <v/>
      </c>
      <c r="G11" s="121" t="str">
        <f>IFERROR(Inhal_Abs*E11*HLOOKUP(Dashboard!$D$4,'Exposure Factors'!$C$3:$E$8,2,FALSE)*$X11/HLOOKUP(Dashboard!$D$4,'Exposure Factors'!$C$3:$E$8,3,FALSE),"")</f>
        <v/>
      </c>
      <c r="H11" s="121" t="str">
        <f>IFERROR(F11*$AB11*HLOOKUP(Dashboard!$D$4,'Exposure Factors'!$C$3:$E$8,5,FALSE)/(365*HLOOKUP(Dashboard!$D$4,'Exposure Factors'!$C$3:$E$8,5,FALSE)),"")</f>
        <v/>
      </c>
      <c r="I11" s="122" t="str">
        <f>IFERROR(G11*$AB11*HLOOKUP(Dashboard!$D$4,'Exposure Factors'!$C$3:$E$8,6,FALSE)/(365*HLOOKUP(Dashboard!$D$4,'Exposure Factors'!$C$3:$E$8,6,FALSE)),"")</f>
        <v/>
      </c>
      <c r="J11" s="123"/>
      <c r="K11" s="124"/>
      <c r="L11" s="143"/>
      <c r="M11" s="126"/>
      <c r="N11" s="126"/>
      <c r="O11" s="126"/>
      <c r="P11" s="126"/>
      <c r="Q11" s="126"/>
      <c r="R11" s="127"/>
      <c r="S11" s="127"/>
      <c r="T11" s="128"/>
      <c r="U11" s="129"/>
      <c r="V11" s="116"/>
      <c r="W11" s="138"/>
      <c r="X11" s="139"/>
      <c r="Y11" s="140"/>
      <c r="Z11" s="140"/>
      <c r="AA11" s="140"/>
      <c r="AB11" s="140"/>
      <c r="AC11" s="141"/>
    </row>
    <row r="12" spans="1:29" ht="110.25" x14ac:dyDescent="0.25">
      <c r="A12" s="116">
        <v>4</v>
      </c>
      <c r="B12" s="117" t="s">
        <v>117</v>
      </c>
      <c r="C12" s="142" t="s">
        <v>35</v>
      </c>
      <c r="D12" s="119">
        <v>2.5</v>
      </c>
      <c r="E12" s="120">
        <v>1.25</v>
      </c>
      <c r="F12" s="121">
        <f>IFERROR(Inhal_Abs*D12*HLOOKUP(Dashboard!$D$4,'Exposure Factors'!$C$3:$E$8,2,FALSE)*$X12/HLOOKUP(Dashboard!$D$4,'Exposure Factors'!$C$3:$E$8,3,FALSE),"")</f>
        <v>0.3125</v>
      </c>
      <c r="G12" s="121">
        <f>IFERROR(Inhal_Abs*E12*HLOOKUP(Dashboard!$D$4,'Exposure Factors'!$C$3:$E$8,2,FALSE)*$X12/HLOOKUP(Dashboard!$D$4,'Exposure Factors'!$C$3:$E$8,3,FALSE),"")</f>
        <v>0.15625</v>
      </c>
      <c r="H12" s="121">
        <f>IFERROR(F12*$AB12*HLOOKUP(Dashboard!$D$4,'Exposure Factors'!$C$3:$E$8,5,FALSE)/(365*HLOOKUP(Dashboard!$D$4,'Exposure Factors'!$C$3:$E$8,5,FALSE)),"")</f>
        <v>1.3698630136986301E-2</v>
      </c>
      <c r="I12" s="122">
        <f>IFERROR(G12*$AC12*HLOOKUP(Dashboard!$D$4,'Exposure Factors'!$C$3:$E$8,6,FALSE)/(365*HLOOKUP(Dashboard!$D$4,'Exposure Factors'!$C$3:$E$8,6,FALSE)),"")</f>
        <v>3.852739726027397E-3</v>
      </c>
      <c r="J12" s="123" t="s">
        <v>113</v>
      </c>
      <c r="K12" s="124">
        <v>1</v>
      </c>
      <c r="L12" s="125"/>
      <c r="M12" s="126">
        <v>3100</v>
      </c>
      <c r="N12" s="126">
        <v>900</v>
      </c>
      <c r="O12" s="126">
        <v>1</v>
      </c>
      <c r="P12" s="126">
        <f>IF(ISNUMBER(M12),K12*M12*O12,"")</f>
        <v>3100</v>
      </c>
      <c r="Q12" s="126">
        <f>IF(ISNUMBER(N12),K12*N12*O12,"")</f>
        <v>900</v>
      </c>
      <c r="R12" s="127">
        <f>IF(ISNUMBER(M12),(Dermal_Abs*K12*M12*O12/HLOOKUP(Dashboard!$D$4,'Exposure Factors'!$C$3:$E$8,3,FALSE)),"")</f>
        <v>2.5187499999999998</v>
      </c>
      <c r="S12" s="127">
        <f>IF(ISNUMBER(N12),(Dermal_Abs*K12*N12*O12/HLOOKUP(Dashboard!$D$4,'Exposure Factors'!$C$3:$E$8,3,FALSE)),"")</f>
        <v>0.73124999999999996</v>
      </c>
      <c r="T12" s="128">
        <f>IFERROR($R12*$AB12*HLOOKUP(Dashboard!$D$4,'Exposure Factors'!$C$3:$E$8,5,FALSE)/(365*HLOOKUP(Dashboard!$D$4,'Exposure Factors'!$C$3:$E$8,5,FALSE)),"")</f>
        <v>0.11041095890410958</v>
      </c>
      <c r="U12" s="129">
        <f>IFERROR($S12*$AC12*HLOOKUP(Dashboard!$D$4,'Exposure Factors'!$C$3:$E$8,6,FALSE)/(365*HLOOKUP(Dashboard!$D$4,'Exposure Factors'!$C$3:$E$8,6,FALSE)),"")</f>
        <v>1.8030821917808217E-2</v>
      </c>
      <c r="V12" s="144" t="s">
        <v>114</v>
      </c>
      <c r="W12" s="138"/>
      <c r="X12" s="139">
        <v>8</v>
      </c>
      <c r="Y12" s="145">
        <v>16</v>
      </c>
      <c r="Z12" s="145">
        <f>ROUNDUP(MEDIAN(1,16), 0)</f>
        <v>9</v>
      </c>
      <c r="AA12" s="140">
        <v>1</v>
      </c>
      <c r="AB12" s="140">
        <f>Y12*AA12</f>
        <v>16</v>
      </c>
      <c r="AC12" s="141">
        <f>Z12*AA12</f>
        <v>9</v>
      </c>
    </row>
    <row r="13" spans="1:29" ht="31.5" x14ac:dyDescent="0.25">
      <c r="A13" s="116">
        <v>4</v>
      </c>
      <c r="B13" s="117" t="s">
        <v>117</v>
      </c>
      <c r="C13" s="142" t="s">
        <v>39</v>
      </c>
      <c r="D13" s="119" t="s">
        <v>111</v>
      </c>
      <c r="E13" s="120" t="s">
        <v>111</v>
      </c>
      <c r="F13" s="121" t="str">
        <f>IFERROR(Inhal_Abs*D13*HLOOKUP(Dashboard!$D$4,'Exposure Factors'!$C$3:$E$8,2,FALSE)*$X13/HLOOKUP(Dashboard!$D$4,'Exposure Factors'!$C$3:$E$8,3,FALSE),"")</f>
        <v/>
      </c>
      <c r="G13" s="121" t="str">
        <f>IFERROR(Inhal_Abs*E13*HLOOKUP(Dashboard!$D$4,'Exposure Factors'!$C$3:$E$8,2,FALSE)*$X13/HLOOKUP(Dashboard!$D$4,'Exposure Factors'!$C$3:$E$8,3,FALSE),"")</f>
        <v/>
      </c>
      <c r="H13" s="121" t="str">
        <f>IFERROR(F13*$AB13*HLOOKUP(Dashboard!$D$4,'Exposure Factors'!$C$3:$E$8,5,FALSE)/(365*HLOOKUP(Dashboard!$D$4,'Exposure Factors'!$C$3:$E$8,5,FALSE)),"")</f>
        <v/>
      </c>
      <c r="I13" s="122" t="str">
        <f>IFERROR(G13*$AB13*HLOOKUP(Dashboard!$D$4,'Exposure Factors'!$C$3:$E$8,6,FALSE)/(365*HLOOKUP(Dashboard!$D$4,'Exposure Factors'!$C$3:$E$8,6,FALSE)),"")</f>
        <v/>
      </c>
      <c r="J13" s="123"/>
      <c r="K13" s="124"/>
      <c r="L13" s="143"/>
      <c r="M13" s="126"/>
      <c r="N13" s="126"/>
      <c r="O13" s="126"/>
      <c r="P13" s="126"/>
      <c r="Q13" s="126"/>
      <c r="R13" s="127"/>
      <c r="S13" s="127"/>
      <c r="T13" s="128"/>
      <c r="U13" s="129"/>
      <c r="V13" s="116"/>
      <c r="W13" s="138"/>
      <c r="X13" s="139"/>
      <c r="Y13" s="140"/>
      <c r="Z13" s="140"/>
      <c r="AA13" s="140"/>
      <c r="AB13" s="140"/>
      <c r="AC13" s="141"/>
    </row>
    <row r="14" spans="1:29" ht="78.75" x14ac:dyDescent="0.25">
      <c r="A14" s="116">
        <v>5</v>
      </c>
      <c r="B14" s="117" t="s">
        <v>118</v>
      </c>
      <c r="C14" s="142" t="s">
        <v>35</v>
      </c>
      <c r="D14" s="119">
        <v>0.22</v>
      </c>
      <c r="E14" s="120">
        <v>0.08</v>
      </c>
      <c r="F14" s="121">
        <f>IFERROR(Inhal_Abs*D14*HLOOKUP(Dashboard!$D$4,'Exposure Factors'!$C$3:$E$8,2,FALSE)*$X14/HLOOKUP(Dashboard!$D$4,'Exposure Factors'!$C$3:$E$8,3,FALSE),"")</f>
        <v>2.7500000000000004E-2</v>
      </c>
      <c r="G14" s="121">
        <f>IFERROR(Inhal_Abs*E14*HLOOKUP(Dashboard!$D$4,'Exposure Factors'!$C$3:$E$8,2,FALSE)*$X14/HLOOKUP(Dashboard!$D$4,'Exposure Factors'!$C$3:$E$8,3,FALSE),"")</f>
        <v>0.01</v>
      </c>
      <c r="H14" s="121">
        <f>IFERROR(F14*$AB14*HLOOKUP(Dashboard!$D$4,'Exposure Factors'!$C$3:$E$8,5,FALSE)/(365*HLOOKUP(Dashboard!$D$4,'Exposure Factors'!$C$3:$E$8,5,FALSE)),"")</f>
        <v>1.0547945205479454E-2</v>
      </c>
      <c r="I14" s="122">
        <f>IFERROR(G14*$AC14*HLOOKUP(Dashboard!$D$4,'Exposure Factors'!$C$3:$E$8,6,FALSE)/(365*HLOOKUP(Dashboard!$D$4,'Exposure Factors'!$C$3:$E$8,6,FALSE)),"")</f>
        <v>2.1369863013698631E-3</v>
      </c>
      <c r="J14" s="123" t="s">
        <v>116</v>
      </c>
      <c r="K14" s="146">
        <v>7.0000000000000001E-3</v>
      </c>
      <c r="L14" s="143"/>
      <c r="M14" s="126"/>
      <c r="N14" s="126"/>
      <c r="O14" s="126"/>
      <c r="P14" s="126" t="str">
        <f>IF(ISNUMBER(M14),K14*M14*O14,"")</f>
        <v/>
      </c>
      <c r="Q14" s="126"/>
      <c r="R14" s="126" t="str">
        <f>IF(ISNUMBER(M14),(Dermal_Abs*K14*M14*O14/HLOOKUP(Dashboard!$D$4,'Exposure Factors'!$C$3:$E$8,3,FALSE)),"")</f>
        <v/>
      </c>
      <c r="S14" s="126"/>
      <c r="T14" s="126" t="str">
        <f>IFERROR($R14*$AB14*HLOOKUP(Dashboard!$D$4,'Exposure Factors'!$C$3:$E$8,5,FALSE)/(365*HLOOKUP(Dashboard!$D$4,'Exposure Factors'!$C$3:$E$8,5,FALSE)),"")</f>
        <v/>
      </c>
      <c r="U14" s="147" t="str">
        <f>IFERROR($R14*$AB14*HLOOKUP(Dashboard!$D$4,'Exposure Factors'!$C$3:$E$8,6,FALSE)/(365*HLOOKUP(Dashboard!$D$4,'Exposure Factors'!$C$3:$E$8,6,FALSE)),"")</f>
        <v/>
      </c>
      <c r="V14" s="116">
        <v>9</v>
      </c>
      <c r="W14" s="138"/>
      <c r="X14" s="139">
        <v>8</v>
      </c>
      <c r="Y14" s="145">
        <v>140</v>
      </c>
      <c r="Z14" s="145">
        <f>ROUNDUP(MEDIAN(16,140), 0)</f>
        <v>78</v>
      </c>
      <c r="AA14" s="140">
        <v>1</v>
      </c>
      <c r="AB14" s="140">
        <f>Y14*AA14</f>
        <v>140</v>
      </c>
      <c r="AC14" s="141">
        <f>Z14*AA14</f>
        <v>78</v>
      </c>
    </row>
    <row r="15" spans="1:29" ht="47.25" x14ac:dyDescent="0.25">
      <c r="A15" s="116">
        <v>5</v>
      </c>
      <c r="B15" s="117" t="s">
        <v>118</v>
      </c>
      <c r="C15" s="142" t="s">
        <v>39</v>
      </c>
      <c r="D15" s="119" t="s">
        <v>111</v>
      </c>
      <c r="E15" s="120" t="s">
        <v>111</v>
      </c>
      <c r="F15" s="121" t="str">
        <f>IFERROR(Inhal_Abs*D15*HLOOKUP(Dashboard!$D$4,'Exposure Factors'!$C$3:$E$8,2,FALSE)*$X15/HLOOKUP(Dashboard!$D$4,'Exposure Factors'!$C$3:$E$8,3,FALSE),"")</f>
        <v/>
      </c>
      <c r="G15" s="121" t="str">
        <f>IFERROR(Inhal_Abs*E15*HLOOKUP(Dashboard!$D$4,'Exposure Factors'!$C$3:$E$8,2,FALSE)*$X15/HLOOKUP(Dashboard!$D$4,'Exposure Factors'!$C$3:$E$8,3,FALSE),"")</f>
        <v/>
      </c>
      <c r="H15" s="121" t="str">
        <f>IFERROR(F15*$AB15*HLOOKUP(Dashboard!$D$4,'Exposure Factors'!$C$3:$E$8,5,FALSE)/(365*HLOOKUP(Dashboard!$D$4,'Exposure Factors'!$C$3:$E$8,5,FALSE)),"")</f>
        <v/>
      </c>
      <c r="I15" s="122" t="str">
        <f>IFERROR(G15*$AB15*HLOOKUP(Dashboard!$D$4,'Exposure Factors'!$C$3:$E$8,6,FALSE)/(365*HLOOKUP(Dashboard!$D$4,'Exposure Factors'!$C$3:$E$8,6,FALSE)),"")</f>
        <v/>
      </c>
      <c r="J15" s="123"/>
      <c r="K15" s="146"/>
      <c r="L15" s="143"/>
      <c r="M15" s="126"/>
      <c r="N15" s="126"/>
      <c r="O15" s="126"/>
      <c r="P15" s="126"/>
      <c r="Q15" s="126"/>
      <c r="R15" s="126"/>
      <c r="S15" s="126"/>
      <c r="T15" s="126"/>
      <c r="U15" s="147"/>
      <c r="V15" s="116"/>
      <c r="W15" s="138"/>
      <c r="X15" s="139"/>
      <c r="Y15" s="140"/>
      <c r="Z15" s="140"/>
      <c r="AA15" s="140"/>
      <c r="AB15" s="140"/>
      <c r="AC15" s="141"/>
    </row>
    <row r="16" spans="1:29" ht="78.75" x14ac:dyDescent="0.25">
      <c r="A16" s="116">
        <v>6</v>
      </c>
      <c r="B16" s="117" t="s">
        <v>119</v>
      </c>
      <c r="C16" s="118" t="s">
        <v>35</v>
      </c>
      <c r="D16" s="119">
        <v>0.22</v>
      </c>
      <c r="E16" s="120">
        <v>0.08</v>
      </c>
      <c r="F16" s="121">
        <f>IFERROR(Inhal_Abs*D16*HLOOKUP(Dashboard!$D$4,'Exposure Factors'!$C$3:$E$8,2,FALSE)*$X16/HLOOKUP(Dashboard!$D$4,'Exposure Factors'!$C$3:$E$8,3,FALSE),"")</f>
        <v>2.7500000000000004E-2</v>
      </c>
      <c r="G16" s="121">
        <f>IFERROR(Inhal_Abs*E16*HLOOKUP(Dashboard!$D$4,'Exposure Factors'!$C$3:$E$8,2,FALSE)*$X16/HLOOKUP(Dashboard!$D$4,'Exposure Factors'!$C$3:$E$8,3,FALSE),"")</f>
        <v>0.01</v>
      </c>
      <c r="H16" s="121">
        <f>IFERROR(F16*$AB16*HLOOKUP(Dashboard!$D$4,'Exposure Factors'!$C$3:$E$8,5,FALSE)/(365*HLOOKUP(Dashboard!$D$4,'Exposure Factors'!$C$3:$E$8,5,FALSE)),"")</f>
        <v>1.8835616438356167E-2</v>
      </c>
      <c r="I16" s="122">
        <f>IFERROR(G16*$AC16*HLOOKUP(Dashboard!$D$4,'Exposure Factors'!$C$3:$E$8,6,FALSE)/(365*HLOOKUP(Dashboard!$D$4,'Exposure Factors'!$C$3:$E$8,6,FALSE)),"")</f>
        <v>3.6438356164383563E-3</v>
      </c>
      <c r="J16" s="123" t="s">
        <v>116</v>
      </c>
      <c r="K16" s="148">
        <v>0.03</v>
      </c>
      <c r="L16" s="125"/>
      <c r="M16" s="126"/>
      <c r="N16" s="126"/>
      <c r="O16" s="126"/>
      <c r="P16" s="126" t="str">
        <f>IF(ISNUMBER(M16),K16*M16*O16,"")</f>
        <v/>
      </c>
      <c r="Q16" s="126"/>
      <c r="R16" s="126" t="str">
        <f>IF(ISNUMBER(M16),(Dermal_Abs*K16*M16*O16/HLOOKUP(Dashboard!$D$4,'Exposure Factors'!$C$3:$E$8,3,FALSE)),"")</f>
        <v/>
      </c>
      <c r="S16" s="126"/>
      <c r="T16" s="126" t="str">
        <f>IFERROR($R16*$AB16*HLOOKUP(Dashboard!$D$4,'Exposure Factors'!$C$3:$E$8,5,FALSE)/(365*HLOOKUP(Dashboard!$D$4,'Exposure Factors'!$C$3:$E$8,5,FALSE)),"")</f>
        <v/>
      </c>
      <c r="U16" s="149" t="str">
        <f>IFERROR($R16*$AB16*HLOOKUP(Dashboard!$D$4,'Exposure Factors'!$C$3:$E$8,6,FALSE)/(365*HLOOKUP(Dashboard!$D$4,'Exposure Factors'!$C$3:$E$8,6,FALSE)),"")</f>
        <v/>
      </c>
      <c r="V16" s="116">
        <v>9</v>
      </c>
      <c r="W16" s="138"/>
      <c r="X16" s="139">
        <v>8</v>
      </c>
      <c r="Y16" s="145">
        <v>250</v>
      </c>
      <c r="Z16" s="145">
        <f>ROUNDUP(MEDIAN(16,250), 0)</f>
        <v>133</v>
      </c>
      <c r="AA16" s="140">
        <v>1</v>
      </c>
      <c r="AB16" s="140">
        <f>Y16*AA16</f>
        <v>250</v>
      </c>
      <c r="AC16" s="141">
        <f>Z16*AA16</f>
        <v>133</v>
      </c>
    </row>
    <row r="17" spans="1:29" ht="47.25" x14ac:dyDescent="0.25">
      <c r="A17" s="116">
        <v>6</v>
      </c>
      <c r="B17" s="117" t="s">
        <v>119</v>
      </c>
      <c r="C17" s="118" t="s">
        <v>39</v>
      </c>
      <c r="D17" s="119" t="s">
        <v>111</v>
      </c>
      <c r="E17" s="137" t="s">
        <v>111</v>
      </c>
      <c r="F17" s="121" t="str">
        <f>IFERROR(Inhal_Abs*D17*HLOOKUP(Dashboard!$D$4,'Exposure Factors'!$C$3:$E$8,2,FALSE)*$X17/HLOOKUP(Dashboard!$D$4,'Exposure Factors'!$C$3:$E$8,3,FALSE),"")</f>
        <v/>
      </c>
      <c r="G17" s="121" t="str">
        <f>IFERROR(Inhal_Abs*E17*HLOOKUP(Dashboard!$D$4,'Exposure Factors'!$C$3:$E$8,2,FALSE)*$X17/HLOOKUP(Dashboard!$D$4,'Exposure Factors'!$C$3:$E$8,3,FALSE),"")</f>
        <v/>
      </c>
      <c r="H17" s="121" t="str">
        <f>IFERROR(F17*$AB17*HLOOKUP(Dashboard!$D$4,'Exposure Factors'!$C$3:$E$8,5,FALSE)/(365*HLOOKUP(Dashboard!$D$4,'Exposure Factors'!$C$3:$E$8,5,FALSE)),"")</f>
        <v/>
      </c>
      <c r="I17" s="122" t="str">
        <f>IFERROR(G17*$AB17*HLOOKUP(Dashboard!$D$4,'Exposure Factors'!$C$3:$E$8,6,FALSE)/(365*HLOOKUP(Dashboard!$D$4,'Exposure Factors'!$C$3:$E$8,6,FALSE)),"")</f>
        <v/>
      </c>
      <c r="J17" s="123"/>
      <c r="K17" s="148"/>
      <c r="L17" s="125"/>
      <c r="M17" s="126"/>
      <c r="N17" s="126"/>
      <c r="O17" s="126"/>
      <c r="P17" s="126"/>
      <c r="Q17" s="126"/>
      <c r="R17" s="126"/>
      <c r="S17" s="126"/>
      <c r="T17" s="126"/>
      <c r="U17" s="149"/>
      <c r="V17" s="116"/>
      <c r="W17" s="138"/>
      <c r="X17" s="139"/>
      <c r="Y17" s="140"/>
      <c r="Z17" s="140"/>
      <c r="AA17" s="140"/>
      <c r="AB17" s="140"/>
      <c r="AC17" s="141"/>
    </row>
    <row r="18" spans="1:29" ht="31.5" x14ac:dyDescent="0.25">
      <c r="A18" s="116">
        <v>7</v>
      </c>
      <c r="B18" s="117" t="s">
        <v>120</v>
      </c>
      <c r="C18" s="142" t="s">
        <v>35</v>
      </c>
      <c r="D18" s="119" t="s">
        <v>111</v>
      </c>
      <c r="E18" s="120" t="s">
        <v>111</v>
      </c>
      <c r="F18" s="121" t="str">
        <f>IFERROR(Inhal_Abs*D18*HLOOKUP(Dashboard!$D$4,'Exposure Factors'!$C$3:$E$8,2,FALSE)*$X18/HLOOKUP(Dashboard!$D$4,'Exposure Factors'!$C$3:$E$8,3,FALSE),"")</f>
        <v/>
      </c>
      <c r="G18" s="121" t="str">
        <f>IFERROR(Inhal_Abs*E18*HLOOKUP(Dashboard!$D$4,'Exposure Factors'!$C$3:$E$8,2,FALSE)*$X18/HLOOKUP(Dashboard!$D$4,'Exposure Factors'!$C$3:$E$8,3,FALSE),"")</f>
        <v/>
      </c>
      <c r="H18" s="121" t="str">
        <f>IFERROR(F18*$AB18*HLOOKUP(Dashboard!$D$4,'Exposure Factors'!$C$3:$E$8,5,FALSE)/(365*HLOOKUP(Dashboard!$D$4,'Exposure Factors'!$C$3:$E$8,5,FALSE)),"")</f>
        <v/>
      </c>
      <c r="I18" s="122" t="str">
        <f>IFERROR(G18*$AB18*HLOOKUP(Dashboard!$D$4,'Exposure Factors'!$C$3:$E$8,6,FALSE)/(365*HLOOKUP(Dashboard!$D$4,'Exposure Factors'!$C$3:$E$8,6,FALSE)),"")</f>
        <v/>
      </c>
      <c r="J18" s="123"/>
      <c r="K18" s="148">
        <v>0.03</v>
      </c>
      <c r="L18" s="143"/>
      <c r="M18" s="126"/>
      <c r="N18" s="126"/>
      <c r="O18" s="126"/>
      <c r="P18" s="126" t="str">
        <f>IF(ISNUMBER(M18),K18*M18*O18,"")</f>
        <v/>
      </c>
      <c r="Q18" s="126"/>
      <c r="R18" s="126" t="str">
        <f>IF(ISNUMBER(M18),(Dermal_Abs*K18*M18*O18/HLOOKUP(Dashboard!$D$4,'Exposure Factors'!$C$3:$E$8,3,FALSE)),"")</f>
        <v/>
      </c>
      <c r="S18" s="126"/>
      <c r="T18" s="126" t="str">
        <f>IFERROR($R18*$AB18*HLOOKUP(Dashboard!$D$4,'Exposure Factors'!$C$3:$E$8,5,FALSE)/(365*HLOOKUP(Dashboard!$D$4,'Exposure Factors'!$C$3:$E$8,5,FALSE)),"")</f>
        <v/>
      </c>
      <c r="U18" s="147" t="str">
        <f>IFERROR($R18*$AB18*HLOOKUP(Dashboard!$D$4,'Exposure Factors'!$C$3:$E$8,6,FALSE)/(365*HLOOKUP(Dashboard!$D$4,'Exposure Factors'!$C$3:$E$8,6,FALSE)),"")</f>
        <v/>
      </c>
      <c r="V18" s="116"/>
      <c r="W18" s="138"/>
      <c r="X18" s="139"/>
      <c r="Y18" s="140"/>
      <c r="Z18" s="140"/>
      <c r="AA18" s="140"/>
      <c r="AB18" s="140">
        <f t="shared" ref="AB18" si="0">Y18*AA18</f>
        <v>0</v>
      </c>
      <c r="AC18" s="141"/>
    </row>
    <row r="19" spans="1:29" ht="31.5" x14ac:dyDescent="0.25">
      <c r="A19" s="116">
        <v>7</v>
      </c>
      <c r="B19" s="117" t="s">
        <v>120</v>
      </c>
      <c r="C19" s="142" t="s">
        <v>39</v>
      </c>
      <c r="D19" s="119" t="s">
        <v>111</v>
      </c>
      <c r="E19" s="120" t="s">
        <v>111</v>
      </c>
      <c r="F19" s="121" t="str">
        <f>IFERROR(Inhal_Abs*D19*HLOOKUP(Dashboard!$D$4,'Exposure Factors'!$C$3:$E$8,2,FALSE)*$X19/HLOOKUP(Dashboard!$D$4,'Exposure Factors'!$C$3:$E$8,3,FALSE),"")</f>
        <v/>
      </c>
      <c r="G19" s="121" t="str">
        <f>IFERROR(Inhal_Abs*E19*HLOOKUP(Dashboard!$D$4,'Exposure Factors'!$C$3:$E$8,2,FALSE)*$X19/HLOOKUP(Dashboard!$D$4,'Exposure Factors'!$C$3:$E$8,3,FALSE),"")</f>
        <v/>
      </c>
      <c r="H19" s="121" t="str">
        <f>IFERROR(F19*$AB19*HLOOKUP(Dashboard!$D$4,'Exposure Factors'!$C$3:$E$8,5,FALSE)/(365*HLOOKUP(Dashboard!$D$4,'Exposure Factors'!$C$3:$E$8,5,FALSE)),"")</f>
        <v/>
      </c>
      <c r="I19" s="122" t="str">
        <f>IFERROR(G19*$AB19*HLOOKUP(Dashboard!$D$4,'Exposure Factors'!$C$3:$E$8,6,FALSE)/(365*HLOOKUP(Dashboard!$D$4,'Exposure Factors'!$C$3:$E$8,6,FALSE)),"")</f>
        <v/>
      </c>
      <c r="J19" s="123"/>
      <c r="K19" s="148"/>
      <c r="L19" s="143"/>
      <c r="M19" s="126"/>
      <c r="N19" s="126"/>
      <c r="O19" s="126"/>
      <c r="P19" s="126"/>
      <c r="Q19" s="126"/>
      <c r="R19" s="126"/>
      <c r="S19" s="126"/>
      <c r="T19" s="126"/>
      <c r="U19" s="147"/>
      <c r="V19" s="116"/>
      <c r="W19" s="138"/>
      <c r="X19" s="139"/>
      <c r="Y19" s="140"/>
      <c r="Z19" s="140"/>
      <c r="AA19" s="140"/>
      <c r="AB19" s="140"/>
      <c r="AC19" s="141"/>
    </row>
    <row r="20" spans="1:29" ht="78.75" x14ac:dyDescent="0.25">
      <c r="A20" s="116">
        <v>8</v>
      </c>
      <c r="B20" s="117" t="s">
        <v>121</v>
      </c>
      <c r="C20" s="142" t="s">
        <v>35</v>
      </c>
      <c r="D20" s="119">
        <v>0.22</v>
      </c>
      <c r="E20" s="120">
        <v>0.08</v>
      </c>
      <c r="F20" s="121">
        <f>IFERROR(Inhal_Abs*D20*HLOOKUP(Dashboard!$D$4,'Exposure Factors'!$C$3:$E$8,2,FALSE)*$X20/HLOOKUP(Dashboard!$D$4,'Exposure Factors'!$C$3:$E$8,3,FALSE),"")</f>
        <v>2.7500000000000004E-2</v>
      </c>
      <c r="G20" s="121">
        <f>IFERROR(Inhal_Abs*E20*HLOOKUP(Dashboard!$D$4,'Exposure Factors'!$C$3:$E$8,2,FALSE)*$X20/HLOOKUP(Dashboard!$D$4,'Exposure Factors'!$C$3:$E$8,3,FALSE),"")</f>
        <v>0.01</v>
      </c>
      <c r="H20" s="121">
        <f>IFERROR(F20*$AB20*HLOOKUP(Dashboard!$D$4,'Exposure Factors'!$C$3:$E$8,5,FALSE)/(365*HLOOKUP(Dashboard!$D$4,'Exposure Factors'!$C$3:$E$8,5,FALSE)),"")</f>
        <v>1.8835616438356167E-2</v>
      </c>
      <c r="I20" s="122">
        <f>IFERROR(G20*$AC20*HLOOKUP(Dashboard!$D$4,'Exposure Factors'!$C$3:$E$8,6,FALSE)/(365*HLOOKUP(Dashboard!$D$4,'Exposure Factors'!$C$3:$E$8,6,FALSE)),"")</f>
        <v>3.4520547945205483E-3</v>
      </c>
      <c r="J20" s="123" t="s">
        <v>116</v>
      </c>
      <c r="K20" s="148">
        <v>0.03</v>
      </c>
      <c r="L20" s="143"/>
      <c r="M20" s="126"/>
      <c r="N20" s="126"/>
      <c r="O20" s="126"/>
      <c r="P20" s="126" t="str">
        <f>IF(ISNUMBER(M20),K20*M20*O20,"")</f>
        <v/>
      </c>
      <c r="Q20" s="126"/>
      <c r="R20" s="126" t="str">
        <f>IF(ISNUMBER(M20),(Dermal_Abs*K20*M20*O20/HLOOKUP(Dashboard!$D$4,'Exposure Factors'!$C$3:$E$8,3,FALSE)),"")</f>
        <v/>
      </c>
      <c r="S20" s="126"/>
      <c r="T20" s="126" t="str">
        <f>IFERROR($R20*$AB20*HLOOKUP(Dashboard!$D$4,'Exposure Factors'!$C$3:$E$8,5,FALSE)/(365*HLOOKUP(Dashboard!$D$4,'Exposure Factors'!$C$3:$E$8,5,FALSE)),"")</f>
        <v/>
      </c>
      <c r="U20" s="147" t="str">
        <f>IFERROR($R20*$AB20*HLOOKUP(Dashboard!$D$4,'Exposure Factors'!$C$3:$E$8,6,FALSE)/(365*HLOOKUP(Dashboard!$D$4,'Exposure Factors'!$C$3:$E$8,6,FALSE)),"")</f>
        <v/>
      </c>
      <c r="V20" s="116">
        <v>9</v>
      </c>
      <c r="W20" s="138"/>
      <c r="X20" s="139">
        <v>8</v>
      </c>
      <c r="Y20" s="145">
        <v>250</v>
      </c>
      <c r="Z20" s="145">
        <f>ROUNDUP(MEDIAN(1,250), 0)</f>
        <v>126</v>
      </c>
      <c r="AA20" s="140">
        <v>1</v>
      </c>
      <c r="AB20" s="140">
        <f>Y20*AA20</f>
        <v>250</v>
      </c>
      <c r="AC20" s="141">
        <f>Z20*AA20</f>
        <v>126</v>
      </c>
    </row>
    <row r="21" spans="1:29" ht="63" x14ac:dyDescent="0.25">
      <c r="A21" s="116">
        <v>8</v>
      </c>
      <c r="B21" s="117" t="s">
        <v>121</v>
      </c>
      <c r="C21" s="142" t="s">
        <v>39</v>
      </c>
      <c r="D21" s="119" t="s">
        <v>111</v>
      </c>
      <c r="E21" s="120" t="s">
        <v>111</v>
      </c>
      <c r="F21" s="121" t="str">
        <f>IFERROR(Inhal_Abs*D21*HLOOKUP(Dashboard!$D$4,'Exposure Factors'!$C$3:$E$8,2,FALSE)*$X21/HLOOKUP(Dashboard!$D$4,'Exposure Factors'!$C$3:$E$8,3,FALSE),"")</f>
        <v/>
      </c>
      <c r="G21" s="121" t="str">
        <f>IFERROR(Inhal_Abs*E21*HLOOKUP(Dashboard!$D$4,'Exposure Factors'!$C$3:$E$8,2,FALSE)*$X21/HLOOKUP(Dashboard!$D$4,'Exposure Factors'!$C$3:$E$8,3,FALSE),"")</f>
        <v/>
      </c>
      <c r="H21" s="121" t="str">
        <f>IFERROR(F21*$AB21*HLOOKUP(Dashboard!$D$4,'Exposure Factors'!$C$3:$E$8,5,FALSE)/(365*HLOOKUP(Dashboard!$D$4,'Exposure Factors'!$C$3:$E$8,5,FALSE)),"")</f>
        <v/>
      </c>
      <c r="I21" s="122" t="str">
        <f>IFERROR(G21*$AB21*HLOOKUP(Dashboard!$D$4,'Exposure Factors'!$C$3:$E$8,6,FALSE)/(365*HLOOKUP(Dashboard!$D$4,'Exposure Factors'!$C$3:$E$8,6,FALSE)),"")</f>
        <v/>
      </c>
      <c r="J21" s="123"/>
      <c r="K21" s="148"/>
      <c r="L21" s="143"/>
      <c r="M21" s="126"/>
      <c r="N21" s="126"/>
      <c r="O21" s="126"/>
      <c r="P21" s="126"/>
      <c r="Q21" s="126"/>
      <c r="R21" s="126"/>
      <c r="S21" s="126"/>
      <c r="T21" s="126"/>
      <c r="U21" s="147"/>
      <c r="V21" s="116"/>
      <c r="W21" s="138"/>
      <c r="X21" s="139"/>
      <c r="Y21" s="140"/>
      <c r="Z21" s="140"/>
      <c r="AA21" s="140"/>
      <c r="AB21" s="140"/>
      <c r="AC21" s="141"/>
    </row>
    <row r="22" spans="1:29" ht="110.25" x14ac:dyDescent="0.25">
      <c r="A22" s="116">
        <v>9</v>
      </c>
      <c r="B22" s="117" t="s">
        <v>122</v>
      </c>
      <c r="C22" s="150" t="s">
        <v>35</v>
      </c>
      <c r="D22" s="151">
        <v>0.3</v>
      </c>
      <c r="E22" s="152">
        <v>0.105</v>
      </c>
      <c r="F22" s="121">
        <f>IFERROR(Inhal_Abs*D22*HLOOKUP(Dashboard!$D$4,'Exposure Factors'!$C$3:$E$8,2,FALSE)*$X22/HLOOKUP(Dashboard!$D$4,'Exposure Factors'!$C$3:$E$8,3,FALSE),"")</f>
        <v>3.7499999999999999E-2</v>
      </c>
      <c r="G22" s="121">
        <f>IFERROR(Inhal_Abs*E22*HLOOKUP(Dashboard!$D$4,'Exposure Factors'!$C$3:$E$8,2,FALSE)*$X22/HLOOKUP(Dashboard!$D$4,'Exposure Factors'!$C$3:$E$8,3,FALSE),"")</f>
        <v>1.3125000000000001E-2</v>
      </c>
      <c r="H22" s="121">
        <f>IFERROR(F22*$AB22*HLOOKUP(Dashboard!$D$4,'Exposure Factors'!$C$3:$E$8,5,FALSE)/(365*HLOOKUP(Dashboard!$D$4,'Exposure Factors'!$C$3:$E$8,5,FALSE)),"")</f>
        <v>2.5684931506849314E-2</v>
      </c>
      <c r="I22" s="122">
        <f>IFERROR(G22*$AC22*HLOOKUP(Dashboard!$D$4,'Exposure Factors'!$C$3:$E$8,6,FALSE)/(365*HLOOKUP(Dashboard!$D$4,'Exposure Factors'!$C$3:$E$8,6,FALSE)),"")</f>
        <v>4.5308219178082192E-3</v>
      </c>
      <c r="J22" s="123" t="s">
        <v>123</v>
      </c>
      <c r="K22" s="153">
        <v>0.03</v>
      </c>
      <c r="L22" s="145"/>
      <c r="M22" s="126"/>
      <c r="N22" s="126"/>
      <c r="O22" s="126"/>
      <c r="P22" s="126" t="str">
        <f>IF(ISNUMBER(M22),K22*M22*O22,"")</f>
        <v/>
      </c>
      <c r="Q22" s="126"/>
      <c r="R22" s="126" t="str">
        <f>IF(ISNUMBER(M22),(Dermal_Abs*K22*M22*O22/HLOOKUP(Dashboard!$D$4,'Exposure Factors'!$C$3:$E$8,3,FALSE)),"")</f>
        <v/>
      </c>
      <c r="S22" s="126"/>
      <c r="T22" s="126" t="str">
        <f>IFERROR($R22*$AB22*HLOOKUP(Dashboard!$D$4,'Exposure Factors'!$C$3:$E$8,5,FALSE)/(365*HLOOKUP(Dashboard!$D$4,'Exposure Factors'!$C$3:$E$8,5,FALSE)),"")</f>
        <v/>
      </c>
      <c r="U22" s="150" t="str">
        <f>IFERROR($R22*$AB22*HLOOKUP(Dashboard!$D$4,'Exposure Factors'!$C$3:$E$8,6,FALSE)/(365*HLOOKUP(Dashboard!$D$4,'Exposure Factors'!$C$3:$E$8,6,FALSE)),"")</f>
        <v/>
      </c>
      <c r="V22" s="116" t="s">
        <v>124</v>
      </c>
      <c r="W22" s="138"/>
      <c r="X22" s="139">
        <v>8</v>
      </c>
      <c r="Y22" s="145">
        <v>250</v>
      </c>
      <c r="Z22" s="145">
        <f>ROUNDUP(MEDIAN(1,250), 0)</f>
        <v>126</v>
      </c>
      <c r="AA22" s="140">
        <v>1</v>
      </c>
      <c r="AB22" s="140">
        <f>Y22*AA22</f>
        <v>250</v>
      </c>
      <c r="AC22" s="141">
        <f>Z22*AA22</f>
        <v>126</v>
      </c>
    </row>
    <row r="23" spans="1:29" ht="63" x14ac:dyDescent="0.25">
      <c r="A23" s="116">
        <v>9</v>
      </c>
      <c r="B23" s="117" t="s">
        <v>122</v>
      </c>
      <c r="C23" s="150" t="s">
        <v>39</v>
      </c>
      <c r="D23" s="144" t="s">
        <v>111</v>
      </c>
      <c r="E23" s="120" t="s">
        <v>111</v>
      </c>
      <c r="F23" s="121" t="str">
        <f>IFERROR(Inhal_Abs*D23*HLOOKUP(Dashboard!$D$4,'Exposure Factors'!$C$3:$E$8,2,FALSE)*$X23/HLOOKUP(Dashboard!$D$4,'Exposure Factors'!$C$3:$E$8,3,FALSE),"")</f>
        <v/>
      </c>
      <c r="G23" s="121" t="str">
        <f>IFERROR(Inhal_Abs*E23*HLOOKUP(Dashboard!$D$4,'Exposure Factors'!$C$3:$E$8,2,FALSE)*$X23/HLOOKUP(Dashboard!$D$4,'Exposure Factors'!$C$3:$E$8,3,FALSE),"")</f>
        <v/>
      </c>
      <c r="H23" s="121" t="str">
        <f>IFERROR(F23*$AB23*HLOOKUP(Dashboard!$D$4,'Exposure Factors'!$C$3:$E$8,5,FALSE)/(365*HLOOKUP(Dashboard!$D$4,'Exposure Factors'!$C$3:$E$8,5,FALSE)),"")</f>
        <v/>
      </c>
      <c r="I23" s="122" t="str">
        <f>IFERROR(G23*$AB23*HLOOKUP(Dashboard!$D$4,'Exposure Factors'!$C$3:$E$8,6,FALSE)/(365*HLOOKUP(Dashboard!$D$4,'Exposure Factors'!$C$3:$E$8,6,FALSE)),"")</f>
        <v/>
      </c>
      <c r="J23" s="123"/>
      <c r="K23" s="148"/>
      <c r="L23" s="145"/>
      <c r="M23" s="126"/>
      <c r="N23" s="126"/>
      <c r="O23" s="126"/>
      <c r="P23" s="126"/>
      <c r="Q23" s="126"/>
      <c r="R23" s="126"/>
      <c r="S23" s="126"/>
      <c r="T23" s="126"/>
      <c r="U23" s="150"/>
      <c r="V23" s="116"/>
      <c r="W23" s="138"/>
      <c r="X23" s="139"/>
      <c r="Y23" s="140"/>
      <c r="Z23" s="140"/>
      <c r="AA23" s="140"/>
      <c r="AB23" s="140"/>
      <c r="AC23" s="141"/>
    </row>
    <row r="24" spans="1:29" ht="78.75" x14ac:dyDescent="0.25">
      <c r="A24" s="116">
        <v>10</v>
      </c>
      <c r="B24" s="117" t="s">
        <v>125</v>
      </c>
      <c r="C24" s="150" t="s">
        <v>35</v>
      </c>
      <c r="D24" s="119">
        <v>0.22</v>
      </c>
      <c r="E24" s="120">
        <v>0.08</v>
      </c>
      <c r="F24" s="121">
        <f>IFERROR(Inhal_Abs*D24*HLOOKUP(Dashboard!$D$4,'Exposure Factors'!$C$3:$E$8,2,FALSE)*$X24/HLOOKUP(Dashboard!$D$4,'Exposure Factors'!$C$3:$E$8,3,FALSE),"")</f>
        <v>2.7500000000000004E-2</v>
      </c>
      <c r="G24" s="121">
        <f>IFERROR(Inhal_Abs*E24*HLOOKUP(Dashboard!$D$4,'Exposure Factors'!$C$3:$E$8,2,FALSE)*$X24/HLOOKUP(Dashboard!$D$4,'Exposure Factors'!$C$3:$E$8,3,FALSE),"")</f>
        <v>0.01</v>
      </c>
      <c r="H24" s="121">
        <f>IFERROR(F24*$AB24*HLOOKUP(Dashboard!$D$4,'Exposure Factors'!$C$3:$E$8,5,FALSE)/(365*HLOOKUP(Dashboard!$D$4,'Exposure Factors'!$C$3:$E$8,5,FALSE)),"")</f>
        <v>1.0547945205479454E-2</v>
      </c>
      <c r="I24" s="122">
        <f>IFERROR(G24*$AC24*HLOOKUP(Dashboard!$D$4,'Exposure Factors'!$C$3:$E$8,6,FALSE)/(365*HLOOKUP(Dashboard!$D$4,'Exposure Factors'!$C$3:$E$8,6,FALSE)),"")</f>
        <v>1.9452054794520546E-3</v>
      </c>
      <c r="J24" s="123" t="s">
        <v>116</v>
      </c>
      <c r="K24" s="148">
        <v>0.03</v>
      </c>
      <c r="L24" s="145"/>
      <c r="M24" s="126"/>
      <c r="N24" s="126"/>
      <c r="O24" s="126"/>
      <c r="P24" s="126" t="str">
        <f>IF(ISNUMBER(M24),K24*M24*O24,"")</f>
        <v/>
      </c>
      <c r="Q24" s="126"/>
      <c r="R24" s="126" t="str">
        <f>IF(ISNUMBER(M24),(Dermal_Abs*K24*M24*O24/HLOOKUP(Dashboard!$D$4,'Exposure Factors'!$C$3:$E$8,3,FALSE)),"")</f>
        <v/>
      </c>
      <c r="S24" s="126"/>
      <c r="T24" s="126" t="str">
        <f>IFERROR($R24*$AB24*HLOOKUP(Dashboard!$D$4,'Exposure Factors'!$C$3:$E$8,5,FALSE)/(365*HLOOKUP(Dashboard!$D$4,'Exposure Factors'!$C$3:$E$8,5,FALSE)),"")</f>
        <v/>
      </c>
      <c r="U24" s="150" t="str">
        <f>IFERROR($R24*$AB24*HLOOKUP(Dashboard!$D$4,'Exposure Factors'!$C$3:$E$8,6,FALSE)/(365*HLOOKUP(Dashboard!$D$4,'Exposure Factors'!$C$3:$E$8,6,FALSE)),"")</f>
        <v/>
      </c>
      <c r="V24" s="116">
        <v>9</v>
      </c>
      <c r="W24" s="138"/>
      <c r="X24" s="139">
        <v>8</v>
      </c>
      <c r="Y24" s="145">
        <v>140</v>
      </c>
      <c r="Z24" s="145">
        <f>ROUNDUP(MEDIAN(1,140), 0)</f>
        <v>71</v>
      </c>
      <c r="AA24" s="140">
        <v>1</v>
      </c>
      <c r="AB24" s="140">
        <f>Y24*AA24</f>
        <v>140</v>
      </c>
      <c r="AC24" s="141">
        <f>Z24*AA24</f>
        <v>71</v>
      </c>
    </row>
    <row r="25" spans="1:29" ht="31.5" x14ac:dyDescent="0.25">
      <c r="A25" s="116">
        <v>10</v>
      </c>
      <c r="B25" s="117" t="s">
        <v>125</v>
      </c>
      <c r="C25" s="150" t="s">
        <v>39</v>
      </c>
      <c r="D25" s="119" t="s">
        <v>111</v>
      </c>
      <c r="E25" s="120" t="s">
        <v>111</v>
      </c>
      <c r="F25" s="121" t="str">
        <f>IFERROR(Inhal_Abs*D25*HLOOKUP(Dashboard!$D$4,'Exposure Factors'!$C$3:$E$8,2,FALSE)*$X25/HLOOKUP(Dashboard!$D$4,'Exposure Factors'!$C$3:$E$8,3,FALSE),"")</f>
        <v/>
      </c>
      <c r="G25" s="121" t="str">
        <f>IFERROR(Inhal_Abs*E25*HLOOKUP(Dashboard!$D$4,'Exposure Factors'!$C$3:$E$8,2,FALSE)*$X25/HLOOKUP(Dashboard!$D$4,'Exposure Factors'!$C$3:$E$8,3,FALSE),"")</f>
        <v/>
      </c>
      <c r="H25" s="121" t="str">
        <f>IFERROR(F25*$AB25*HLOOKUP(Dashboard!$D$4,'Exposure Factors'!$C$3:$E$8,5,FALSE)/(365*HLOOKUP(Dashboard!$D$4,'Exposure Factors'!$C$3:$E$8,5,FALSE)),"")</f>
        <v/>
      </c>
      <c r="I25" s="122" t="str">
        <f>IFERROR(G25*$AB25*HLOOKUP(Dashboard!$D$4,'Exposure Factors'!$C$3:$E$8,6,FALSE)/(365*HLOOKUP(Dashboard!$D$4,'Exposure Factors'!$C$3:$E$8,6,FALSE)),"")</f>
        <v/>
      </c>
      <c r="J25" s="123"/>
      <c r="K25" s="148"/>
      <c r="L25" s="145"/>
      <c r="M25" s="126"/>
      <c r="N25" s="126"/>
      <c r="O25" s="126"/>
      <c r="P25" s="126"/>
      <c r="Q25" s="126"/>
      <c r="R25" s="126"/>
      <c r="S25" s="126"/>
      <c r="T25" s="126"/>
      <c r="U25" s="150"/>
      <c r="V25" s="116"/>
      <c r="W25" s="138"/>
      <c r="X25" s="139"/>
      <c r="Y25" s="140"/>
      <c r="Z25" s="140"/>
      <c r="AA25" s="140"/>
      <c r="AB25" s="140"/>
      <c r="AC25" s="141"/>
    </row>
    <row r="26" spans="1:29" ht="110.25" x14ac:dyDescent="0.25">
      <c r="A26" s="116">
        <v>11</v>
      </c>
      <c r="B26" s="154" t="s">
        <v>23</v>
      </c>
      <c r="C26" s="150" t="s">
        <v>35</v>
      </c>
      <c r="D26" s="119">
        <v>2.5</v>
      </c>
      <c r="E26" s="120">
        <v>1.25</v>
      </c>
      <c r="F26" s="121">
        <f>IFERROR(Inhal_Abs*D26*HLOOKUP(Dashboard!$D$4,'Exposure Factors'!$C$3:$E$8,2,FALSE)*$X26/HLOOKUP(Dashboard!$D$4,'Exposure Factors'!$C$3:$E$8,3,FALSE),"")</f>
        <v>0.3125</v>
      </c>
      <c r="G26" s="121">
        <f>IFERROR(Inhal_Abs*E26*HLOOKUP(Dashboard!$D$4,'Exposure Factors'!$C$3:$E$8,2,FALSE)*$X26/HLOOKUP(Dashboard!$D$4,'Exposure Factors'!$C$3:$E$8,3,FALSE),"")</f>
        <v>0.15625</v>
      </c>
      <c r="H26" s="121">
        <f>IFERROR(F26*$AB26*HLOOKUP(Dashboard!$D$4,'Exposure Factors'!$C$3:$E$8,5,FALSE)/(365*HLOOKUP(Dashboard!$D$4,'Exposure Factors'!$C$3:$E$8,5,FALSE)),"")</f>
        <v>0.21404109589041095</v>
      </c>
      <c r="I26" s="122">
        <f>IFERROR(G26*$AC26*HLOOKUP(Dashboard!$D$4,'Exposure Factors'!$C$3:$E$8,6,FALSE)/(365*HLOOKUP(Dashboard!$D$4,'Exposure Factors'!$C$3:$E$8,6,FALSE)),"")</f>
        <v>5.4794520547945202E-2</v>
      </c>
      <c r="J26" s="123" t="s">
        <v>113</v>
      </c>
      <c r="K26" s="124">
        <v>1</v>
      </c>
      <c r="L26" s="145"/>
      <c r="M26" s="126">
        <v>3100</v>
      </c>
      <c r="N26" s="126">
        <v>900</v>
      </c>
      <c r="O26" s="126">
        <v>1</v>
      </c>
      <c r="P26" s="126">
        <f>IF(ISNUMBER(M26),K26*M26*O26,"")</f>
        <v>3100</v>
      </c>
      <c r="Q26" s="126">
        <f>IF(ISNUMBER(N26),K26*N26*O26,"")</f>
        <v>900</v>
      </c>
      <c r="R26" s="127">
        <f>IF(ISNUMBER(M26),(Dermal_Abs*K26*M26*O26/HLOOKUP(Dashboard!$D$4,'Exposure Factors'!$C$3:$E$8,3,FALSE)),"")</f>
        <v>2.5187499999999998</v>
      </c>
      <c r="S26" s="127">
        <f>IF(ISNUMBER(N26),(Dermal_Abs*K26*N26*O26/HLOOKUP(Dashboard!$D$4,'Exposure Factors'!$C$3:$E$8,3,FALSE)),"")</f>
        <v>0.73124999999999996</v>
      </c>
      <c r="T26" s="127">
        <f>IFERROR($R26*$AB26*HLOOKUP(Dashboard!$D$4,'Exposure Factors'!$C$3:$E$8,5,FALSE)/(365*HLOOKUP(Dashboard!$D$4,'Exposure Factors'!$C$3:$E$8,5,FALSE)),"")</f>
        <v>1.7251712328767124</v>
      </c>
      <c r="U26" s="129">
        <f>IFERROR($S26*$AC26*HLOOKUP(Dashboard!$D$4,'Exposure Factors'!$C$3:$E$8,6,FALSE)/(365*HLOOKUP(Dashboard!$D$4,'Exposure Factors'!$C$3:$E$8,6,FALSE)),"")</f>
        <v>0.25643835616438354</v>
      </c>
      <c r="V26" s="144" t="s">
        <v>114</v>
      </c>
      <c r="W26" s="138"/>
      <c r="X26" s="139">
        <v>8</v>
      </c>
      <c r="Y26" s="145">
        <v>250</v>
      </c>
      <c r="Z26" s="145">
        <f>ROUNDUP(MEDIAN(5,250), 0)</f>
        <v>128</v>
      </c>
      <c r="AA26" s="140">
        <v>1</v>
      </c>
      <c r="AB26" s="140">
        <f>Y26*AA26</f>
        <v>250</v>
      </c>
      <c r="AC26" s="141">
        <f>Z26*AA26</f>
        <v>128</v>
      </c>
    </row>
    <row r="27" spans="1:29" ht="31.5" x14ac:dyDescent="0.25">
      <c r="A27" s="116">
        <v>11</v>
      </c>
      <c r="B27" s="154" t="s">
        <v>23</v>
      </c>
      <c r="C27" s="150" t="s">
        <v>39</v>
      </c>
      <c r="D27" s="144" t="s">
        <v>111</v>
      </c>
      <c r="E27" s="120" t="s">
        <v>111</v>
      </c>
      <c r="F27" s="121" t="str">
        <f>IFERROR(Inhal_Abs*D27*HLOOKUP(Dashboard!$D$4,'Exposure Factors'!$C$3:$E$8,2,FALSE)*$X27/HLOOKUP(Dashboard!$D$4,'Exposure Factors'!$C$3:$E$8,3,FALSE),"")</f>
        <v/>
      </c>
      <c r="G27" s="121" t="str">
        <f>IFERROR(Inhal_Abs*E27*HLOOKUP(Dashboard!$D$4,'Exposure Factors'!$C$3:$E$8,2,FALSE)*$X27/HLOOKUP(Dashboard!$D$4,'Exposure Factors'!$C$3:$E$8,3,FALSE),"")</f>
        <v/>
      </c>
      <c r="H27" s="121" t="str">
        <f>IFERROR(F27*$AB27*HLOOKUP(Dashboard!$D$4,'Exposure Factors'!$C$3:$E$8,5,FALSE)/(365*HLOOKUP(Dashboard!$D$4,'Exposure Factors'!$C$3:$E$8,5,FALSE)),"")</f>
        <v/>
      </c>
      <c r="I27" s="122" t="str">
        <f>IFERROR(G27*$AB27*HLOOKUP(Dashboard!$D$4,'Exposure Factors'!$C$3:$E$8,6,FALSE)/(365*HLOOKUP(Dashboard!$D$4,'Exposure Factors'!$C$3:$E$8,6,FALSE)),"")</f>
        <v/>
      </c>
      <c r="J27" s="123"/>
      <c r="K27" s="124"/>
      <c r="L27" s="143"/>
      <c r="M27" s="126"/>
      <c r="N27" s="126"/>
      <c r="O27" s="126"/>
      <c r="P27" s="126"/>
      <c r="Q27" s="126"/>
      <c r="R27" s="127"/>
      <c r="S27" s="127"/>
      <c r="T27" s="127"/>
      <c r="U27" s="155"/>
      <c r="V27" s="116"/>
      <c r="W27" s="138"/>
      <c r="X27" s="139"/>
      <c r="Y27" s="140"/>
      <c r="Z27" s="140"/>
      <c r="AA27" s="140"/>
      <c r="AB27" s="140"/>
      <c r="AC27" s="141"/>
    </row>
    <row r="28" spans="1:29" ht="31.5" x14ac:dyDescent="0.25">
      <c r="A28" s="116">
        <v>12</v>
      </c>
      <c r="B28" s="117" t="s">
        <v>126</v>
      </c>
      <c r="C28" s="150" t="s">
        <v>35</v>
      </c>
      <c r="D28" s="144" t="s">
        <v>111</v>
      </c>
      <c r="E28" s="120" t="s">
        <v>111</v>
      </c>
      <c r="F28" s="121" t="str">
        <f>IFERROR(Inhal_Abs*D28*HLOOKUP(Dashboard!$D$4,'Exposure Factors'!$C$3:$E$8,2,FALSE)*#REF!/HLOOKUP(Dashboard!$D$4,'Exposure Factors'!$C$3:$E$8,3,FALSE),"")</f>
        <v/>
      </c>
      <c r="G28" s="121" t="str">
        <f>IFERROR(Inhal_Abs*E28*HLOOKUP(Dashboard!$D$4,'Exposure Factors'!$C$3:$E$8,2,FALSE)*#REF!/HLOOKUP(Dashboard!$D$4,'Exposure Factors'!$C$3:$E$8,3,FALSE),"")</f>
        <v/>
      </c>
      <c r="H28" s="121" t="str">
        <f>IFERROR(F28*$AB28*HLOOKUP(Dashboard!$D$4,'Exposure Factors'!$C$3:$E$8,5,FALSE)/(365*HLOOKUP(Dashboard!$D$4,'Exposure Factors'!$C$3:$E$8,5,FALSE)),"")</f>
        <v/>
      </c>
      <c r="I28" s="122" t="str">
        <f>IFERROR(G28*$AB28*HLOOKUP(Dashboard!$D$4,'Exposure Factors'!$C$3:$E$8,6,FALSE)/(365*HLOOKUP(Dashboard!$D$4,'Exposure Factors'!$C$3:$E$8,6,FALSE)),"")</f>
        <v/>
      </c>
      <c r="J28" s="123"/>
      <c r="K28" s="148">
        <v>0.01</v>
      </c>
      <c r="L28" s="143"/>
      <c r="M28" s="126">
        <v>1100</v>
      </c>
      <c r="N28" s="126">
        <v>450</v>
      </c>
      <c r="O28" s="126">
        <v>1</v>
      </c>
      <c r="P28" s="156">
        <f t="shared" ref="P28" si="1">IF(ISNUMBER(M28),K28*M28*O28,"")</f>
        <v>11</v>
      </c>
      <c r="Q28" s="126">
        <f>IF(ISNUMBER(N28),K28*N28*O28,"")</f>
        <v>4.5</v>
      </c>
      <c r="R28" s="121">
        <f>IF(ISNUMBER(M28),(Dermal_Abs*K28*M28*O28/HLOOKUP(Dashboard!$D$4,'Exposure Factors'!$C$3:$E$8,3,FALSE)),"")</f>
        <v>8.937500000000001E-3</v>
      </c>
      <c r="S28" s="121">
        <f>IF(ISNUMBER(N28),(Dermal_Abs*K28*N28*O28/HLOOKUP(Dashboard!$D$4,'Exposure Factors'!$C$3:$E$8,3,FALSE)),"")</f>
        <v>3.6562500000000006E-3</v>
      </c>
      <c r="T28" s="121">
        <f>IFERROR($R28*$AB28*HLOOKUP(Dashboard!$D$4,'Exposure Factors'!$C$3:$E$8,5,FALSE)/(365*HLOOKUP(Dashboard!$D$4,'Exposure Factors'!$C$3:$E$8,5,FALSE)),"")</f>
        <v>6.1215753424657543E-3</v>
      </c>
      <c r="U28" s="129">
        <f>IFERROR($S28*$AC28*HLOOKUP(Dashboard!$D$4,'Exposure Factors'!$C$3:$E$8,6,FALSE)/(365*HLOOKUP(Dashboard!$D$4,'Exposure Factors'!$C$3:$E$8,6,FALSE)),"")</f>
        <v>1.2721746575342467E-3</v>
      </c>
      <c r="V28" s="116"/>
      <c r="W28" s="138"/>
      <c r="X28" s="139">
        <v>8</v>
      </c>
      <c r="Y28" s="145">
        <v>250</v>
      </c>
      <c r="Z28" s="145">
        <f>ROUNDUP(MEDIAN(4,250),0)</f>
        <v>127</v>
      </c>
      <c r="AA28" s="140">
        <v>1</v>
      </c>
      <c r="AB28" s="140">
        <f>Y28*AA28</f>
        <v>250</v>
      </c>
      <c r="AC28" s="141">
        <f>Z28*AA28</f>
        <v>127</v>
      </c>
    </row>
    <row r="29" spans="1:29" ht="31.5" x14ac:dyDescent="0.25">
      <c r="A29" s="116">
        <v>12</v>
      </c>
      <c r="B29" s="117" t="s">
        <v>126</v>
      </c>
      <c r="C29" s="150" t="s">
        <v>39</v>
      </c>
      <c r="D29" s="144" t="s">
        <v>111</v>
      </c>
      <c r="E29" s="120" t="s">
        <v>111</v>
      </c>
      <c r="F29" s="121" t="str">
        <f>IFERROR(Inhal_Abs*D29*HLOOKUP(Dashboard!$D$4,'Exposure Factors'!$C$3:$E$8,2,FALSE)*$X28/HLOOKUP(Dashboard!$D$4,'Exposure Factors'!$C$3:$E$8,3,FALSE),"")</f>
        <v/>
      </c>
      <c r="G29" s="121" t="str">
        <f>IFERROR(Inhal_Abs*E29*HLOOKUP(Dashboard!$D$4,'Exposure Factors'!$C$3:$E$8,2,FALSE)*$X28/HLOOKUP(Dashboard!$D$4,'Exposure Factors'!$C$3:$E$8,3,FALSE),"")</f>
        <v/>
      </c>
      <c r="H29" s="121" t="str">
        <f>IFERROR(F29*$AB29*HLOOKUP(Dashboard!$D$4,'Exposure Factors'!$C$3:$E$8,5,FALSE)/(365*HLOOKUP(Dashboard!$D$4,'Exposure Factors'!$C$3:$E$8,5,FALSE)),"")</f>
        <v/>
      </c>
      <c r="I29" s="122" t="str">
        <f>IFERROR(G29*$AB29*HLOOKUP(Dashboard!$D$4,'Exposure Factors'!$C$3:$E$8,6,FALSE)/(365*HLOOKUP(Dashboard!$D$4,'Exposure Factors'!$C$3:$E$8,6,FALSE)),"")</f>
        <v/>
      </c>
      <c r="J29" s="123"/>
      <c r="K29" s="148"/>
      <c r="L29" s="143"/>
      <c r="M29" s="126"/>
      <c r="N29" s="126"/>
      <c r="O29" s="126"/>
      <c r="P29" s="126"/>
      <c r="Q29" s="126"/>
      <c r="R29" s="126"/>
      <c r="S29" s="126"/>
      <c r="T29" s="126"/>
      <c r="U29" s="147"/>
      <c r="V29" s="116"/>
      <c r="W29" s="138"/>
      <c r="X29" s="157"/>
      <c r="Y29" s="158"/>
      <c r="Z29" s="158"/>
      <c r="AA29" s="158"/>
      <c r="AB29" s="140"/>
      <c r="AC29" s="141"/>
    </row>
    <row r="30" spans="1:29" ht="151.5" customHeight="1" x14ac:dyDescent="0.25">
      <c r="A30" s="130">
        <v>13</v>
      </c>
      <c r="B30" s="159" t="s">
        <v>127</v>
      </c>
      <c r="C30" s="160" t="s">
        <v>35</v>
      </c>
      <c r="D30" s="161">
        <v>1E-4</v>
      </c>
      <c r="E30" s="162">
        <v>1.3900000000000001E-5</v>
      </c>
      <c r="F30" s="163">
        <f>IFERROR(Inhal_Abs*D30*HLOOKUP(Dashboard!$D$4,'Exposure Factors'!$C$3:$E$8,2,FALSE)*$X30/HLOOKUP(Dashboard!$D$4,'Exposure Factors'!$C$3:$E$8,3,FALSE),"")</f>
        <v>1.2500000000000001E-5</v>
      </c>
      <c r="G30" s="163">
        <f>IFERROR(Inhal_Abs*E30*HLOOKUP(Dashboard!$D$4,'Exposure Factors'!$C$3:$E$8,2,FALSE)*$X30/HLOOKUP(Dashboard!$D$4,'Exposure Factors'!$C$3:$E$8,3,FALSE),"")</f>
        <v>1.7375000000000003E-6</v>
      </c>
      <c r="H30" s="163">
        <f>IFERROR(F30*$AB30*HLOOKUP(Dashboard!$D$4,'Exposure Factors'!$C$3:$E$8,5,FALSE)/(365*HLOOKUP(Dashboard!$D$4,'Exposure Factors'!$C$3:$E$8,5,FALSE)),"")</f>
        <v>8.5616438356164377E-6</v>
      </c>
      <c r="I30" s="164">
        <f>IFERROR(G30*$AC30*HLOOKUP(Dashboard!$D$4,'Exposure Factors'!$C$3:$E$8,6,FALSE)/(365*HLOOKUP(Dashboard!$D$4,'Exposure Factors'!$C$3:$E$8,6,FALSE)),"")</f>
        <v>6.0455479452054804E-7</v>
      </c>
      <c r="J30" s="165" t="s">
        <v>128</v>
      </c>
      <c r="K30" s="166">
        <v>5.7000000000000003E-5</v>
      </c>
      <c r="L30" s="39"/>
      <c r="M30" s="126">
        <v>3100</v>
      </c>
      <c r="N30" s="126">
        <v>900</v>
      </c>
      <c r="O30" s="167">
        <v>1</v>
      </c>
      <c r="P30" s="168">
        <f>IF(ISNUMBER(M30),K30*M30*O30,"")</f>
        <v>0.1767</v>
      </c>
      <c r="Q30" s="167">
        <f>IF(ISNUMBER(N30),K30*N30*O30,"")</f>
        <v>5.1300000000000005E-2</v>
      </c>
      <c r="R30" s="163">
        <f>IF(ISNUMBER(M30),(Dermal_Abs*K30*M30*O30/HLOOKUP(Dashboard!$D$4,'Exposure Factors'!$C$3:$E$8,3,FALSE)),"")</f>
        <v>1.4356875000000002E-4</v>
      </c>
      <c r="S30" s="163">
        <f>IF(ISNUMBER(N30),(Dermal_Abs*K30*N30*O30/HLOOKUP(Dashboard!$D$4,'Exposure Factors'!$C$3:$E$8,3,FALSE)),"")</f>
        <v>4.1681250000000007E-5</v>
      </c>
      <c r="T30" s="163">
        <f>IFERROR($R30*$AB30*HLOOKUP(Dashboard!$D$4,'Exposure Factors'!$C$3:$E$8,5,FALSE)/(365*HLOOKUP(Dashboard!$D$4,'Exposure Factors'!$C$3:$E$8,5,FALSE)),"")</f>
        <v>9.8334760273972613E-5</v>
      </c>
      <c r="U30" s="164">
        <f>IFERROR($S30*$AC30*HLOOKUP(Dashboard!$D$4,'Exposure Factors'!$C$3:$E$8,6,FALSE)/(365*HLOOKUP(Dashboard!$D$4,'Exposure Factors'!$C$3:$E$8,6,FALSE)),"")</f>
        <v>1.4502791095890413E-5</v>
      </c>
      <c r="V30" s="130"/>
      <c r="W30" s="131"/>
      <c r="X30" s="132">
        <v>8</v>
      </c>
      <c r="Y30" s="133">
        <v>250</v>
      </c>
      <c r="Z30" s="133">
        <f>ROUNDUP(MEDIAN(4,250),0)</f>
        <v>127</v>
      </c>
      <c r="AA30" s="134">
        <v>1</v>
      </c>
      <c r="AB30" s="134">
        <f>Y30*AA30</f>
        <v>250</v>
      </c>
      <c r="AC30" s="135">
        <f>Z30*AA30</f>
        <v>127</v>
      </c>
    </row>
    <row r="31" spans="1:29" ht="36.75" customHeight="1" thickBot="1" x14ac:dyDescent="0.3">
      <c r="A31" s="32">
        <v>13</v>
      </c>
      <c r="B31" s="169" t="s">
        <v>127</v>
      </c>
      <c r="C31" s="170" t="s">
        <v>39</v>
      </c>
      <c r="D31" s="171" t="s">
        <v>111</v>
      </c>
      <c r="E31" s="172" t="s">
        <v>111</v>
      </c>
      <c r="F31" s="173" t="str">
        <f>IFERROR(Inhal_Abs*D31*HLOOKUP(Dashboard!$D$4,'Exposure Factors'!$C$3:$E$8,2,FALSE)*$X30/HLOOKUP(Dashboard!$D$4,'Exposure Factors'!$C$3:$E$8,3,FALSE),"")</f>
        <v/>
      </c>
      <c r="G31" s="173" t="str">
        <f>IFERROR(Inhal_Abs*E31*HLOOKUP(Dashboard!$D$4,'Exposure Factors'!$C$3:$E$8,2,FALSE)*$X30/HLOOKUP(Dashboard!$D$4,'Exposure Factors'!$C$3:$E$8,3,FALSE),"")</f>
        <v/>
      </c>
      <c r="H31" s="173" t="str">
        <f>IFERROR(F31*$AB31*HLOOKUP(Dashboard!$D$4,'Exposure Factors'!$C$3:$E$8,5,FALSE)/(365*HLOOKUP(Dashboard!$D$4,'Exposure Factors'!$C$3:$E$8,5,FALSE)),"")</f>
        <v/>
      </c>
      <c r="I31" s="174" t="str">
        <f>IFERROR(G31*$AB31*HLOOKUP(Dashboard!$D$4,'Exposure Factors'!$C$3:$E$8,6,FALSE)/(365*HLOOKUP(Dashboard!$D$4,'Exposure Factors'!$C$3:$E$8,6,FALSE)),"")</f>
        <v/>
      </c>
      <c r="J31" s="175"/>
      <c r="K31" s="176"/>
      <c r="L31" s="177"/>
      <c r="M31" s="178"/>
      <c r="N31" s="178"/>
      <c r="O31" s="178"/>
      <c r="P31" s="178"/>
      <c r="Q31" s="178"/>
      <c r="R31" s="178"/>
      <c r="S31" s="178"/>
      <c r="T31" s="178"/>
      <c r="U31" s="179"/>
      <c r="V31" s="32"/>
      <c r="W31" s="180"/>
      <c r="X31" s="181"/>
      <c r="Y31" s="182"/>
      <c r="Z31" s="182"/>
      <c r="AA31" s="182"/>
      <c r="AB31" s="183"/>
      <c r="AC31" s="184"/>
    </row>
  </sheetData>
  <sheetProtection algorithmName="SHA-512" hashValue="U8hmKal6n+FtUqM9wBDCSK+im+/N1XXzEcq6w9M/H/7pYyQ5/efq313ohXMkjcRFaxkLmBgxRX6oDJpDseZhLQ==" saltValue="4tSIRuYD8A50NJwZbUAxiQ==" spinCount="100000" sheet="1" objects="1" scenarios="1"/>
  <mergeCells count="26">
    <mergeCell ref="A3:A5"/>
    <mergeCell ref="B3:B5"/>
    <mergeCell ref="C3:C5"/>
    <mergeCell ref="D3:E3"/>
    <mergeCell ref="V3:V5"/>
    <mergeCell ref="D4:E4"/>
    <mergeCell ref="F4:G4"/>
    <mergeCell ref="H4:I4"/>
    <mergeCell ref="F3:G3"/>
    <mergeCell ref="H3:I3"/>
    <mergeCell ref="J3:J5"/>
    <mergeCell ref="T4:U4"/>
    <mergeCell ref="T3:U3"/>
    <mergeCell ref="K2:U2"/>
    <mergeCell ref="D2:J2"/>
    <mergeCell ref="AB3:AC4"/>
    <mergeCell ref="Y3:Z4"/>
    <mergeCell ref="AA3:AA5"/>
    <mergeCell ref="X3:X5"/>
    <mergeCell ref="W3:W5"/>
    <mergeCell ref="R4:S4"/>
    <mergeCell ref="R3:S3"/>
    <mergeCell ref="M3:N3"/>
    <mergeCell ref="M4:N4"/>
    <mergeCell ref="P3:Q3"/>
    <mergeCell ref="P4:Q4"/>
  </mergeCells>
  <conditionalFormatting sqref="D6:E27">
    <cfRule type="cellIs" dxfId="1" priority="2" operator="lessThan">
      <formula>0.1</formula>
    </cfRule>
  </conditionalFormatting>
  <conditionalFormatting sqref="D30:E30">
    <cfRule type="cellIs" dxfId="0" priority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3442-7093-45D5-9036-A19454391242}">
  <dimension ref="B1:E23"/>
  <sheetViews>
    <sheetView topLeftCell="A2" workbookViewId="0">
      <selection activeCell="E26" sqref="E26"/>
    </sheetView>
  </sheetViews>
  <sheetFormatPr defaultRowHeight="15.75" x14ac:dyDescent="0.25"/>
  <cols>
    <col min="1" max="1" width="4.7109375" style="68" customWidth="1"/>
    <col min="2" max="2" width="24.28515625" style="68" customWidth="1"/>
    <col min="3" max="3" width="9.140625" style="68"/>
    <col min="4" max="4" width="16.5703125" style="68" customWidth="1"/>
    <col min="5" max="5" width="10" style="68" customWidth="1"/>
    <col min="6" max="16384" width="9.140625" style="68"/>
  </cols>
  <sheetData>
    <row r="1" spans="2:5" x14ac:dyDescent="0.25">
      <c r="B1" s="69" t="s">
        <v>12</v>
      </c>
    </row>
    <row r="2" spans="2:5" ht="16.5" thickBot="1" x14ac:dyDescent="0.3"/>
    <row r="3" spans="2:5" ht="48" thickBot="1" x14ac:dyDescent="0.3">
      <c r="C3" s="185" t="s">
        <v>24</v>
      </c>
      <c r="D3" s="186" t="s">
        <v>129</v>
      </c>
      <c r="E3" s="187" t="s">
        <v>130</v>
      </c>
    </row>
    <row r="4" spans="2:5" ht="34.5" x14ac:dyDescent="0.25">
      <c r="B4" s="188" t="s">
        <v>173</v>
      </c>
      <c r="C4" s="189">
        <v>1.25</v>
      </c>
      <c r="D4" s="189">
        <v>1.25</v>
      </c>
      <c r="E4" s="190"/>
    </row>
    <row r="5" spans="2:5" x14ac:dyDescent="0.25">
      <c r="B5" s="191" t="s">
        <v>131</v>
      </c>
      <c r="C5" s="189">
        <v>80</v>
      </c>
      <c r="D5" s="192">
        <f>AVERAGE(65.9,71.9,74.8,77.1)</f>
        <v>72.425000000000011</v>
      </c>
      <c r="E5" s="190"/>
    </row>
    <row r="6" spans="2:5" ht="34.5" x14ac:dyDescent="0.25">
      <c r="B6" s="191" t="s">
        <v>174</v>
      </c>
      <c r="C6" s="193">
        <v>1070</v>
      </c>
      <c r="D6" s="189">
        <v>890</v>
      </c>
      <c r="E6" s="190"/>
    </row>
    <row r="7" spans="2:5" ht="31.5" x14ac:dyDescent="0.25">
      <c r="B7" s="191" t="s">
        <v>132</v>
      </c>
      <c r="C7" s="189">
        <v>40</v>
      </c>
      <c r="D7" s="189">
        <v>40</v>
      </c>
      <c r="E7" s="190">
        <v>40</v>
      </c>
    </row>
    <row r="8" spans="2:5" ht="32.25" thickBot="1" x14ac:dyDescent="0.3">
      <c r="B8" s="194" t="s">
        <v>133</v>
      </c>
      <c r="C8" s="195">
        <v>31</v>
      </c>
      <c r="D8" s="195">
        <v>31</v>
      </c>
      <c r="E8" s="196">
        <v>31</v>
      </c>
    </row>
    <row r="11" spans="2:5" x14ac:dyDescent="0.25">
      <c r="B11" s="69" t="s">
        <v>134</v>
      </c>
    </row>
    <row r="12" spans="2:5" x14ac:dyDescent="0.25">
      <c r="B12" s="197" t="s">
        <v>135</v>
      </c>
    </row>
    <row r="13" spans="2:5" x14ac:dyDescent="0.25">
      <c r="B13" s="68" t="s">
        <v>136</v>
      </c>
    </row>
    <row r="14" spans="2:5" x14ac:dyDescent="0.25">
      <c r="B14" s="68" t="s">
        <v>137</v>
      </c>
    </row>
    <row r="15" spans="2:5" x14ac:dyDescent="0.25">
      <c r="B15" s="68" t="s">
        <v>138</v>
      </c>
    </row>
    <row r="16" spans="2:5" x14ac:dyDescent="0.25">
      <c r="B16" s="68" t="s">
        <v>139</v>
      </c>
    </row>
    <row r="17" spans="2:5" x14ac:dyDescent="0.25">
      <c r="B17" s="68" t="s">
        <v>140</v>
      </c>
    </row>
    <row r="19" spans="2:5" x14ac:dyDescent="0.25">
      <c r="B19" s="197" t="s">
        <v>141</v>
      </c>
    </row>
    <row r="20" spans="2:5" x14ac:dyDescent="0.25">
      <c r="B20" s="68" t="s">
        <v>142</v>
      </c>
    </row>
    <row r="21" spans="2:5" ht="18.75" x14ac:dyDescent="0.25">
      <c r="B21" s="68" t="s">
        <v>175</v>
      </c>
    </row>
    <row r="23" spans="2:5" ht="78" customHeight="1" x14ac:dyDescent="0.25">
      <c r="B23" s="355" t="s">
        <v>143</v>
      </c>
      <c r="C23" s="355"/>
      <c r="D23" s="355"/>
      <c r="E23" s="355"/>
    </row>
  </sheetData>
  <sheetProtection algorithmName="SHA-512" hashValue="CV7D/EHkA2fBJjIw/d0rCNNoeTS1E6LDk2BZciRpfjtGGqpZiUPL3gcY/IlIaHCuHQ8IH/PA6LLqZ1uFepMDPw==" saltValue="nNOHV/SHRJDDinmZgoBnfA==" spinCount="100000" sheet="1" objects="1" scenarios="1"/>
  <mergeCells count="1">
    <mergeCell ref="B23:E2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H23"/>
  <sheetViews>
    <sheetView zoomScaleNormal="100" workbookViewId="0">
      <selection activeCell="D16" sqref="D16"/>
    </sheetView>
  </sheetViews>
  <sheetFormatPr defaultColWidth="8.85546875" defaultRowHeight="15.75" x14ac:dyDescent="0.25"/>
  <cols>
    <col min="1" max="1" width="3.5703125" style="68" customWidth="1"/>
    <col min="2" max="2" width="18.140625" style="68" bestFit="1" customWidth="1"/>
    <col min="3" max="3" width="20.28515625" style="68" bestFit="1" customWidth="1"/>
    <col min="4" max="4" width="25.28515625" style="68" bestFit="1" customWidth="1"/>
    <col min="5" max="5" width="23.7109375" style="68" customWidth="1"/>
    <col min="6" max="6" width="8.85546875" style="68" customWidth="1"/>
    <col min="7" max="7" width="8.85546875" style="68"/>
    <col min="8" max="8" width="13.42578125" style="68" customWidth="1"/>
    <col min="9" max="9" width="6.7109375" style="68" customWidth="1"/>
    <col min="10" max="10" width="6.28515625" style="68" customWidth="1"/>
    <col min="11" max="12" width="6.5703125" style="68" customWidth="1"/>
    <col min="13" max="16384" width="8.85546875" style="68"/>
  </cols>
  <sheetData>
    <row r="1" spans="2:8" x14ac:dyDescent="0.25">
      <c r="B1" s="69" t="s">
        <v>144</v>
      </c>
    </row>
    <row r="2" spans="2:8" x14ac:dyDescent="0.25">
      <c r="B2" s="69"/>
    </row>
    <row r="3" spans="2:8" ht="30" customHeight="1" x14ac:dyDescent="0.25">
      <c r="B3" s="198"/>
      <c r="C3" s="199"/>
      <c r="D3" s="200"/>
      <c r="E3" s="200"/>
      <c r="F3" s="356" t="s">
        <v>145</v>
      </c>
      <c r="G3" s="356"/>
      <c r="H3" s="357"/>
    </row>
    <row r="4" spans="2:8" ht="50.25" x14ac:dyDescent="0.25">
      <c r="B4" s="201"/>
      <c r="C4" s="358" t="s">
        <v>71</v>
      </c>
      <c r="D4" s="358"/>
      <c r="E4" s="202" t="s">
        <v>72</v>
      </c>
      <c r="F4" s="202" t="s">
        <v>146</v>
      </c>
      <c r="G4" s="203" t="s">
        <v>176</v>
      </c>
      <c r="H4" s="204" t="s">
        <v>147</v>
      </c>
    </row>
    <row r="5" spans="2:8" x14ac:dyDescent="0.25">
      <c r="B5" s="198"/>
      <c r="C5" s="205" t="s">
        <v>75</v>
      </c>
      <c r="D5" s="205" t="s">
        <v>76</v>
      </c>
      <c r="E5" s="205" t="s">
        <v>77</v>
      </c>
      <c r="F5" s="206" t="s">
        <v>49</v>
      </c>
      <c r="G5" s="207">
        <v>22.5</v>
      </c>
      <c r="H5" s="208">
        <v>30</v>
      </c>
    </row>
    <row r="6" spans="2:8" x14ac:dyDescent="0.25">
      <c r="B6" s="209" t="s">
        <v>148</v>
      </c>
      <c r="C6" s="359" t="s">
        <v>78</v>
      </c>
      <c r="D6" s="210" t="s">
        <v>79</v>
      </c>
      <c r="E6" s="211" t="s">
        <v>77</v>
      </c>
      <c r="F6" s="211" t="s">
        <v>50</v>
      </c>
      <c r="G6" s="212">
        <v>9.0299999999999994</v>
      </c>
      <c r="H6" s="213">
        <v>100</v>
      </c>
    </row>
    <row r="7" spans="2:8" x14ac:dyDescent="0.25">
      <c r="B7" s="209"/>
      <c r="C7" s="360"/>
      <c r="D7" s="214" t="s">
        <v>80</v>
      </c>
      <c r="E7" s="211" t="s">
        <v>77</v>
      </c>
      <c r="F7" s="211" t="s">
        <v>51</v>
      </c>
      <c r="G7" s="212">
        <v>28.73</v>
      </c>
      <c r="H7" s="213">
        <v>100</v>
      </c>
    </row>
    <row r="8" spans="2:8" x14ac:dyDescent="0.25">
      <c r="B8" s="215"/>
      <c r="C8" s="361"/>
      <c r="D8" s="216" t="s">
        <v>81</v>
      </c>
      <c r="E8" s="217" t="s">
        <v>77</v>
      </c>
      <c r="F8" s="217" t="s">
        <v>52</v>
      </c>
      <c r="G8" s="218">
        <v>89.6</v>
      </c>
      <c r="H8" s="219">
        <v>100</v>
      </c>
    </row>
    <row r="9" spans="2:8" ht="15" customHeight="1" x14ac:dyDescent="0.25">
      <c r="B9" s="220" t="s">
        <v>149</v>
      </c>
      <c r="C9" s="221" t="s">
        <v>75</v>
      </c>
      <c r="D9" s="221" t="s">
        <v>76</v>
      </c>
      <c r="E9" s="221" t="s">
        <v>77</v>
      </c>
      <c r="F9" s="211" t="s">
        <v>57</v>
      </c>
      <c r="G9" s="222">
        <v>1.68</v>
      </c>
      <c r="H9" s="223">
        <v>300</v>
      </c>
    </row>
    <row r="10" spans="2:8" ht="31.5" x14ac:dyDescent="0.25">
      <c r="B10" s="224"/>
      <c r="C10" s="225" t="s">
        <v>84</v>
      </c>
      <c r="D10" s="210" t="s">
        <v>150</v>
      </c>
      <c r="E10" s="211" t="s">
        <v>86</v>
      </c>
      <c r="F10" s="211" t="s">
        <v>58</v>
      </c>
      <c r="G10" s="212">
        <v>24</v>
      </c>
      <c r="H10" s="213">
        <v>1000</v>
      </c>
    </row>
    <row r="11" spans="2:8" x14ac:dyDescent="0.25">
      <c r="B11" s="224"/>
      <c r="C11" s="226" t="s">
        <v>87</v>
      </c>
      <c r="D11" s="227" t="s">
        <v>88</v>
      </c>
      <c r="E11" s="211" t="s">
        <v>77</v>
      </c>
      <c r="F11" s="228" t="s">
        <v>59</v>
      </c>
      <c r="G11" s="229">
        <v>0.68899999999999995</v>
      </c>
      <c r="H11" s="230">
        <v>30</v>
      </c>
    </row>
    <row r="12" spans="2:8" x14ac:dyDescent="0.25">
      <c r="B12" s="224"/>
      <c r="C12" s="359" t="s">
        <v>78</v>
      </c>
      <c r="D12" s="231" t="s">
        <v>79</v>
      </c>
      <c r="E12" s="232" t="s">
        <v>77</v>
      </c>
      <c r="F12" s="232" t="s">
        <v>60</v>
      </c>
      <c r="G12" s="233">
        <v>9.0299999999999994</v>
      </c>
      <c r="H12" s="234">
        <v>100</v>
      </c>
    </row>
    <row r="13" spans="2:8" x14ac:dyDescent="0.25">
      <c r="B13" s="224"/>
      <c r="C13" s="360"/>
      <c r="D13" s="235" t="s">
        <v>80</v>
      </c>
      <c r="E13" s="236" t="s">
        <v>77</v>
      </c>
      <c r="F13" s="236" t="s">
        <v>61</v>
      </c>
      <c r="G13" s="237">
        <v>28.73</v>
      </c>
      <c r="H13" s="238">
        <v>100</v>
      </c>
    </row>
    <row r="14" spans="2:8" x14ac:dyDescent="0.25">
      <c r="B14" s="239"/>
      <c r="C14" s="362"/>
      <c r="D14" s="216" t="s">
        <v>81</v>
      </c>
      <c r="E14" s="217" t="s">
        <v>77</v>
      </c>
      <c r="F14" s="217" t="s">
        <v>62</v>
      </c>
      <c r="G14" s="218">
        <v>89.6</v>
      </c>
      <c r="H14" s="219">
        <v>100</v>
      </c>
    </row>
    <row r="15" spans="2:8" x14ac:dyDescent="0.25">
      <c r="B15" s="240"/>
      <c r="C15" s="241"/>
      <c r="D15" s="242"/>
      <c r="E15" s="243"/>
      <c r="F15" s="243"/>
      <c r="G15" s="244"/>
      <c r="H15" s="245"/>
    </row>
    <row r="23" spans="2:5" x14ac:dyDescent="0.25">
      <c r="B23" s="246"/>
      <c r="C23" s="246"/>
      <c r="D23" s="246"/>
      <c r="E23" s="246"/>
    </row>
  </sheetData>
  <sheetProtection algorithmName="SHA-512" hashValue="bmYOn+iPgQhbQBLOQoc1KUKUfg/i928K30Npa+mYZI6U6JZ0oWv5b1DZ/nIH0FeTqbJZKb9RS9wq+7UxDXbOqA==" saltValue="e1hP/r2nH7W70dx7xKXqfg==" spinCount="100000" sheet="1" objects="1" scenarios="1"/>
  <mergeCells count="4">
    <mergeCell ref="F3:H3"/>
    <mergeCell ref="C4:D4"/>
    <mergeCell ref="C6:C8"/>
    <mergeCell ref="C12:C14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workbookViewId="0">
      <selection activeCell="B14" sqref="B14"/>
    </sheetView>
  </sheetViews>
  <sheetFormatPr defaultRowHeight="15" x14ac:dyDescent="0.25"/>
  <cols>
    <col min="2" max="2" width="40.140625" customWidth="1"/>
    <col min="5" max="5" width="26.28515625" bestFit="1" customWidth="1"/>
  </cols>
  <sheetData>
    <row r="1" spans="1:5" x14ac:dyDescent="0.25">
      <c r="A1" s="1"/>
      <c r="B1" s="3" t="s">
        <v>109</v>
      </c>
      <c r="E1" t="s">
        <v>24</v>
      </c>
    </row>
    <row r="2" spans="1:5" ht="25.5" x14ac:dyDescent="0.25">
      <c r="A2" s="1"/>
      <c r="B2" s="3" t="s">
        <v>112</v>
      </c>
      <c r="E2" t="s">
        <v>129</v>
      </c>
    </row>
    <row r="3" spans="1:5" ht="25.5" x14ac:dyDescent="0.25">
      <c r="A3" s="1"/>
      <c r="B3" s="3" t="s">
        <v>115</v>
      </c>
      <c r="E3" t="s">
        <v>130</v>
      </c>
    </row>
    <row r="4" spans="1:5" x14ac:dyDescent="0.25">
      <c r="A4" s="1"/>
      <c r="B4" s="3" t="s">
        <v>117</v>
      </c>
    </row>
    <row r="5" spans="1:5" ht="25.5" x14ac:dyDescent="0.25">
      <c r="A5" s="1"/>
      <c r="B5" s="3" t="s">
        <v>118</v>
      </c>
      <c r="E5" s="2" t="s">
        <v>106</v>
      </c>
    </row>
    <row r="6" spans="1:5" ht="25.5" x14ac:dyDescent="0.25">
      <c r="A6" s="1"/>
      <c r="B6" s="3" t="s">
        <v>119</v>
      </c>
      <c r="E6" s="2" t="s">
        <v>40</v>
      </c>
    </row>
    <row r="7" spans="1:5" x14ac:dyDescent="0.25">
      <c r="A7" s="1"/>
      <c r="B7" s="3" t="s">
        <v>120</v>
      </c>
    </row>
    <row r="8" spans="1:5" ht="38.25" x14ac:dyDescent="0.25">
      <c r="A8" s="1"/>
      <c r="B8" s="3" t="s">
        <v>121</v>
      </c>
    </row>
    <row r="9" spans="1:5" ht="38.25" x14ac:dyDescent="0.25">
      <c r="A9" s="1"/>
      <c r="B9" s="3" t="s">
        <v>122</v>
      </c>
    </row>
    <row r="10" spans="1:5" x14ac:dyDescent="0.25">
      <c r="A10" s="1"/>
      <c r="B10" s="3" t="s">
        <v>125</v>
      </c>
    </row>
    <row r="11" spans="1:5" x14ac:dyDescent="0.25">
      <c r="A11" s="1"/>
      <c r="B11" s="3" t="s">
        <v>23</v>
      </c>
    </row>
    <row r="12" spans="1:5" x14ac:dyDescent="0.25">
      <c r="B12" s="3" t="s">
        <v>126</v>
      </c>
    </row>
    <row r="13" spans="1:5" x14ac:dyDescent="0.25">
      <c r="A13" s="1"/>
      <c r="B13" s="3" t="s">
        <v>127</v>
      </c>
    </row>
    <row r="14" spans="1:5" x14ac:dyDescent="0.25">
      <c r="A14" s="1"/>
    </row>
    <row r="15" spans="1:5" x14ac:dyDescent="0.25">
      <c r="A15" s="1"/>
    </row>
    <row r="16" spans="1: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sortState xmlns:xlrd2="http://schemas.microsoft.com/office/spreadsheetml/2017/richdata2" ref="A1:B26">
    <sortCondition ref="A1:A26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5675EC85304EB744BDECE6CB534B" ma:contentTypeVersion="32" ma:contentTypeDescription="Create a new document." ma:contentTypeScope="" ma:versionID="9eccc7d37c3a2347a68176302a40a015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4daff301-d14f-4285-8ffc-de1fdd8f5eaf" xmlns:ns6="83301ba7-9f61-456e-8907-29acff73811e" targetNamespace="http://schemas.microsoft.com/office/2006/metadata/properties" ma:root="true" ma:fieldsID="1b1fd1a8a8465f10e1995a2f80ebd774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4daff301-d14f-4285-8ffc-de1fdd8f5eaf"/>
    <xsd:import namespace="83301ba7-9f61-456e-8907-29acff73811e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ingHintHash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EventHashCode" minOccurs="0"/>
                <xsd:element ref="ns6:MediaServiceGenerationTime" minOccurs="0"/>
                <xsd:element ref="ns6:MediaServiceAutoTags" minOccurs="0"/>
                <xsd:element ref="ns6:MediaServiceOCR" minOccurs="0"/>
                <xsd:element ref="ns6:MediaServiceAutoKeyPoints" minOccurs="0"/>
                <xsd:element ref="ns6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ff301-d14f-4285-8ffc-de1fdd8f5eaf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0" nillable="true" ma:displayName="Sharing Hint Hash" ma:internalName="SharingHintHash" ma:readOnly="true">
      <xsd:simpleType>
        <xsd:restriction base="dms:Text"/>
      </xsd:simpleType>
    </xsd:element>
    <xsd:element name="SharedWithDetails" ma:index="3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01ba7-9f61-456e-8907-29acff738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Coverage xmlns="http://schemas.microsoft.com/sharepoint/v3/fields" xsi:nil="true"/>
    <Record xmlns="4ffa91fb-a0ff-4ac5-b2db-65c790d184a4">Shared</Record>
    <EPA_x0020_Office xmlns="4ffa91fb-a0ff-4ac5-b2db-65c790d184a4" xsi:nil="true"/>
    <Document_x0020_Creation_x0020_Date xmlns="4ffa91fb-a0ff-4ac5-b2db-65c790d184a4" xsi:nil="true"/>
    <EPA_x0020_Related_x0020_Documents xmlns="4ffa91fb-a0ff-4ac5-b2db-65c790d184a4" xsi:nil="true"/>
    <_Source xmlns="http://schemas.microsoft.com/sharepoint/v3/fields" xsi:nil="true"/>
    <CategoryDescription xmlns="http://schemas.microsoft.com/sharepoint.v3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TaxKeywordTaxHTField xmlns="4ffa91fb-a0ff-4ac5-b2db-65c790d184a4">
      <Terms xmlns="http://schemas.microsoft.com/office/infopath/2007/PartnerControls"/>
    </TaxKeywordTaxHTField>
    <Rights xmlns="4ffa91fb-a0ff-4ac5-b2db-65c790d184a4" xsi:nil="true"/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Identifier xmlns="4ffa91fb-a0ff-4ac5-b2db-65c790d184a4" xsi:nil="true"/>
    <_ip_UnifiedCompliancePolicyUIAction xmlns="http://schemas.microsoft.com/sharepoint/v3" xsi:nil="true"/>
    <Creator xmlns="4ffa91fb-a0ff-4ac5-b2db-65c790d184a4">
      <UserInfo>
        <DisplayName/>
        <AccountId xsi:nil="true"/>
        <AccountType/>
      </UserInfo>
    </Creator>
    <_ip_UnifiedCompliancePolicyProperties xmlns="http://schemas.microsoft.com/sharepoint/v3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</documentManagement>
</p:properties>
</file>

<file path=customXml/itemProps1.xml><?xml version="1.0" encoding="utf-8"?>
<ds:datastoreItem xmlns:ds="http://schemas.openxmlformats.org/officeDocument/2006/customXml" ds:itemID="{6188E8BE-194E-4033-81EF-8DAF24EA840C}"/>
</file>

<file path=customXml/itemProps2.xml><?xml version="1.0" encoding="utf-8"?>
<ds:datastoreItem xmlns:ds="http://schemas.openxmlformats.org/officeDocument/2006/customXml" ds:itemID="{A88128C1-10D9-40CE-A684-6B7DF78340F9}"/>
</file>

<file path=customXml/itemProps3.xml><?xml version="1.0" encoding="utf-8"?>
<ds:datastoreItem xmlns:ds="http://schemas.openxmlformats.org/officeDocument/2006/customXml" ds:itemID="{A2C40DF7-4077-4283-9200-69FDF39329F6}"/>
</file>

<file path=customXml/itemProps4.xml><?xml version="1.0" encoding="utf-8"?>
<ds:datastoreItem xmlns:ds="http://schemas.openxmlformats.org/officeDocument/2006/customXml" ds:itemID="{F0D2AADB-1E1B-4129-9C20-8FA6792D5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Cover Page</vt:lpstr>
      <vt:lpstr>Table of Contents</vt:lpstr>
      <vt:lpstr>Dashboard</vt:lpstr>
      <vt:lpstr>Risk Reduction Heat Map</vt:lpstr>
      <vt:lpstr>Exposure Results</vt:lpstr>
      <vt:lpstr>Exposure Factors</vt:lpstr>
      <vt:lpstr>Hazard Values</vt:lpstr>
      <vt:lpstr>ListValues</vt:lpstr>
      <vt:lpstr>Breathing_rate_default</vt:lpstr>
      <vt:lpstr>Breathing_rate_user</vt:lpstr>
      <vt:lpstr>Breathing_rate_women</vt:lpstr>
      <vt:lpstr>BW_default</vt:lpstr>
      <vt:lpstr>BW_user</vt:lpstr>
      <vt:lpstr>BW_women</vt:lpstr>
      <vt:lpstr>Dermal_Abs</vt:lpstr>
      <vt:lpstr>Inhal_Abs</vt:lpstr>
      <vt:lpstr>Two_Hand_Surface_default</vt:lpstr>
      <vt:lpstr>Two_Hand_Surface_user</vt:lpstr>
      <vt:lpstr>Two_Hand_Surface_women</vt:lpstr>
      <vt:lpstr>WY_CT_default</vt:lpstr>
      <vt:lpstr>WY_CT_user</vt:lpstr>
      <vt:lpstr>WY_CT_women</vt:lpstr>
      <vt:lpstr>WY_HE_default</vt:lpstr>
      <vt:lpstr>WY_HE_user</vt:lpstr>
      <vt:lpstr>WY_HE_women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2020-09-04T19:26:31Z</dcterms:created>
  <dcterms:modified xsi:type="dcterms:W3CDTF">2020-09-04T19:32:47Z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0x0101006C985675EC85304EB744BDECE6CB534B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