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USER\SHARE\_MPG\Refinery Consent Decree\To Post\Background Reports\Section 13.5\"/>
    </mc:Choice>
  </mc:AlternateContent>
  <bookViews>
    <workbookView xWindow="0" yWindow="0" windowWidth="21600" windowHeight="10320"/>
  </bookViews>
  <sheets>
    <sheet name="FHR AU" sheetId="7" r:id="rId1"/>
    <sheet name="FHR LOU" sheetId="8" r:id="rId2"/>
    <sheet name="MPC Detroit" sheetId="3" r:id="rId3"/>
    <sheet name="MPC TX" sheetId="5" r:id="rId4"/>
    <sheet name="INEOS" sheetId="9" r:id="rId5"/>
    <sheet name="Shell" sheetId="6" r:id="rId6"/>
    <sheet name="TCEQ" sheetId="10" r:id="rId7"/>
    <sheet name="BP" sheetId="11" r:id="rId8"/>
  </sheets>
  <externalReferences>
    <externalReference r:id="rId9"/>
  </externalReferences>
  <definedNames>
    <definedName name="_xlnm.Print_Area" localSheetId="2">'MPC Detroit'!$A$1:$N$93</definedName>
    <definedName name="_xlnm.Print_Area" localSheetId="3">'MPC TX'!$A$1:$N$93</definedName>
    <definedName name="_xlnm.Print_Area" localSheetId="5">Shell!$A$1:$N$93</definedName>
    <definedName name="Z_561CA5F3_4096_40AE_9F04_BBEC52CD5908_.wvu.Cols" localSheetId="2" hidden="1">'MPC Detroit'!$C:$F,'MPC Detroit'!$I:$M,'MPC Detroit'!$P:$P</definedName>
    <definedName name="Z_561CA5F3_4096_40AE_9F04_BBEC52CD5908_.wvu.Cols" localSheetId="3" hidden="1">'MPC TX'!$C:$F,'MPC TX'!$I:$M,'MPC TX'!$P:$P</definedName>
    <definedName name="Z_561CA5F3_4096_40AE_9F04_BBEC52CD5908_.wvu.Cols" localSheetId="5" hidden="1">Shell!$C:$F,Shell!$I:$M,Shell!$P:$P</definedName>
    <definedName name="Z_561CA5F3_4096_40AE_9F04_BBEC52CD5908_.wvu.Rows" localSheetId="2" hidden="1">'MPC Detroit'!$78:$87</definedName>
    <definedName name="Z_561CA5F3_4096_40AE_9F04_BBEC52CD5908_.wvu.Rows" localSheetId="3" hidden="1">'MPC TX'!$78:$87</definedName>
    <definedName name="Z_561CA5F3_4096_40AE_9F04_BBEC52CD5908_.wvu.Rows" localSheetId="5" hidden="1">Shell!$78:$87</definedName>
    <definedName name="Z_AAC11C81_F99A_47A9_AA50_ED9E222CA0E5_.wvu.Cols" localSheetId="2" hidden="1">'MPC Detroit'!$C:$F,'MPC Detroit'!$I:$M,'MPC Detroit'!$P:$P</definedName>
    <definedName name="Z_AAC11C81_F99A_47A9_AA50_ED9E222CA0E5_.wvu.Cols" localSheetId="3" hidden="1">'MPC TX'!$C:$F,'MPC TX'!$I:$M,'MPC TX'!$P:$P</definedName>
    <definedName name="Z_AAC11C81_F99A_47A9_AA50_ED9E222CA0E5_.wvu.Cols" localSheetId="5" hidden="1">Shell!$C:$F,Shell!$I:$M,Shell!$P:$P</definedName>
    <definedName name="Z_AAC11C81_F99A_47A9_AA50_ED9E222CA0E5_.wvu.PrintArea" localSheetId="2" hidden="1">'MPC Detroit'!$A$1:$N$93</definedName>
    <definedName name="Z_AAC11C81_F99A_47A9_AA50_ED9E222CA0E5_.wvu.PrintArea" localSheetId="3" hidden="1">'MPC TX'!$A$1:$N$93</definedName>
    <definedName name="Z_AAC11C81_F99A_47A9_AA50_ED9E222CA0E5_.wvu.PrintArea" localSheetId="5" hidden="1">Shell!$A$1:$N$93</definedName>
    <definedName name="Z_AAC11C81_F99A_47A9_AA50_ED9E222CA0E5_.wvu.Rows" localSheetId="2" hidden="1">'MPC Detroit'!$78:$87</definedName>
    <definedName name="Z_AAC11C81_F99A_47A9_AA50_ED9E222CA0E5_.wvu.Rows" localSheetId="3" hidden="1">'MPC TX'!$78:$87</definedName>
    <definedName name="Z_AAC11C81_F99A_47A9_AA50_ED9E222CA0E5_.wvu.Rows" localSheetId="5" hidden="1">Shell!$78:$87</definedName>
    <definedName name="Z_C982BBFA_69AD_4069_8CD4_57BDAED362AC_.wvu.Cols" localSheetId="2" hidden="1">'MPC Detroit'!$C:$F,'MPC Detroit'!$I:$M,'MPC Detroit'!$P:$P</definedName>
    <definedName name="Z_C982BBFA_69AD_4069_8CD4_57BDAED362AC_.wvu.Cols" localSheetId="3" hidden="1">'MPC TX'!$C:$F,'MPC TX'!$I:$M,'MPC TX'!$P:$P</definedName>
    <definedName name="Z_C982BBFA_69AD_4069_8CD4_57BDAED362AC_.wvu.Cols" localSheetId="5" hidden="1">Shell!$C:$F,Shell!$I:$M,Shell!$P:$P</definedName>
    <definedName name="Z_C982BBFA_69AD_4069_8CD4_57BDAED362AC_.wvu.PrintArea" localSheetId="2" hidden="1">'MPC Detroit'!$A$1:$N$93</definedName>
    <definedName name="Z_C982BBFA_69AD_4069_8CD4_57BDAED362AC_.wvu.PrintArea" localSheetId="3" hidden="1">'MPC TX'!$A$1:$N$93</definedName>
    <definedName name="Z_C982BBFA_69AD_4069_8CD4_57BDAED362AC_.wvu.PrintArea" localSheetId="5" hidden="1">Shell!$A$1:$N$93</definedName>
    <definedName name="Z_C982BBFA_69AD_4069_8CD4_57BDAED362AC_.wvu.Rows" localSheetId="2" hidden="1">'MPC Detroit'!$78:$87</definedName>
    <definedName name="Z_C982BBFA_69AD_4069_8CD4_57BDAED362AC_.wvu.Rows" localSheetId="3" hidden="1">'MPC TX'!$78:$87</definedName>
    <definedName name="Z_C982BBFA_69AD_4069_8CD4_57BDAED362AC_.wvu.Rows" localSheetId="5" hidden="1">Shell!$78:$87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7" i="11" l="1"/>
  <c r="L87" i="11" s="1"/>
  <c r="C87" i="11"/>
  <c r="M86" i="11"/>
  <c r="L86" i="11" s="1"/>
  <c r="F86" i="11"/>
  <c r="E86" i="11" s="1"/>
  <c r="J83" i="11"/>
  <c r="I83" i="11"/>
  <c r="E83" i="11"/>
  <c r="J82" i="11"/>
  <c r="I82" i="11"/>
  <c r="J81" i="11"/>
  <c r="I81" i="11"/>
  <c r="I87" i="11" s="1"/>
  <c r="E81" i="11"/>
  <c r="P77" i="11"/>
  <c r="M77" i="11"/>
  <c r="P76" i="11"/>
  <c r="M76" i="11"/>
  <c r="P75" i="11"/>
  <c r="M75" i="11"/>
  <c r="P74" i="11"/>
  <c r="M74" i="11"/>
  <c r="P73" i="11"/>
  <c r="M73" i="11"/>
  <c r="F73" i="11"/>
  <c r="P72" i="11"/>
  <c r="F72" i="11"/>
  <c r="M72" i="11" s="1"/>
  <c r="P71" i="11"/>
  <c r="M71" i="11"/>
  <c r="F71" i="11"/>
  <c r="P70" i="11"/>
  <c r="F70" i="11"/>
  <c r="M70" i="11" s="1"/>
  <c r="P69" i="11"/>
  <c r="M69" i="11"/>
  <c r="F69" i="11"/>
  <c r="P68" i="11"/>
  <c r="F68" i="11"/>
  <c r="M68" i="11" s="1"/>
  <c r="P67" i="11"/>
  <c r="M67" i="11"/>
  <c r="F67" i="11"/>
  <c r="P66" i="11"/>
  <c r="F66" i="11"/>
  <c r="M66" i="11" s="1"/>
  <c r="P65" i="11"/>
  <c r="P64" i="11"/>
  <c r="F64" i="11"/>
  <c r="M65" i="11" s="1"/>
  <c r="P63" i="11"/>
  <c r="F63" i="11"/>
  <c r="F83" i="11" s="1"/>
  <c r="P60" i="11"/>
  <c r="M60" i="11"/>
  <c r="F60" i="11"/>
  <c r="P59" i="11"/>
  <c r="P58" i="11"/>
  <c r="P57" i="11"/>
  <c r="P56" i="11"/>
  <c r="P55" i="11"/>
  <c r="P54" i="11"/>
  <c r="P53" i="11"/>
  <c r="P52" i="11"/>
  <c r="P51" i="11"/>
  <c r="P50" i="11"/>
  <c r="P49" i="11"/>
  <c r="P48" i="11"/>
  <c r="P47" i="11"/>
  <c r="F47" i="11"/>
  <c r="M59" i="11" s="1"/>
  <c r="C47" i="11"/>
  <c r="P46" i="11"/>
  <c r="F46" i="11"/>
  <c r="M46" i="11" s="1"/>
  <c r="P45" i="11"/>
  <c r="M45" i="11"/>
  <c r="P44" i="11"/>
  <c r="M44" i="11"/>
  <c r="P43" i="11"/>
  <c r="M43" i="11"/>
  <c r="P42" i="11"/>
  <c r="M42" i="11"/>
  <c r="F42" i="11"/>
  <c r="P41" i="11"/>
  <c r="P40" i="11"/>
  <c r="P39" i="11"/>
  <c r="P38" i="11"/>
  <c r="P37" i="11"/>
  <c r="P36" i="11"/>
  <c r="F36" i="11"/>
  <c r="M41" i="11" s="1"/>
  <c r="C36" i="11"/>
  <c r="P35" i="11"/>
  <c r="F35" i="11"/>
  <c r="M35" i="11" s="1"/>
  <c r="C35" i="11"/>
  <c r="P34" i="11"/>
  <c r="F34" i="11"/>
  <c r="M34" i="11" s="1"/>
  <c r="C34" i="11"/>
  <c r="C86" i="11" s="1"/>
  <c r="P33" i="11"/>
  <c r="P32" i="11"/>
  <c r="P31" i="11"/>
  <c r="P30" i="11"/>
  <c r="P29" i="11"/>
  <c r="P28" i="11"/>
  <c r="F28" i="11"/>
  <c r="M33" i="11" s="1"/>
  <c r="P25" i="11"/>
  <c r="M25" i="11"/>
  <c r="F25" i="11"/>
  <c r="P24" i="11"/>
  <c r="F24" i="11"/>
  <c r="M24" i="11" s="1"/>
  <c r="P23" i="11"/>
  <c r="M23" i="11"/>
  <c r="P22" i="11"/>
  <c r="M22" i="11"/>
  <c r="P21" i="11"/>
  <c r="M21" i="11"/>
  <c r="P20" i="11"/>
  <c r="M20" i="11"/>
  <c r="P19" i="11"/>
  <c r="M19" i="11"/>
  <c r="F19" i="11"/>
  <c r="P18" i="11"/>
  <c r="F18" i="11"/>
  <c r="M18" i="11" s="1"/>
  <c r="P17" i="11"/>
  <c r="F17" i="11"/>
  <c r="M17" i="11" s="1"/>
  <c r="P16" i="11"/>
  <c r="P15" i="11"/>
  <c r="F15" i="11"/>
  <c r="M16" i="11" s="1"/>
  <c r="P14" i="11"/>
  <c r="F14" i="11"/>
  <c r="P13" i="11"/>
  <c r="M13" i="11"/>
  <c r="P12" i="11"/>
  <c r="F12" i="11"/>
  <c r="M12" i="11" s="1"/>
  <c r="M64" i="11" l="1"/>
  <c r="H92" i="11"/>
  <c r="F81" i="11"/>
  <c r="M14" i="11"/>
  <c r="F87" i="11"/>
  <c r="F82" i="11"/>
  <c r="I86" i="11"/>
  <c r="J87" i="11"/>
  <c r="M15" i="11"/>
  <c r="M81" i="11" s="1"/>
  <c r="M28" i="11"/>
  <c r="M29" i="11"/>
  <c r="M30" i="11"/>
  <c r="M31" i="11"/>
  <c r="M32" i="11"/>
  <c r="M36" i="11"/>
  <c r="M37" i="11"/>
  <c r="M38" i="11"/>
  <c r="M39" i="11"/>
  <c r="M40" i="11"/>
  <c r="M47" i="11"/>
  <c r="M48" i="11"/>
  <c r="M49" i="11"/>
  <c r="M50" i="11"/>
  <c r="M51" i="11"/>
  <c r="M52" i="11"/>
  <c r="M53" i="11"/>
  <c r="M54" i="11"/>
  <c r="M55" i="11"/>
  <c r="M56" i="11"/>
  <c r="M57" i="11"/>
  <c r="M58" i="11"/>
  <c r="M63" i="11"/>
  <c r="E82" i="11"/>
  <c r="J86" i="11"/>
  <c r="M87" i="9"/>
  <c r="L87" i="9" s="1"/>
  <c r="C87" i="9"/>
  <c r="M86" i="9"/>
  <c r="L86" i="9" s="1"/>
  <c r="F86" i="9"/>
  <c r="E86" i="9" s="1"/>
  <c r="J83" i="9"/>
  <c r="I83" i="9"/>
  <c r="E83" i="9"/>
  <c r="J82" i="9"/>
  <c r="I82" i="9"/>
  <c r="J81" i="9"/>
  <c r="I81" i="9"/>
  <c r="J87" i="9" s="1"/>
  <c r="E81" i="9"/>
  <c r="P77" i="9"/>
  <c r="P76" i="9"/>
  <c r="P75" i="9"/>
  <c r="P74" i="9"/>
  <c r="P73" i="9"/>
  <c r="F73" i="9"/>
  <c r="M77" i="9" s="1"/>
  <c r="P72" i="9"/>
  <c r="F72" i="9"/>
  <c r="M72" i="9" s="1"/>
  <c r="P71" i="9"/>
  <c r="F71" i="9"/>
  <c r="M71" i="9" s="1"/>
  <c r="P70" i="9"/>
  <c r="M70" i="9"/>
  <c r="F70" i="9"/>
  <c r="P69" i="9"/>
  <c r="F69" i="9"/>
  <c r="M69" i="9" s="1"/>
  <c r="P68" i="9"/>
  <c r="F68" i="9"/>
  <c r="M68" i="9" s="1"/>
  <c r="P67" i="9"/>
  <c r="F67" i="9"/>
  <c r="M67" i="9" s="1"/>
  <c r="P66" i="9"/>
  <c r="M66" i="9"/>
  <c r="F66" i="9"/>
  <c r="P65" i="9"/>
  <c r="P64" i="9"/>
  <c r="F64" i="9"/>
  <c r="M65" i="9" s="1"/>
  <c r="P63" i="9"/>
  <c r="M63" i="9"/>
  <c r="F63" i="9"/>
  <c r="P60" i="9"/>
  <c r="F60" i="9"/>
  <c r="M60" i="9" s="1"/>
  <c r="P59" i="9"/>
  <c r="P58" i="9"/>
  <c r="P57" i="9"/>
  <c r="P56" i="9"/>
  <c r="P55" i="9"/>
  <c r="P54" i="9"/>
  <c r="P53" i="9"/>
  <c r="P52" i="9"/>
  <c r="P51" i="9"/>
  <c r="P50" i="9"/>
  <c r="P49" i="9"/>
  <c r="P48" i="9"/>
  <c r="P47" i="9"/>
  <c r="F47" i="9"/>
  <c r="M59" i="9" s="1"/>
  <c r="C47" i="9"/>
  <c r="P46" i="9"/>
  <c r="F46" i="9"/>
  <c r="M46" i="9" s="1"/>
  <c r="P45" i="9"/>
  <c r="P44" i="9"/>
  <c r="P43" i="9"/>
  <c r="P42" i="9"/>
  <c r="F42" i="9"/>
  <c r="M45" i="9" s="1"/>
  <c r="P41" i="9"/>
  <c r="P40" i="9"/>
  <c r="P39" i="9"/>
  <c r="P38" i="9"/>
  <c r="P37" i="9"/>
  <c r="P36" i="9"/>
  <c r="F36" i="9"/>
  <c r="M41" i="9" s="1"/>
  <c r="C36" i="9"/>
  <c r="P35" i="9"/>
  <c r="F35" i="9"/>
  <c r="M35" i="9" s="1"/>
  <c r="C35" i="9"/>
  <c r="P34" i="9"/>
  <c r="F34" i="9"/>
  <c r="M34" i="9" s="1"/>
  <c r="C34" i="9"/>
  <c r="C86" i="9" s="1"/>
  <c r="P33" i="9"/>
  <c r="P32" i="9"/>
  <c r="P31" i="9"/>
  <c r="P30" i="9"/>
  <c r="P29" i="9"/>
  <c r="P28" i="9"/>
  <c r="F28" i="9"/>
  <c r="P25" i="9"/>
  <c r="F25" i="9"/>
  <c r="M25" i="9" s="1"/>
  <c r="P24" i="9"/>
  <c r="F24" i="9"/>
  <c r="M24" i="9" s="1"/>
  <c r="P23" i="9"/>
  <c r="M23" i="9"/>
  <c r="P22" i="9"/>
  <c r="M22" i="9"/>
  <c r="P21" i="9"/>
  <c r="M21" i="9"/>
  <c r="P20" i="9"/>
  <c r="M20" i="9"/>
  <c r="P19" i="9"/>
  <c r="M19" i="9"/>
  <c r="F19" i="9"/>
  <c r="P18" i="9"/>
  <c r="F18" i="9"/>
  <c r="M18" i="9" s="1"/>
  <c r="P17" i="9"/>
  <c r="F17" i="9"/>
  <c r="M17" i="9" s="1"/>
  <c r="P16" i="9"/>
  <c r="P15" i="9"/>
  <c r="F15" i="9"/>
  <c r="M16" i="9" s="1"/>
  <c r="P14" i="9"/>
  <c r="F14" i="9"/>
  <c r="P13" i="9"/>
  <c r="M13" i="9"/>
  <c r="P12" i="9"/>
  <c r="F12" i="9"/>
  <c r="M12" i="9" s="1"/>
  <c r="M87" i="10"/>
  <c r="L87" i="10" s="1"/>
  <c r="C87" i="10"/>
  <c r="M86" i="10"/>
  <c r="L86" i="10" s="1"/>
  <c r="F86" i="10"/>
  <c r="E86" i="10" s="1"/>
  <c r="J83" i="10"/>
  <c r="I83" i="10"/>
  <c r="E83" i="10"/>
  <c r="J82" i="10"/>
  <c r="I82" i="10"/>
  <c r="J81" i="10"/>
  <c r="I81" i="10"/>
  <c r="I87" i="10" s="1"/>
  <c r="E81" i="10"/>
  <c r="P77" i="10"/>
  <c r="M77" i="10"/>
  <c r="P76" i="10"/>
  <c r="M76" i="10"/>
  <c r="P75" i="10"/>
  <c r="M75" i="10"/>
  <c r="P74" i="10"/>
  <c r="M74" i="10"/>
  <c r="P73" i="10"/>
  <c r="M73" i="10"/>
  <c r="F73" i="10"/>
  <c r="P72" i="10"/>
  <c r="F72" i="10"/>
  <c r="M72" i="10" s="1"/>
  <c r="P71" i="10"/>
  <c r="M71" i="10"/>
  <c r="F71" i="10"/>
  <c r="P70" i="10"/>
  <c r="F70" i="10"/>
  <c r="M70" i="10" s="1"/>
  <c r="P69" i="10"/>
  <c r="F69" i="10"/>
  <c r="M69" i="10" s="1"/>
  <c r="P68" i="10"/>
  <c r="F68" i="10"/>
  <c r="M68" i="10" s="1"/>
  <c r="P67" i="10"/>
  <c r="M67" i="10"/>
  <c r="F67" i="10"/>
  <c r="P66" i="10"/>
  <c r="F66" i="10"/>
  <c r="M66" i="10" s="1"/>
  <c r="P65" i="10"/>
  <c r="P64" i="10"/>
  <c r="F64" i="10"/>
  <c r="M65" i="10" s="1"/>
  <c r="P63" i="10"/>
  <c r="F63" i="10"/>
  <c r="P60" i="10"/>
  <c r="M60" i="10"/>
  <c r="F60" i="10"/>
  <c r="P59" i="10"/>
  <c r="P58" i="10"/>
  <c r="P57" i="10"/>
  <c r="P56" i="10"/>
  <c r="P55" i="10"/>
  <c r="P54" i="10"/>
  <c r="P53" i="10"/>
  <c r="P52" i="10"/>
  <c r="P51" i="10"/>
  <c r="P50" i="10"/>
  <c r="P49" i="10"/>
  <c r="P48" i="10"/>
  <c r="P47" i="10"/>
  <c r="F47" i="10"/>
  <c r="M59" i="10" s="1"/>
  <c r="C47" i="10"/>
  <c r="P46" i="10"/>
  <c r="F46" i="10"/>
  <c r="M46" i="10" s="1"/>
  <c r="P45" i="10"/>
  <c r="M45" i="10"/>
  <c r="P44" i="10"/>
  <c r="M44" i="10"/>
  <c r="P43" i="10"/>
  <c r="M43" i="10"/>
  <c r="P42" i="10"/>
  <c r="M42" i="10"/>
  <c r="F42" i="10"/>
  <c r="P41" i="10"/>
  <c r="P40" i="10"/>
  <c r="P39" i="10"/>
  <c r="P38" i="10"/>
  <c r="P37" i="10"/>
  <c r="P36" i="10"/>
  <c r="F36" i="10"/>
  <c r="M41" i="10" s="1"/>
  <c r="C36" i="10"/>
  <c r="P35" i="10"/>
  <c r="F35" i="10"/>
  <c r="M35" i="10" s="1"/>
  <c r="C35" i="10"/>
  <c r="P34" i="10"/>
  <c r="F34" i="10"/>
  <c r="M34" i="10" s="1"/>
  <c r="C34" i="10"/>
  <c r="C86" i="10" s="1"/>
  <c r="P33" i="10"/>
  <c r="P32" i="10"/>
  <c r="P31" i="10"/>
  <c r="P30" i="10"/>
  <c r="P29" i="10"/>
  <c r="P28" i="10"/>
  <c r="F28" i="10"/>
  <c r="M33" i="10" s="1"/>
  <c r="P25" i="10"/>
  <c r="M25" i="10"/>
  <c r="F25" i="10"/>
  <c r="P24" i="10"/>
  <c r="F24" i="10"/>
  <c r="M24" i="10" s="1"/>
  <c r="P23" i="10"/>
  <c r="M23" i="10"/>
  <c r="P22" i="10"/>
  <c r="M22" i="10"/>
  <c r="P21" i="10"/>
  <c r="M21" i="10"/>
  <c r="P20" i="10"/>
  <c r="M20" i="10"/>
  <c r="P19" i="10"/>
  <c r="M19" i="10"/>
  <c r="F19" i="10"/>
  <c r="P18" i="10"/>
  <c r="F18" i="10"/>
  <c r="M18" i="10" s="1"/>
  <c r="P17" i="10"/>
  <c r="M17" i="10"/>
  <c r="F17" i="10"/>
  <c r="P16" i="10"/>
  <c r="P15" i="10"/>
  <c r="F15" i="10"/>
  <c r="M16" i="10" s="1"/>
  <c r="P14" i="10"/>
  <c r="F14" i="10"/>
  <c r="F81" i="10" s="1"/>
  <c r="P13" i="10"/>
  <c r="M13" i="10"/>
  <c r="P12" i="10"/>
  <c r="F12" i="10"/>
  <c r="M12" i="10" s="1"/>
  <c r="M87" i="8"/>
  <c r="L87" i="8"/>
  <c r="J87" i="8"/>
  <c r="I87" i="8"/>
  <c r="F87" i="8"/>
  <c r="E87" i="8" s="1"/>
  <c r="H93" i="8" s="1"/>
  <c r="C87" i="8"/>
  <c r="M86" i="8"/>
  <c r="L86" i="8"/>
  <c r="J86" i="8"/>
  <c r="I86" i="8"/>
  <c r="F86" i="8"/>
  <c r="E86" i="8"/>
  <c r="H92" i="8" s="1"/>
  <c r="C86" i="8"/>
  <c r="J83" i="8"/>
  <c r="I83" i="8"/>
  <c r="F83" i="8"/>
  <c r="E83" i="8"/>
  <c r="J82" i="8"/>
  <c r="I82" i="8"/>
  <c r="F82" i="8"/>
  <c r="E82" i="8"/>
  <c r="J81" i="8"/>
  <c r="I81" i="8"/>
  <c r="F81" i="8"/>
  <c r="E81" i="8"/>
  <c r="P77" i="8"/>
  <c r="M77" i="8"/>
  <c r="P76" i="8"/>
  <c r="M76" i="8"/>
  <c r="P75" i="8"/>
  <c r="M75" i="8"/>
  <c r="P74" i="8"/>
  <c r="M74" i="8"/>
  <c r="P73" i="8"/>
  <c r="M73" i="8"/>
  <c r="F73" i="8"/>
  <c r="P72" i="8"/>
  <c r="M72" i="8"/>
  <c r="F72" i="8"/>
  <c r="P71" i="8"/>
  <c r="M71" i="8"/>
  <c r="F71" i="8"/>
  <c r="P70" i="8"/>
  <c r="M70" i="8"/>
  <c r="F70" i="8"/>
  <c r="P69" i="8"/>
  <c r="M69" i="8"/>
  <c r="F69" i="8"/>
  <c r="P68" i="8"/>
  <c r="M68" i="8"/>
  <c r="F68" i="8"/>
  <c r="P67" i="8"/>
  <c r="M67" i="8"/>
  <c r="F67" i="8"/>
  <c r="P66" i="8"/>
  <c r="M66" i="8"/>
  <c r="F66" i="8"/>
  <c r="P65" i="8"/>
  <c r="M65" i="8"/>
  <c r="P64" i="8"/>
  <c r="M64" i="8"/>
  <c r="M83" i="8" s="1"/>
  <c r="F64" i="8"/>
  <c r="P63" i="8"/>
  <c r="M63" i="8"/>
  <c r="F63" i="8"/>
  <c r="P60" i="8"/>
  <c r="M60" i="8"/>
  <c r="F60" i="8"/>
  <c r="P59" i="8"/>
  <c r="M59" i="8"/>
  <c r="P58" i="8"/>
  <c r="M58" i="8"/>
  <c r="P57" i="8"/>
  <c r="M57" i="8"/>
  <c r="P56" i="8"/>
  <c r="M56" i="8"/>
  <c r="P55" i="8"/>
  <c r="M55" i="8"/>
  <c r="P54" i="8"/>
  <c r="M54" i="8"/>
  <c r="P53" i="8"/>
  <c r="M53" i="8"/>
  <c r="P52" i="8"/>
  <c r="M52" i="8"/>
  <c r="P51" i="8"/>
  <c r="M51" i="8"/>
  <c r="P50" i="8"/>
  <c r="M50" i="8"/>
  <c r="P49" i="8"/>
  <c r="M49" i="8"/>
  <c r="P48" i="8"/>
  <c r="M48" i="8"/>
  <c r="P47" i="8"/>
  <c r="M47" i="8"/>
  <c r="F47" i="8"/>
  <c r="C47" i="8"/>
  <c r="P46" i="8"/>
  <c r="M46" i="8"/>
  <c r="F46" i="8"/>
  <c r="P45" i="8"/>
  <c r="M45" i="8"/>
  <c r="P44" i="8"/>
  <c r="M44" i="8"/>
  <c r="P43" i="8"/>
  <c r="M43" i="8"/>
  <c r="P42" i="8"/>
  <c r="M42" i="8"/>
  <c r="M82" i="8" s="1"/>
  <c r="F42" i="8"/>
  <c r="P41" i="8"/>
  <c r="M41" i="8"/>
  <c r="P40" i="8"/>
  <c r="M40" i="8"/>
  <c r="P39" i="8"/>
  <c r="M39" i="8"/>
  <c r="P38" i="8"/>
  <c r="M38" i="8"/>
  <c r="P37" i="8"/>
  <c r="M37" i="8"/>
  <c r="P36" i="8"/>
  <c r="M36" i="8"/>
  <c r="F36" i="8"/>
  <c r="C36" i="8"/>
  <c r="P35" i="8"/>
  <c r="M35" i="8"/>
  <c r="F35" i="8"/>
  <c r="C35" i="8"/>
  <c r="P34" i="8"/>
  <c r="M34" i="8"/>
  <c r="F34" i="8"/>
  <c r="C34" i="8"/>
  <c r="P33" i="8"/>
  <c r="M33" i="8"/>
  <c r="P32" i="8"/>
  <c r="M32" i="8"/>
  <c r="P31" i="8"/>
  <c r="M31" i="8"/>
  <c r="P30" i="8"/>
  <c r="M30" i="8"/>
  <c r="P29" i="8"/>
  <c r="M29" i="8"/>
  <c r="P28" i="8"/>
  <c r="M28" i="8"/>
  <c r="F28" i="8"/>
  <c r="P25" i="8"/>
  <c r="M25" i="8"/>
  <c r="F25" i="8"/>
  <c r="P24" i="8"/>
  <c r="M24" i="8"/>
  <c r="F24" i="8"/>
  <c r="P23" i="8"/>
  <c r="M23" i="8"/>
  <c r="P22" i="8"/>
  <c r="M22" i="8"/>
  <c r="P21" i="8"/>
  <c r="M21" i="8"/>
  <c r="P20" i="8"/>
  <c r="M20" i="8"/>
  <c r="P19" i="8"/>
  <c r="M19" i="8"/>
  <c r="F19" i="8"/>
  <c r="P18" i="8"/>
  <c r="M18" i="8"/>
  <c r="F18" i="8"/>
  <c r="P17" i="8"/>
  <c r="M17" i="8"/>
  <c r="F17" i="8"/>
  <c r="P16" i="8"/>
  <c r="M16" i="8"/>
  <c r="P15" i="8"/>
  <c r="M15" i="8"/>
  <c r="F15" i="8"/>
  <c r="P14" i="8"/>
  <c r="M14" i="8"/>
  <c r="M81" i="8" s="1"/>
  <c r="F14" i="8"/>
  <c r="P13" i="8"/>
  <c r="M13" i="8"/>
  <c r="P12" i="8"/>
  <c r="M12" i="8"/>
  <c r="F12" i="8"/>
  <c r="M83" i="11" l="1"/>
  <c r="M82" i="11"/>
  <c r="E87" i="11"/>
  <c r="H93" i="11" s="1"/>
  <c r="H7" i="11" s="1"/>
  <c r="H92" i="9"/>
  <c r="F81" i="9"/>
  <c r="H92" i="10"/>
  <c r="M14" i="10"/>
  <c r="F83" i="10"/>
  <c r="M64" i="10"/>
  <c r="M14" i="9"/>
  <c r="F82" i="9"/>
  <c r="M42" i="9"/>
  <c r="F83" i="9"/>
  <c r="F87" i="9" s="1"/>
  <c r="E87" i="9" s="1"/>
  <c r="H93" i="9" s="1"/>
  <c r="M15" i="9"/>
  <c r="M81" i="9" s="1"/>
  <c r="M28" i="9"/>
  <c r="M29" i="9"/>
  <c r="M30" i="9"/>
  <c r="M31" i="9"/>
  <c r="M32" i="9"/>
  <c r="M33" i="9"/>
  <c r="M36" i="9"/>
  <c r="M37" i="9"/>
  <c r="M38" i="9"/>
  <c r="M39" i="9"/>
  <c r="M40" i="9"/>
  <c r="M47" i="9"/>
  <c r="M48" i="9"/>
  <c r="M49" i="9"/>
  <c r="M50" i="9"/>
  <c r="M51" i="9"/>
  <c r="M52" i="9"/>
  <c r="M53" i="9"/>
  <c r="M54" i="9"/>
  <c r="M55" i="9"/>
  <c r="M56" i="9"/>
  <c r="M57" i="9"/>
  <c r="M58" i="9"/>
  <c r="E82" i="9"/>
  <c r="J86" i="9"/>
  <c r="I87" i="9"/>
  <c r="M43" i="9"/>
  <c r="M44" i="9"/>
  <c r="M64" i="9"/>
  <c r="M73" i="9"/>
  <c r="M74" i="9"/>
  <c r="M75" i="9"/>
  <c r="M76" i="9"/>
  <c r="I86" i="9"/>
  <c r="F87" i="10"/>
  <c r="F82" i="10"/>
  <c r="I86" i="10"/>
  <c r="J87" i="10"/>
  <c r="M15" i="10"/>
  <c r="M81" i="10" s="1"/>
  <c r="M28" i="10"/>
  <c r="M29" i="10"/>
  <c r="M30" i="10"/>
  <c r="M31" i="10"/>
  <c r="M32" i="10"/>
  <c r="M36" i="10"/>
  <c r="M37" i="10"/>
  <c r="M38" i="10"/>
  <c r="M39" i="10"/>
  <c r="M40" i="10"/>
  <c r="M47" i="10"/>
  <c r="M48" i="10"/>
  <c r="M49" i="10"/>
  <c r="M50" i="10"/>
  <c r="M51" i="10"/>
  <c r="M52" i="10"/>
  <c r="M53" i="10"/>
  <c r="M54" i="10"/>
  <c r="M55" i="10"/>
  <c r="M56" i="10"/>
  <c r="M57" i="10"/>
  <c r="M58" i="10"/>
  <c r="M63" i="10"/>
  <c r="M83" i="10" s="1"/>
  <c r="E82" i="10"/>
  <c r="J86" i="10"/>
  <c r="H7" i="8"/>
  <c r="H7" i="9" l="1"/>
  <c r="M83" i="9"/>
  <c r="M82" i="9"/>
  <c r="M82" i="10"/>
  <c r="E87" i="10"/>
  <c r="H93" i="10" s="1"/>
  <c r="H7" i="10" s="1"/>
  <c r="M87" i="7" l="1"/>
  <c r="L87" i="7" s="1"/>
  <c r="C87" i="7"/>
  <c r="M86" i="7"/>
  <c r="L86" i="7" s="1"/>
  <c r="F86" i="7"/>
  <c r="E86" i="7" s="1"/>
  <c r="J83" i="7"/>
  <c r="I83" i="7"/>
  <c r="E83" i="7"/>
  <c r="J82" i="7"/>
  <c r="I82" i="7"/>
  <c r="J81" i="7"/>
  <c r="I81" i="7"/>
  <c r="J87" i="7" s="1"/>
  <c r="E81" i="7"/>
  <c r="P77" i="7"/>
  <c r="M77" i="7"/>
  <c r="P76" i="7"/>
  <c r="M76" i="7"/>
  <c r="P75" i="7"/>
  <c r="M75" i="7"/>
  <c r="P74" i="7"/>
  <c r="M74" i="7"/>
  <c r="P73" i="7"/>
  <c r="M73" i="7"/>
  <c r="F73" i="7"/>
  <c r="P72" i="7"/>
  <c r="F72" i="7"/>
  <c r="M72" i="7" s="1"/>
  <c r="P71" i="7"/>
  <c r="M71" i="7"/>
  <c r="F71" i="7"/>
  <c r="P70" i="7"/>
  <c r="F70" i="7"/>
  <c r="M70" i="7" s="1"/>
  <c r="P69" i="7"/>
  <c r="M69" i="7"/>
  <c r="F69" i="7"/>
  <c r="P68" i="7"/>
  <c r="F68" i="7"/>
  <c r="M68" i="7" s="1"/>
  <c r="P67" i="7"/>
  <c r="M67" i="7"/>
  <c r="F67" i="7"/>
  <c r="P66" i="7"/>
  <c r="F66" i="7"/>
  <c r="M66" i="7" s="1"/>
  <c r="P65" i="7"/>
  <c r="M65" i="7"/>
  <c r="P64" i="7"/>
  <c r="M64" i="7"/>
  <c r="F64" i="7"/>
  <c r="P63" i="7"/>
  <c r="F63" i="7"/>
  <c r="F83" i="7" s="1"/>
  <c r="P60" i="7"/>
  <c r="M60" i="7"/>
  <c r="F60" i="7"/>
  <c r="P59" i="7"/>
  <c r="P58" i="7"/>
  <c r="P57" i="7"/>
  <c r="P56" i="7"/>
  <c r="P55" i="7"/>
  <c r="P54" i="7"/>
  <c r="P53" i="7"/>
  <c r="P52" i="7"/>
  <c r="P51" i="7"/>
  <c r="P50" i="7"/>
  <c r="P49" i="7"/>
  <c r="P48" i="7"/>
  <c r="P47" i="7"/>
  <c r="F47" i="7"/>
  <c r="M59" i="7" s="1"/>
  <c r="C47" i="7"/>
  <c r="P46" i="7"/>
  <c r="F46" i="7"/>
  <c r="M46" i="7" s="1"/>
  <c r="P45" i="7"/>
  <c r="M45" i="7"/>
  <c r="P44" i="7"/>
  <c r="M44" i="7"/>
  <c r="P43" i="7"/>
  <c r="M43" i="7"/>
  <c r="P42" i="7"/>
  <c r="M42" i="7"/>
  <c r="F42" i="7"/>
  <c r="P41" i="7"/>
  <c r="P40" i="7"/>
  <c r="P39" i="7"/>
  <c r="P38" i="7"/>
  <c r="P37" i="7"/>
  <c r="P36" i="7"/>
  <c r="F36" i="7"/>
  <c r="M41" i="7" s="1"/>
  <c r="C36" i="7"/>
  <c r="P35" i="7"/>
  <c r="F35" i="7"/>
  <c r="M35" i="7" s="1"/>
  <c r="C35" i="7"/>
  <c r="P34" i="7"/>
  <c r="F34" i="7"/>
  <c r="M34" i="7" s="1"/>
  <c r="C34" i="7"/>
  <c r="C86" i="7" s="1"/>
  <c r="P33" i="7"/>
  <c r="P32" i="7"/>
  <c r="P31" i="7"/>
  <c r="P30" i="7"/>
  <c r="P29" i="7"/>
  <c r="P28" i="7"/>
  <c r="F28" i="7"/>
  <c r="M33" i="7" s="1"/>
  <c r="P25" i="7"/>
  <c r="M25" i="7"/>
  <c r="F25" i="7"/>
  <c r="P24" i="7"/>
  <c r="F24" i="7"/>
  <c r="M24" i="7" s="1"/>
  <c r="P23" i="7"/>
  <c r="M23" i="7"/>
  <c r="P22" i="7"/>
  <c r="M22" i="7"/>
  <c r="P21" i="7"/>
  <c r="M21" i="7"/>
  <c r="P20" i="7"/>
  <c r="M20" i="7"/>
  <c r="P19" i="7"/>
  <c r="M19" i="7"/>
  <c r="F19" i="7"/>
  <c r="P18" i="7"/>
  <c r="F18" i="7"/>
  <c r="M18" i="7" s="1"/>
  <c r="P17" i="7"/>
  <c r="M17" i="7"/>
  <c r="F17" i="7"/>
  <c r="P16" i="7"/>
  <c r="P15" i="7"/>
  <c r="F15" i="7"/>
  <c r="M16" i="7" s="1"/>
  <c r="P14" i="7"/>
  <c r="M14" i="7"/>
  <c r="F14" i="7"/>
  <c r="F81" i="7" s="1"/>
  <c r="P13" i="7"/>
  <c r="M13" i="7"/>
  <c r="P12" i="7"/>
  <c r="F12" i="7"/>
  <c r="M12" i="7" s="1"/>
  <c r="F87" i="7" l="1"/>
  <c r="E87" i="7" s="1"/>
  <c r="H93" i="7" s="1"/>
  <c r="H92" i="7"/>
  <c r="F82" i="7"/>
  <c r="M15" i="7"/>
  <c r="M81" i="7" s="1"/>
  <c r="M28" i="7"/>
  <c r="M29" i="7"/>
  <c r="M30" i="7"/>
  <c r="M31" i="7"/>
  <c r="M32" i="7"/>
  <c r="M36" i="7"/>
  <c r="M37" i="7"/>
  <c r="M38" i="7"/>
  <c r="M39" i="7"/>
  <c r="M40" i="7"/>
  <c r="M47" i="7"/>
  <c r="M48" i="7"/>
  <c r="M49" i="7"/>
  <c r="M50" i="7"/>
  <c r="M51" i="7"/>
  <c r="M52" i="7"/>
  <c r="M53" i="7"/>
  <c r="M54" i="7"/>
  <c r="M55" i="7"/>
  <c r="M56" i="7"/>
  <c r="M57" i="7"/>
  <c r="M58" i="7"/>
  <c r="M63" i="7"/>
  <c r="M83" i="7" s="1"/>
  <c r="E82" i="7"/>
  <c r="J86" i="7"/>
  <c r="I87" i="7"/>
  <c r="I86" i="7"/>
  <c r="M82" i="7" l="1"/>
  <c r="H7" i="7"/>
  <c r="M87" i="6" l="1"/>
  <c r="L87" i="6" s="1"/>
  <c r="C87" i="6"/>
  <c r="M86" i="6"/>
  <c r="L86" i="6"/>
  <c r="F86" i="6"/>
  <c r="E86" i="6"/>
  <c r="H92" i="6" s="1"/>
  <c r="J83" i="6"/>
  <c r="I83" i="6"/>
  <c r="E83" i="6"/>
  <c r="J82" i="6"/>
  <c r="I82" i="6"/>
  <c r="J81" i="6"/>
  <c r="I81" i="6"/>
  <c r="I87" i="6" s="1"/>
  <c r="E81" i="6"/>
  <c r="P77" i="6"/>
  <c r="M77" i="6"/>
  <c r="P76" i="6"/>
  <c r="M76" i="6"/>
  <c r="P75" i="6"/>
  <c r="M75" i="6"/>
  <c r="P74" i="6"/>
  <c r="M74" i="6"/>
  <c r="P73" i="6"/>
  <c r="M73" i="6"/>
  <c r="F73" i="6"/>
  <c r="P72" i="6"/>
  <c r="F72" i="6"/>
  <c r="M72" i="6" s="1"/>
  <c r="P71" i="6"/>
  <c r="M71" i="6"/>
  <c r="F71" i="6"/>
  <c r="P70" i="6"/>
  <c r="F70" i="6"/>
  <c r="M70" i="6" s="1"/>
  <c r="P69" i="6"/>
  <c r="M69" i="6"/>
  <c r="F69" i="6"/>
  <c r="P68" i="6"/>
  <c r="F68" i="6"/>
  <c r="M68" i="6" s="1"/>
  <c r="P67" i="6"/>
  <c r="M67" i="6"/>
  <c r="F67" i="6"/>
  <c r="P66" i="6"/>
  <c r="F66" i="6"/>
  <c r="M66" i="6" s="1"/>
  <c r="P65" i="6"/>
  <c r="M65" i="6"/>
  <c r="P64" i="6"/>
  <c r="M64" i="6"/>
  <c r="F64" i="6"/>
  <c r="P63" i="6"/>
  <c r="F63" i="6"/>
  <c r="F83" i="6" s="1"/>
  <c r="P60" i="6"/>
  <c r="M60" i="6"/>
  <c r="F60" i="6"/>
  <c r="P59" i="6"/>
  <c r="P58" i="6"/>
  <c r="P57" i="6"/>
  <c r="P56" i="6"/>
  <c r="P55" i="6"/>
  <c r="P54" i="6"/>
  <c r="P53" i="6"/>
  <c r="P52" i="6"/>
  <c r="P51" i="6"/>
  <c r="P50" i="6"/>
  <c r="P49" i="6"/>
  <c r="P48" i="6"/>
  <c r="P47" i="6"/>
  <c r="F47" i="6"/>
  <c r="M59" i="6" s="1"/>
  <c r="C47" i="6"/>
  <c r="P46" i="6"/>
  <c r="F46" i="6"/>
  <c r="M46" i="6" s="1"/>
  <c r="P45" i="6"/>
  <c r="M45" i="6"/>
  <c r="P44" i="6"/>
  <c r="M44" i="6"/>
  <c r="P43" i="6"/>
  <c r="M43" i="6"/>
  <c r="P42" i="6"/>
  <c r="M42" i="6"/>
  <c r="F42" i="6"/>
  <c r="P41" i="6"/>
  <c r="P40" i="6"/>
  <c r="P39" i="6"/>
  <c r="P38" i="6"/>
  <c r="P37" i="6"/>
  <c r="P36" i="6"/>
  <c r="F36" i="6"/>
  <c r="M41" i="6" s="1"/>
  <c r="C36" i="6"/>
  <c r="P35" i="6"/>
  <c r="F35" i="6"/>
  <c r="M35" i="6" s="1"/>
  <c r="C35" i="6"/>
  <c r="P34" i="6"/>
  <c r="F34" i="6"/>
  <c r="M34" i="6" s="1"/>
  <c r="C34" i="6"/>
  <c r="C86" i="6" s="1"/>
  <c r="P33" i="6"/>
  <c r="P32" i="6"/>
  <c r="P31" i="6"/>
  <c r="P30" i="6"/>
  <c r="P29" i="6"/>
  <c r="P28" i="6"/>
  <c r="F28" i="6"/>
  <c r="M33" i="6" s="1"/>
  <c r="P25" i="6"/>
  <c r="M25" i="6"/>
  <c r="F25" i="6"/>
  <c r="P24" i="6"/>
  <c r="F24" i="6"/>
  <c r="M24" i="6" s="1"/>
  <c r="P23" i="6"/>
  <c r="M23" i="6"/>
  <c r="P22" i="6"/>
  <c r="M22" i="6"/>
  <c r="P21" i="6"/>
  <c r="M21" i="6"/>
  <c r="P20" i="6"/>
  <c r="M20" i="6"/>
  <c r="P19" i="6"/>
  <c r="M19" i="6"/>
  <c r="F19" i="6"/>
  <c r="P18" i="6"/>
  <c r="F18" i="6"/>
  <c r="M18" i="6" s="1"/>
  <c r="P17" i="6"/>
  <c r="M17" i="6"/>
  <c r="F17" i="6"/>
  <c r="P16" i="6"/>
  <c r="P15" i="6"/>
  <c r="F15" i="6"/>
  <c r="M16" i="6" s="1"/>
  <c r="P14" i="6"/>
  <c r="M14" i="6"/>
  <c r="F14" i="6"/>
  <c r="F81" i="6" s="1"/>
  <c r="P13" i="6"/>
  <c r="M13" i="6"/>
  <c r="P12" i="6"/>
  <c r="F12" i="6"/>
  <c r="M12" i="6" s="1"/>
  <c r="M87" i="5"/>
  <c r="L87" i="5" s="1"/>
  <c r="C87" i="5"/>
  <c r="M86" i="5"/>
  <c r="L86" i="5" s="1"/>
  <c r="F86" i="5"/>
  <c r="E86" i="5" s="1"/>
  <c r="J83" i="5"/>
  <c r="I83" i="5"/>
  <c r="E83" i="5"/>
  <c r="J82" i="5"/>
  <c r="I82" i="5"/>
  <c r="J81" i="5"/>
  <c r="I81" i="5"/>
  <c r="E81" i="5"/>
  <c r="P77" i="5"/>
  <c r="P76" i="5"/>
  <c r="P75" i="5"/>
  <c r="P74" i="5"/>
  <c r="P73" i="5"/>
  <c r="F73" i="5"/>
  <c r="M77" i="5" s="1"/>
  <c r="P72" i="5"/>
  <c r="F72" i="5"/>
  <c r="M72" i="5" s="1"/>
  <c r="P71" i="5"/>
  <c r="M71" i="5"/>
  <c r="F71" i="5"/>
  <c r="P70" i="5"/>
  <c r="F70" i="5"/>
  <c r="M70" i="5" s="1"/>
  <c r="P69" i="5"/>
  <c r="F69" i="5"/>
  <c r="M69" i="5" s="1"/>
  <c r="P68" i="5"/>
  <c r="F68" i="5"/>
  <c r="M68" i="5" s="1"/>
  <c r="P67" i="5"/>
  <c r="F67" i="5"/>
  <c r="M67" i="5" s="1"/>
  <c r="P66" i="5"/>
  <c r="F66" i="5"/>
  <c r="M66" i="5" s="1"/>
  <c r="P65" i="5"/>
  <c r="P64" i="5"/>
  <c r="F64" i="5"/>
  <c r="M65" i="5" s="1"/>
  <c r="P63" i="5"/>
  <c r="F63" i="5"/>
  <c r="P60" i="5"/>
  <c r="F60" i="5"/>
  <c r="M60" i="5" s="1"/>
  <c r="P59" i="5"/>
  <c r="P58" i="5"/>
  <c r="P57" i="5"/>
  <c r="P56" i="5"/>
  <c r="P55" i="5"/>
  <c r="P54" i="5"/>
  <c r="P53" i="5"/>
  <c r="P52" i="5"/>
  <c r="P51" i="5"/>
  <c r="P50" i="5"/>
  <c r="P49" i="5"/>
  <c r="P48" i="5"/>
  <c r="P47" i="5"/>
  <c r="F47" i="5"/>
  <c r="M59" i="5" s="1"/>
  <c r="C47" i="5"/>
  <c r="P46" i="5"/>
  <c r="F46" i="5"/>
  <c r="M46" i="5" s="1"/>
  <c r="P45" i="5"/>
  <c r="P44" i="5"/>
  <c r="P43" i="5"/>
  <c r="P42" i="5"/>
  <c r="F42" i="5"/>
  <c r="M45" i="5" s="1"/>
  <c r="P41" i="5"/>
  <c r="P40" i="5"/>
  <c r="P39" i="5"/>
  <c r="P38" i="5"/>
  <c r="P37" i="5"/>
  <c r="P36" i="5"/>
  <c r="F36" i="5"/>
  <c r="M41" i="5" s="1"/>
  <c r="C36" i="5"/>
  <c r="P35" i="5"/>
  <c r="F35" i="5"/>
  <c r="M35" i="5" s="1"/>
  <c r="C35" i="5"/>
  <c r="P34" i="5"/>
  <c r="F34" i="5"/>
  <c r="M34" i="5" s="1"/>
  <c r="C34" i="5"/>
  <c r="P33" i="5"/>
  <c r="P32" i="5"/>
  <c r="P31" i="5"/>
  <c r="P30" i="5"/>
  <c r="P29" i="5"/>
  <c r="P28" i="5"/>
  <c r="F28" i="5"/>
  <c r="M33" i="5" s="1"/>
  <c r="P25" i="5"/>
  <c r="F25" i="5"/>
  <c r="M25" i="5" s="1"/>
  <c r="P24" i="5"/>
  <c r="F24" i="5"/>
  <c r="M24" i="5" s="1"/>
  <c r="P23" i="5"/>
  <c r="P22" i="5"/>
  <c r="P21" i="5"/>
  <c r="P20" i="5"/>
  <c r="P19" i="5"/>
  <c r="F19" i="5"/>
  <c r="M23" i="5" s="1"/>
  <c r="P18" i="5"/>
  <c r="F18" i="5"/>
  <c r="M18" i="5" s="1"/>
  <c r="P17" i="5"/>
  <c r="M17" i="5"/>
  <c r="F17" i="5"/>
  <c r="P16" i="5"/>
  <c r="P15" i="5"/>
  <c r="F15" i="5"/>
  <c r="M16" i="5" s="1"/>
  <c r="P14" i="5"/>
  <c r="M14" i="5"/>
  <c r="F14" i="5"/>
  <c r="P13" i="5"/>
  <c r="M13" i="5"/>
  <c r="P12" i="5"/>
  <c r="F12" i="5"/>
  <c r="M12" i="5" s="1"/>
  <c r="M87" i="3"/>
  <c r="L87" i="3" s="1"/>
  <c r="C87" i="3"/>
  <c r="M86" i="3"/>
  <c r="L86" i="3" s="1"/>
  <c r="F86" i="3"/>
  <c r="E86" i="3" s="1"/>
  <c r="J83" i="3"/>
  <c r="I83" i="3"/>
  <c r="E83" i="3"/>
  <c r="J82" i="3"/>
  <c r="I82" i="3"/>
  <c r="J81" i="3"/>
  <c r="I81" i="3"/>
  <c r="I87" i="3" s="1"/>
  <c r="E81" i="3"/>
  <c r="P77" i="3"/>
  <c r="P76" i="3"/>
  <c r="P75" i="3"/>
  <c r="P74" i="3"/>
  <c r="P73" i="3"/>
  <c r="F73" i="3"/>
  <c r="M77" i="3" s="1"/>
  <c r="P72" i="3"/>
  <c r="F72" i="3"/>
  <c r="M72" i="3" s="1"/>
  <c r="P71" i="3"/>
  <c r="M71" i="3"/>
  <c r="F71" i="3"/>
  <c r="P70" i="3"/>
  <c r="F70" i="3"/>
  <c r="M70" i="3" s="1"/>
  <c r="P69" i="3"/>
  <c r="F69" i="3"/>
  <c r="M69" i="3" s="1"/>
  <c r="P68" i="3"/>
  <c r="F68" i="3"/>
  <c r="M68" i="3" s="1"/>
  <c r="P67" i="3"/>
  <c r="M67" i="3"/>
  <c r="F67" i="3"/>
  <c r="P66" i="3"/>
  <c r="F66" i="3"/>
  <c r="M66" i="3" s="1"/>
  <c r="P65" i="3"/>
  <c r="P64" i="3"/>
  <c r="F64" i="3"/>
  <c r="M65" i="3" s="1"/>
  <c r="P63" i="3"/>
  <c r="F63" i="3"/>
  <c r="F83" i="3" s="1"/>
  <c r="P60" i="3"/>
  <c r="M60" i="3"/>
  <c r="F60" i="3"/>
  <c r="P59" i="3"/>
  <c r="P58" i="3"/>
  <c r="P57" i="3"/>
  <c r="P56" i="3"/>
  <c r="P55" i="3"/>
  <c r="P54" i="3"/>
  <c r="P53" i="3"/>
  <c r="P52" i="3"/>
  <c r="P51" i="3"/>
  <c r="P50" i="3"/>
  <c r="P49" i="3"/>
  <c r="P48" i="3"/>
  <c r="P47" i="3"/>
  <c r="F47" i="3"/>
  <c r="M59" i="3" s="1"/>
  <c r="C47" i="3"/>
  <c r="P46" i="3"/>
  <c r="F46" i="3"/>
  <c r="M46" i="3" s="1"/>
  <c r="P45" i="3"/>
  <c r="M45" i="3"/>
  <c r="P44" i="3"/>
  <c r="M44" i="3"/>
  <c r="P43" i="3"/>
  <c r="M43" i="3"/>
  <c r="P42" i="3"/>
  <c r="M42" i="3"/>
  <c r="F42" i="3"/>
  <c r="P41" i="3"/>
  <c r="P40" i="3"/>
  <c r="P39" i="3"/>
  <c r="P38" i="3"/>
  <c r="P37" i="3"/>
  <c r="P36" i="3"/>
  <c r="F36" i="3"/>
  <c r="M41" i="3" s="1"/>
  <c r="C36" i="3"/>
  <c r="P35" i="3"/>
  <c r="F35" i="3"/>
  <c r="M35" i="3" s="1"/>
  <c r="C35" i="3"/>
  <c r="P34" i="3"/>
  <c r="F34" i="3"/>
  <c r="M34" i="3" s="1"/>
  <c r="C34" i="3"/>
  <c r="P33" i="3"/>
  <c r="P32" i="3"/>
  <c r="P31" i="3"/>
  <c r="P30" i="3"/>
  <c r="P29" i="3"/>
  <c r="P28" i="3"/>
  <c r="F28" i="3"/>
  <c r="M33" i="3" s="1"/>
  <c r="P25" i="3"/>
  <c r="M25" i="3"/>
  <c r="F25" i="3"/>
  <c r="P24" i="3"/>
  <c r="F24" i="3"/>
  <c r="M24" i="3" s="1"/>
  <c r="P23" i="3"/>
  <c r="P22" i="3"/>
  <c r="P21" i="3"/>
  <c r="P20" i="3"/>
  <c r="P19" i="3"/>
  <c r="F19" i="3"/>
  <c r="M23" i="3" s="1"/>
  <c r="P18" i="3"/>
  <c r="F18" i="3"/>
  <c r="M18" i="3" s="1"/>
  <c r="P17" i="3"/>
  <c r="F17" i="3"/>
  <c r="M17" i="3" s="1"/>
  <c r="P16" i="3"/>
  <c r="P15" i="3"/>
  <c r="F15" i="3"/>
  <c r="M16" i="3" s="1"/>
  <c r="P14" i="3"/>
  <c r="F14" i="3"/>
  <c r="F81" i="3" s="1"/>
  <c r="F87" i="3" s="1"/>
  <c r="P13" i="3"/>
  <c r="M13" i="3"/>
  <c r="P12" i="3"/>
  <c r="F12" i="3"/>
  <c r="M12" i="3" s="1"/>
  <c r="M81" i="6" l="1"/>
  <c r="F87" i="6"/>
  <c r="F82" i="6"/>
  <c r="I86" i="6"/>
  <c r="J87" i="6"/>
  <c r="M15" i="6"/>
  <c r="M28" i="6"/>
  <c r="M29" i="6"/>
  <c r="M30" i="6"/>
  <c r="M31" i="6"/>
  <c r="M32" i="6"/>
  <c r="M36" i="6"/>
  <c r="M37" i="6"/>
  <c r="M38" i="6"/>
  <c r="M39" i="6"/>
  <c r="M40" i="6"/>
  <c r="M47" i="6"/>
  <c r="M48" i="6"/>
  <c r="M49" i="6"/>
  <c r="M50" i="6"/>
  <c r="M51" i="6"/>
  <c r="M52" i="6"/>
  <c r="M53" i="6"/>
  <c r="M54" i="6"/>
  <c r="M55" i="6"/>
  <c r="M56" i="6"/>
  <c r="M57" i="6"/>
  <c r="M58" i="6"/>
  <c r="M63" i="6"/>
  <c r="M83" i="6" s="1"/>
  <c r="E82" i="6"/>
  <c r="J86" i="6"/>
  <c r="M14" i="3"/>
  <c r="M19" i="3"/>
  <c r="M20" i="3"/>
  <c r="M21" i="3"/>
  <c r="M22" i="3"/>
  <c r="C86" i="3"/>
  <c r="M64" i="3"/>
  <c r="M73" i="3"/>
  <c r="M74" i="3"/>
  <c r="M75" i="3"/>
  <c r="M76" i="3"/>
  <c r="M42" i="5"/>
  <c r="M43" i="5"/>
  <c r="M44" i="5"/>
  <c r="F83" i="5"/>
  <c r="F87" i="5" s="1"/>
  <c r="I87" i="5"/>
  <c r="H92" i="5"/>
  <c r="F81" i="5"/>
  <c r="M19" i="5"/>
  <c r="M20" i="5"/>
  <c r="M21" i="5"/>
  <c r="M22" i="5"/>
  <c r="C86" i="5"/>
  <c r="M64" i="5"/>
  <c r="M73" i="5"/>
  <c r="M74" i="5"/>
  <c r="M75" i="5"/>
  <c r="M76" i="5"/>
  <c r="M81" i="5"/>
  <c r="F82" i="5"/>
  <c r="I86" i="5"/>
  <c r="J87" i="5"/>
  <c r="M15" i="5"/>
  <c r="M28" i="5"/>
  <c r="M29" i="5"/>
  <c r="M30" i="5"/>
  <c r="M31" i="5"/>
  <c r="M32" i="5"/>
  <c r="M36" i="5"/>
  <c r="M37" i="5"/>
  <c r="M38" i="5"/>
  <c r="M39" i="5"/>
  <c r="M40" i="5"/>
  <c r="M47" i="5"/>
  <c r="M48" i="5"/>
  <c r="M49" i="5"/>
  <c r="M50" i="5"/>
  <c r="M51" i="5"/>
  <c r="M52" i="5"/>
  <c r="M53" i="5"/>
  <c r="M54" i="5"/>
  <c r="M55" i="5"/>
  <c r="M56" i="5"/>
  <c r="M57" i="5"/>
  <c r="M58" i="5"/>
  <c r="M63" i="5"/>
  <c r="M83" i="5" s="1"/>
  <c r="E82" i="5"/>
  <c r="J86" i="5"/>
  <c r="H92" i="3"/>
  <c r="F82" i="3"/>
  <c r="I86" i="3"/>
  <c r="J87" i="3"/>
  <c r="E87" i="3" s="1"/>
  <c r="H93" i="3" s="1"/>
  <c r="M15" i="3"/>
  <c r="M81" i="3" s="1"/>
  <c r="M28" i="3"/>
  <c r="M29" i="3"/>
  <c r="M30" i="3"/>
  <c r="M31" i="3"/>
  <c r="M32" i="3"/>
  <c r="M36" i="3"/>
  <c r="M37" i="3"/>
  <c r="M38" i="3"/>
  <c r="M39" i="3"/>
  <c r="M40" i="3"/>
  <c r="M47" i="3"/>
  <c r="M48" i="3"/>
  <c r="M49" i="3"/>
  <c r="M50" i="3"/>
  <c r="M51" i="3"/>
  <c r="M52" i="3"/>
  <c r="M53" i="3"/>
  <c r="M54" i="3"/>
  <c r="M55" i="3"/>
  <c r="M56" i="3"/>
  <c r="M57" i="3"/>
  <c r="M58" i="3"/>
  <c r="M63" i="3"/>
  <c r="E82" i="3"/>
  <c r="J86" i="3"/>
  <c r="M82" i="6" l="1"/>
  <c r="E87" i="6"/>
  <c r="H93" i="6" s="1"/>
  <c r="H7" i="6" s="1"/>
  <c r="M83" i="3"/>
  <c r="M82" i="5"/>
  <c r="E87" i="5"/>
  <c r="H93" i="5" s="1"/>
  <c r="H7" i="5" s="1"/>
  <c r="H7" i="3"/>
  <c r="M82" i="3"/>
</calcChain>
</file>

<file path=xl/comments1.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2.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3.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4.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5.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6.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7.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comments8.xml><?xml version="1.0" encoding="utf-8"?>
<comments xmlns="http://schemas.openxmlformats.org/spreadsheetml/2006/main">
  <authors>
    <author>Ron Myers - EPA</author>
  </authors>
  <commentList>
    <comment ref="A1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9 and a file is attached  to the Method 1 location supporting documentation file area.</t>
        </r>
      </text>
    </comment>
    <comment ref="A1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is entered in area 8 and a file is attached  to the Alternate Method Request and approval file area.</t>
        </r>
      </text>
    </comment>
    <comment ref="K16" authorId="0" shapeId="0">
      <text>
        <r>
          <rPr>
            <b/>
            <sz val="10"/>
            <color indexed="81"/>
            <rFont val="Tahoma"/>
            <family val="2"/>
          </rPr>
          <t>Ron Myers - EPA:</t>
        </r>
        <r>
          <rPr>
            <sz val="10"/>
            <color indexed="81"/>
            <rFont val="Tahoma"/>
            <family val="2"/>
          </rPr>
          <t xml:space="preserve">
Should we subtract more than 6 if deviations were unacceptable? How to handle if they applied for deviations prior to test?</t>
        </r>
      </text>
    </comment>
    <comment ref="A1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one item in 4a is provided, values are provided in Process Run Data for all runs, text is entered in area 5a and at least one control device selected in 5b .</t>
        </r>
      </text>
    </comment>
    <comment ref="A1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on item in area 4a is provided, Process Run Data values are provided for all runs, text is entered in 5a, a file is attached to 5a (Source/Process Flow Diagram, and at least one control device selected in 5b.</t>
        </r>
      </text>
    </comment>
    <comment ref="A1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more than one parameter is entered in area 4a, Process Run Data are provided for all parameters and runs, text is entered in 5a, a file is attached to 5a (Source/Process Flow Diagram, at least one control device selected in 5b and APCD Run Data values are provided for all runs.</t>
        </r>
      </text>
    </comment>
    <comment ref="A24" authorId="0" shapeId="0">
      <text>
        <r>
          <rPr>
            <b/>
            <sz val="10"/>
            <color indexed="81"/>
            <rFont val="Tahoma"/>
            <family val="2"/>
          </rPr>
          <t>EPA:</t>
        </r>
        <r>
          <rPr>
            <sz val="10"/>
            <color indexed="81"/>
            <rFont val="Tahoma"/>
            <family val="2"/>
          </rPr>
          <t xml:space="preserve">
The ERT will change the response from "No" to "Yes" if there is an entry in "Tester DQ Assessment"</t>
        </r>
      </text>
    </comment>
    <comment ref="A2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in "Field Notes/QA discussion" or if text was added to "Tester Comments"</t>
        </r>
      </text>
    </comment>
    <comment ref="A28"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calibration and inspections sheets are attached.</t>
        </r>
      </text>
    </comment>
    <comment ref="A34" authorId="0" shapeId="0">
      <text>
        <r>
          <rPr>
            <b/>
            <sz val="8"/>
            <color indexed="81"/>
            <rFont val="Tahoma"/>
            <family val="2"/>
          </rPr>
          <t>EPA:</t>
        </r>
        <r>
          <rPr>
            <sz val="8"/>
            <color indexed="81"/>
            <rFont val="Tahoma"/>
            <family val="2"/>
          </rPr>
          <t xml:space="preserve">
</t>
        </r>
        <r>
          <rPr>
            <sz val="10"/>
            <color indexed="81"/>
            <rFont val="Arial"/>
            <family val="2"/>
          </rPr>
          <t>The response will be changed from no to yes when there is an attachment showing the stack dimensions and distances to disturbances.</t>
        </r>
      </text>
    </comment>
    <comment ref="A35"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 to "Cyclonic Flow Documentation"</t>
        </r>
      </text>
    </comment>
    <comment ref="A3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document is attached to "Run Field Data Sheets"</t>
        </r>
      </text>
    </comment>
    <comment ref="A4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of a document indicating certification.</t>
        </r>
      </text>
    </comment>
    <comment ref="A47"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"Lab Data"</t>
        </r>
      </text>
    </comment>
    <comment ref="A6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there is an attachment for Chain-of-Custody</t>
        </r>
      </text>
    </comment>
    <comment ref="A63"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text has been added to item #8 or if a file is attached to "Alternate Method Request"</t>
        </r>
      </text>
    </comment>
    <comment ref="A64"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test date is before Expiration Date in Run Data Calibrations</t>
        </r>
      </text>
    </comment>
    <comment ref="A66"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 document is attached in "Interference / Response Time / Converter Efficiency / Stratification Check"</t>
        </r>
      </text>
    </comment>
    <comment ref="A67" authorId="0" shapeId="0">
      <text>
        <r>
          <rPr>
            <b/>
            <sz val="10"/>
            <color indexed="81"/>
            <rFont val="Tahoma"/>
            <family val="2"/>
          </rPr>
          <t xml:space="preserve">EPA:
</t>
        </r>
        <r>
          <rPr>
            <sz val="10"/>
            <color indexed="81"/>
            <rFont val="Tahoma"/>
            <family val="2"/>
          </rPr>
          <t>The ERT will change the response from "No" to "Yes" if a document is attached in "Interference / Response Time / Converter Efficiency / Stratification Check"</t>
        </r>
      </text>
    </comment>
    <comment ref="A68"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at least three Direct and both System Calibrations are completed for Run Data Details Calibrations.</t>
        </r>
      </text>
    </comment>
    <comment ref="A69"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Post test Calibration Drift are entered in Run Data Details ITM Run Results.</t>
        </r>
      </text>
    </comment>
    <comment ref="A70" authorId="0" shapeId="0">
      <text>
        <r>
          <rPr>
            <b/>
            <sz val="8"/>
            <color indexed="81"/>
            <rFont val="Tahoma"/>
            <family val="2"/>
          </rPr>
          <t>EPA:</t>
        </r>
        <r>
          <rPr>
            <sz val="8"/>
            <color indexed="81"/>
            <rFont val="Tahoma"/>
            <family val="2"/>
          </rPr>
          <t xml:space="preserve">
</t>
        </r>
        <r>
          <rPr>
            <sz val="10"/>
            <color indexed="81"/>
            <rFont val="Arial"/>
            <family val="2"/>
          </rPr>
          <t>The ERT will change the response from "No" to "Yes" if both the Pre and Post test System Bias checks are completed in Run Data Details ITM Results.</t>
        </r>
      </text>
    </comment>
    <comment ref="A71"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attachment of the converter efficiency evaluation.</t>
        </r>
      </text>
    </comment>
    <comment ref="A72"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with the addition of the evaluation of the stack gases demonstrating the absence of stratification and the placement of the sample point at the point of average concentration.</t>
        </r>
      </text>
    </comment>
    <comment ref="A73" authorId="0" shapeId="0">
      <text>
        <r>
          <rPr>
            <b/>
            <sz val="8"/>
            <color indexed="81"/>
            <rFont val="Tahoma"/>
            <family val="2"/>
          </rPr>
          <t>EPA:</t>
        </r>
        <r>
          <rPr>
            <sz val="8"/>
            <color indexed="81"/>
            <rFont val="Tahoma"/>
            <family val="2"/>
          </rPr>
          <t xml:space="preserve">
</t>
        </r>
        <r>
          <rPr>
            <sz val="10"/>
            <color indexed="81"/>
            <rFont val="Arial"/>
            <family val="2"/>
          </rPr>
          <t>The response should be changed to "YES" when the raw instrument data are attached.</t>
        </r>
      </text>
    </comment>
  </commentList>
</comments>
</file>

<file path=xl/sharedStrings.xml><?xml version="1.0" encoding="utf-8"?>
<sst xmlns="http://schemas.openxmlformats.org/spreadsheetml/2006/main" count="1308" uniqueCount="149">
  <si>
    <t>Name of Facility where the test was performed</t>
  </si>
  <si>
    <t>Name of Company performing stationary source test</t>
  </si>
  <si>
    <t>SCC of tested unit or units</t>
  </si>
  <si>
    <t>Name of assessor and name of employer.</t>
  </si>
  <si>
    <t>Name of regulatory assessor and regulatory agency name.</t>
  </si>
  <si>
    <t>NA</t>
  </si>
  <si>
    <t>Emissions Factor Development Quality Indicator Value Rating</t>
  </si>
  <si>
    <t>Yes</t>
  </si>
  <si>
    <t>No</t>
  </si>
  <si>
    <t>N/A</t>
  </si>
  <si>
    <t>Supporting Documentation Provided</t>
  </si>
  <si>
    <t>Response</t>
  </si>
  <si>
    <t>Points</t>
  </si>
  <si>
    <t>Regulatory Agency Review</t>
  </si>
  <si>
    <r>
      <t>Yes</t>
    </r>
    <r>
      <rPr>
        <sz val="11"/>
        <color theme="1"/>
        <rFont val="Arial"/>
        <family val="2"/>
      </rPr>
      <t>¹</t>
    </r>
  </si>
  <si>
    <r>
      <t>Yes</t>
    </r>
    <r>
      <rPr>
        <sz val="11"/>
        <color theme="1"/>
        <rFont val="Calibri"/>
        <family val="2"/>
      </rPr>
      <t>²</t>
    </r>
  </si>
  <si>
    <t>Justification</t>
  </si>
  <si>
    <t>General</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</si>
  <si>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Stack Testing Accreditation Council (STAC), California Air Resources Board (CARB), National Environmental Laboratory Accreditation Program (NELAP)) or self declaration provides documentation of competence as an AETB.</t>
  </si>
  <si>
    <t>As described in ASTM D7036-12 Standard Practice for Competence of Air Emission Testing Bodies, does the testing firm meet the criteria as an AETB or is the person in charge of the field team a QI for the type of testing conducted? A certificate from an independent organization (e.g., STAC, CARB, NELAP) or self declaration provides documentation of competence as an AETB.</t>
  </si>
  <si>
    <t>Was a representative of the regulatory agency on site during the test?</t>
  </si>
  <si>
    <t>Is a description and drawing of test location provided?</t>
  </si>
  <si>
    <t>Has a description of deviations from published test methods been provided, or is there a statement that deviations were not required to obtain data representative of typical facility operation?</t>
  </si>
  <si>
    <t>Is there documentation that the source or the test company sought and obtained approval for deviations from the published test method prior to conducting the test or that the tester's assertion that deviations were not required to obtain data representative of operations that are typical for the facility?</t>
  </si>
  <si>
    <t>Were all test method deviations acceptable?</t>
  </si>
  <si>
    <t>Is a full description of the process and the unit being tested (including installed controls) provided?</t>
  </si>
  <si>
    <t>Has a detailed discussion of source operating conditions, air pollution control device operations and the representativeness of measurements made during the test been provided?</t>
  </si>
  <si>
    <t>Were the operating parameters for the tested process unit and associated controls described and reported?</t>
  </si>
  <si>
    <t>Is there documentation that the required process monitors have been calibrated and that the calibration is acceptable?</t>
  </si>
  <si>
    <t>Was the process capacity documented?</t>
  </si>
  <si>
    <t>Was the process operating within an appropriate range for the test program objectives?</t>
  </si>
  <si>
    <t>Were process data concurrent with testing?</t>
  </si>
  <si>
    <t>Were data included in the report for all parameters for which limits will be set?</t>
  </si>
  <si>
    <t>Is there an assessment of the validity, representativeness, achievement of DQO's and usability of the data?</t>
  </si>
  <si>
    <t>Did the report discuss the representativeness of the facility operations, control device operation, and the measurements of the target pollutants, and were any changes from published test methods or process and control device monitoring protocols identified?</t>
  </si>
  <si>
    <t>Have field notes addressing issues that may influence data quality been provided?</t>
  </si>
  <si>
    <t>Were all sampling issues handled such that data quality was not adversely affected?</t>
  </si>
  <si>
    <t>Manual Test Methods</t>
  </si>
  <si>
    <t>Have the following been included in the report:</t>
  </si>
  <si>
    <t>Dry gas meter (DGM) calibrations, pitot tube and nozzle inspections?</t>
  </si>
  <si>
    <t>Was the DGM pre-test calibration within the criteria specified by the test method?</t>
  </si>
  <si>
    <t>see App A.3 (includes DGM, nozzle, pitot tube)</t>
  </si>
  <si>
    <t>Was the DGM post-test calibration within the criteria specified by the test method?</t>
  </si>
  <si>
    <t>Were thermocouple calibrations within method criteria?</t>
  </si>
  <si>
    <t>Was the pitot tube inspection acceptable?</t>
  </si>
  <si>
    <t>Were nozzle inspections acceptable?</t>
  </si>
  <si>
    <t>Were flow meter calibrations acceptable?</t>
  </si>
  <si>
    <t>Was the Method 1 sample point evaluation included in the report?</t>
  </si>
  <si>
    <t>Were the appropriate number and location of sampling points used?</t>
  </si>
  <si>
    <t>Were the cyclonic flow checks included in the report?</t>
  </si>
  <si>
    <t>Did the cyclonic flow evaluation show the presence of an acceptable average gas flow angle?</t>
  </si>
  <si>
    <t>Were the raw sampling data and test sheets included in the report?</t>
  </si>
  <si>
    <t>Were all data required by the method recorded?</t>
  </si>
  <si>
    <t>Were required leak checks performed and did the checks meet method requirements?</t>
  </si>
  <si>
    <t>Was the required minimum sample volume collected?</t>
  </si>
  <si>
    <t>Did probe, filter, and impinger exit temperatures meet method criteria (as applicable)?</t>
  </si>
  <si>
    <t>Did isokinetic sampling rates meet method criteria?</t>
  </si>
  <si>
    <t>Was the sampling time at each point greater than 2 minutes and the same for each point?</t>
  </si>
  <si>
    <t>Did the report include a description and flow diagram of the recovery procedures?</t>
  </si>
  <si>
    <t>Was the recovery process consistent with the method?</t>
  </si>
  <si>
    <t>see pp. 33-34, described but no flow diagram.</t>
  </si>
  <si>
    <t>Were all required blanks collected in the field?</t>
  </si>
  <si>
    <t>Where performed, were blank corrections handled per method requirements?</t>
  </si>
  <si>
    <t>Were sample volumes clearly marked on the jar or measured and recorded?</t>
  </si>
  <si>
    <t>Was the laboratory certified/accredited to perform these analyses?</t>
  </si>
  <si>
    <t>Unknown?</t>
  </si>
  <si>
    <t>Did the report include a complete laboratory report and flow diagram of sample analysis?</t>
  </si>
  <si>
    <t>Did the laboratory note the sample volume upon receipt?</t>
  </si>
  <si>
    <t>pp. 460-495, lab report data are there, but no flow diagram.</t>
  </si>
  <si>
    <t>If sample loss occurred, was the compensation method used documented and approved for the method?</t>
  </si>
  <si>
    <t>Were the physical characteristics of the samples (e.g., color, volume, integrity, pH, temperature) recorded and consistent with the method?</t>
  </si>
  <si>
    <t>Were sample hold times within method requirements?</t>
  </si>
  <si>
    <t>Does the laboratory report document the analytical procedures and techniques?</t>
  </si>
  <si>
    <t>Were all laboratory QA requirements documented?</t>
  </si>
  <si>
    <t>Were analytical standards required by the method documented?</t>
  </si>
  <si>
    <t>Were required laboratory duplicates within acceptable limits?</t>
  </si>
  <si>
    <t xml:space="preserve">Were required spike recoveries within method requirements?  </t>
  </si>
  <si>
    <t>Were method-specified analytical blanks analyzed?</t>
  </si>
  <si>
    <t>If problems occurred during analysis, is there sufficient documentation to conclude that the problems did not adversely affect the sample results?</t>
  </si>
  <si>
    <t>Was the analytical detection limit specified in the test report?</t>
  </si>
  <si>
    <t>Is the reported detection limit adequate for the purposes of the test program?</t>
  </si>
  <si>
    <t>Were the chain-of-custody forms included in the report?</t>
  </si>
  <si>
    <t>Do the chain-of-custody forms indicate acceptable management of collected samples between collection and analysis?</t>
  </si>
  <si>
    <t>Did the report include a complete description of the instrumental method sampling system?</t>
  </si>
  <si>
    <t>Was a complete description of the sampling system provided?</t>
  </si>
  <si>
    <t>Did the report include calibration gas certifications?</t>
  </si>
  <si>
    <t>Were calibration standards used prior to the end of the expiration date?</t>
  </si>
  <si>
    <t>Did calibration standards meet method criteria?</t>
  </si>
  <si>
    <t>Did report include interference tests?</t>
  </si>
  <si>
    <t>Did interference checks meet method requirements?</t>
  </si>
  <si>
    <t>Were the response time tests included in the report?</t>
  </si>
  <si>
    <t>Was a response time test performed?</t>
  </si>
  <si>
    <t>Were the calibration error tests included in the report?</t>
  </si>
  <si>
    <t>Did calibration error tests meet method requirements?</t>
  </si>
  <si>
    <t>Did the report include drift tests?</t>
  </si>
  <si>
    <t>Were drift tests performed after each run and did they meet method requirements?</t>
  </si>
  <si>
    <t>Did the report include system bias tests?</t>
  </si>
  <si>
    <t>Did system bias checks meet method requirements?</t>
  </si>
  <si>
    <t>Were the converter efficiency tests included in the report?</t>
  </si>
  <si>
    <t>Was the NOX converter test acceptable?</t>
  </si>
  <si>
    <t>Did the report include stratification checks?</t>
  </si>
  <si>
    <t>Was a stratification assessment performed?</t>
  </si>
  <si>
    <t>Did the report include the raw data for the instrumental method?</t>
  </si>
  <si>
    <t>Was the duration of each sample run within method criteria?</t>
  </si>
  <si>
    <t>Was an appropriate traverse performed during sample collection, or was the probe placed at an appropriate center point (if allowed by the method)?</t>
  </si>
  <si>
    <t>Were sample times at each point uniform and did they meet the method requirements?</t>
  </si>
  <si>
    <t>Were sample lines heated sufficiently to prevent potential adverse data quality issues?</t>
  </si>
  <si>
    <t>Was all data required by the method recorded?</t>
  </si>
  <si>
    <t>Points Awarded for Supporting Documentation Presence</t>
  </si>
  <si>
    <t>Max Pot</t>
  </si>
  <si>
    <t>Awarded</t>
  </si>
  <si>
    <t>General Points Awarded</t>
  </si>
  <si>
    <t>General Points Total</t>
  </si>
  <si>
    <t>Manual Test Questions Points Awarded</t>
  </si>
  <si>
    <t>Manual Test Questions Total</t>
  </si>
  <si>
    <t>Instumental Test Questions Points Awarded</t>
  </si>
  <si>
    <t>Instrumental Test Questions Total</t>
  </si>
  <si>
    <t xml:space="preserve"> </t>
  </si>
  <si>
    <t>Theoret Max %</t>
  </si>
  <si>
    <t>Max Pt</t>
  </si>
  <si>
    <t>PerCent</t>
  </si>
  <si>
    <t>Actual Points</t>
  </si>
  <si>
    <t>Theoret</t>
  </si>
  <si>
    <t>Max</t>
  </si>
  <si>
    <t>Actual</t>
  </si>
  <si>
    <t>Manual Test</t>
  </si>
  <si>
    <t>Instrumental Test</t>
  </si>
  <si>
    <t>Total</t>
  </si>
  <si>
    <t>yes</t>
  </si>
  <si>
    <t>Gerri Garwood, EPA</t>
  </si>
  <si>
    <t>no</t>
  </si>
  <si>
    <t>A modified RATA check</t>
  </si>
  <si>
    <t>Precision assessment</t>
  </si>
  <si>
    <t>Marathon Petroleum - Detroit Refinery</t>
  </si>
  <si>
    <t>Marathon Petroleum - Texas City Refinery</t>
  </si>
  <si>
    <t>Shell Deer Park Refinery</t>
  </si>
  <si>
    <t>Shell Global Solutions, Inc and IMACC</t>
  </si>
  <si>
    <t>Clean Air Engineering and IMACC</t>
  </si>
  <si>
    <t>Flint Hills Resources - Port Arthur Refinery</t>
  </si>
  <si>
    <t>John Zink Test Facility</t>
  </si>
  <si>
    <t>UT Austin and IMACC</t>
  </si>
  <si>
    <t>Long Term Stability Check included</t>
  </si>
  <si>
    <t>calibration spectra</t>
  </si>
  <si>
    <t>Pre-cal at lab and then daily radiance calibration</t>
  </si>
  <si>
    <t>INEOS - Addyston, Ohio Facility</t>
  </si>
  <si>
    <t>IMACC</t>
  </si>
  <si>
    <t>BP Texas City</t>
  </si>
  <si>
    <t>Off-site calibration</t>
  </si>
  <si>
    <t>Gas cell calibrations onsite</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</si>
</sst>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0"/>
      <name val="Arial"/>
    </font>
    <font>
      <b/>
      <sz val="11"/>
      <color theme="1"/>
      <name val="Calibri"/>
      <family val="2"/>
      <scheme val="minor"/>
    </font>
    <font>
      <sz val="10"/>
      <color theme="6" tint="-0.249977111117893"/>
      <name val="Arial"/>
      <family val="2"/>
    </font>
    <font>
      <sz val="11"/>
      <name val="Arial"/>
      <family val="2"/>
    </font>
    <font>
      <sz val="10"/>
      <name val="Arial"/>
      <family val="2"/>
    </font>
    <font>
      <sz val="10"/>
      <color rgb="FF0000FF"/>
      <name val="Arial"/>
      <family val="2"/>
    </font>
    <font>
      <b/>
      <sz val="18"/>
      <color theme="1"/>
      <name val="Calibri"/>
      <family val="2"/>
      <scheme val="minor"/>
    </font>
    <font>
      <sz val="16"/>
      <color rgb="FFC00000"/>
      <name val="Calibri"/>
      <family val="2"/>
      <scheme val="minor"/>
    </font>
    <font>
      <b/>
      <sz val="14"/>
      <color theme="1"/>
      <name val="Calibri"/>
      <family val="2"/>
      <scheme val="minor"/>
    </font>
    <font>
      <sz val="14"/>
      <color theme="1"/>
      <name val="Calibri"/>
      <family val="2"/>
      <scheme val="minor"/>
    </font>
    <font>
      <sz val="11"/>
      <color theme="1"/>
      <name val="Arial"/>
      <family val="2"/>
    </font>
    <font>
      <sz val="11"/>
      <color theme="1"/>
      <name val="Calibri"/>
      <family val="2"/>
    </font>
    <font>
      <sz val="10"/>
      <color rgb="FFFF0000"/>
      <name val="Arial"/>
      <family val="2"/>
    </font>
    <font>
      <sz val="11"/>
      <color rgb="FFFF0000"/>
      <name val="Arial"/>
      <family val="2"/>
    </font>
    <font>
      <b/>
      <u val="double"/>
      <sz val="12"/>
      <color theme="1"/>
      <name val="Calibri"/>
      <family val="2"/>
      <scheme val="minor"/>
    </font>
    <font>
      <b/>
      <sz val="8"/>
      <color indexed="81"/>
      <name val="Tahoma"/>
      <family val="2"/>
    </font>
    <font>
      <sz val="8"/>
      <color indexed="81"/>
      <name val="Tahoma"/>
      <family val="2"/>
    </font>
    <font>
      <sz val="10"/>
      <color indexed="81"/>
      <name val="Arial"/>
      <family val="2"/>
    </font>
    <font>
      <b/>
      <sz val="10"/>
      <color indexed="81"/>
      <name val="Tahoma"/>
      <family val="2"/>
    </font>
    <font>
      <sz val="10"/>
      <color indexed="81"/>
      <name val="Tahoma"/>
      <family val="2"/>
    </font>
  </fonts>
  <fills count="6">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tint="-0.34998626667073579"/>
        <bgColor indexed="64"/>
      </patternFill>
    </fill>
  </fills>
  <borders count="8">
    <border>
      <left/>
      <right/>
      <top/>
      <bottom/>
      <diagonal/>
    </border>
    <border>
      <left style="thin">
        <color theme="6" tint="-0.499984740745262"/>
      </left>
      <right style="thin">
        <color theme="6" tint="-0.499984740745262"/>
      </right>
      <top style="thin">
        <color theme="6" tint="-0.499984740745262"/>
      </top>
      <bottom style="thin">
        <color theme="6" tint="-0.499984740745262"/>
      </bottom>
      <diagonal/>
    </border>
    <border>
      <left/>
      <right style="thin">
        <color theme="6" tint="-0.499984740745262"/>
      </right>
      <top style="thin">
        <color theme="6" tint="-0.499984740745262"/>
      </top>
      <bottom style="thin">
        <color rgb="FF0000FF"/>
      </bottom>
      <diagonal/>
    </border>
    <border>
      <left style="thin">
        <color theme="6" tint="-0.499984740745262"/>
      </left>
      <right/>
      <top style="thin">
        <color theme="6" tint="-0.499984740745262"/>
      </top>
      <bottom style="thin">
        <color rgb="FF0000FF"/>
      </bottom>
      <diagonal/>
    </border>
    <border>
      <left/>
      <right/>
      <top style="thin">
        <color theme="6" tint="-0.499984740745262"/>
      </top>
      <bottom style="thin">
        <color rgb="FF0000FF"/>
      </bottom>
      <diagonal/>
    </border>
    <border>
      <left style="thin">
        <color rgb="FF0000FF"/>
      </left>
      <right style="thin">
        <color rgb="FF0000FF"/>
      </right>
      <top style="thin">
        <color rgb="FF0000FF"/>
      </top>
      <bottom style="thin">
        <color rgb="FF0000FF"/>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s>
  <cellStyleXfs count="1">
    <xf numFmtId="0" fontId="0" fillId="0" borderId="0">
      <alignment wrapText="1"/>
    </xf>
  </cellStyleXfs>
  <cellXfs count="91">
    <xf numFmtId="0" fontId="0" fillId="0" borderId="0" xfId="0">
      <alignment wrapText="1"/>
    </xf>
    <xf numFmtId="0" fontId="2" fillId="2" borderId="1" xfId="0" applyFont="1" applyFill="1" applyBorder="1" applyAlignment="1" applyProtection="1">
      <alignment vertical="center"/>
    </xf>
    <xf numFmtId="0" fontId="0" fillId="0" borderId="0" xfId="0" applyBorder="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Border="1" applyAlignment="1" applyProtection="1">
      <alignment vertical="center"/>
    </xf>
    <xf numFmtId="0" fontId="4" fillId="0" borderId="0" xfId="0" applyFont="1" applyFill="1" applyBorder="1" applyAlignment="1" applyProtection="1">
      <alignment vertical="center"/>
    </xf>
    <xf numFmtId="0" fontId="4" fillId="2" borderId="2" xfId="0" applyFont="1" applyFill="1" applyBorder="1" applyAlignment="1" applyProtection="1">
      <alignment vertical="center"/>
    </xf>
    <xf numFmtId="0" fontId="5" fillId="3" borderId="5" xfId="0" applyFont="1" applyFill="1" applyBorder="1" applyAlignment="1" applyProtection="1">
      <alignment vertical="center"/>
    </xf>
    <xf numFmtId="0" fontId="7" fillId="4" borderId="0" xfId="0" applyFont="1" applyFill="1" applyBorder="1" applyAlignment="1" applyProtection="1">
      <alignment horizontal="center" vertical="center"/>
    </xf>
    <xf numFmtId="0" fontId="6" fillId="4" borderId="0" xfId="0" applyFont="1" applyFill="1" applyBorder="1" applyAlignment="1" applyProtection="1">
      <alignment horizontal="right" vertical="center"/>
    </xf>
    <xf numFmtId="0" fontId="0" fillId="4" borderId="0" xfId="0" applyFill="1" applyAlignment="1" applyProtection="1">
      <alignment horizontal="right" vertical="center"/>
    </xf>
    <xf numFmtId="0" fontId="0" fillId="0" borderId="0" xfId="0" quotePrefix="1" applyBorder="1" applyAlignment="1" applyProtection="1">
      <alignment horizontal="center" vertical="center"/>
    </xf>
    <xf numFmtId="0" fontId="8" fillId="0" borderId="6" xfId="0" applyFont="1" applyBorder="1" applyAlignment="1" applyProtection="1">
      <alignment horizontal="center" vertical="center"/>
    </xf>
    <xf numFmtId="0" fontId="8" fillId="0" borderId="6" xfId="0" applyFont="1" applyBorder="1" applyAlignment="1" applyProtection="1">
      <alignment horizontal="center" vertical="center" textRotation="56"/>
    </xf>
    <xf numFmtId="0" fontId="9" fillId="0" borderId="6" xfId="0" applyFont="1" applyBorder="1" applyAlignment="1" applyProtection="1">
      <alignment horizontal="center" vertical="center" textRotation="60"/>
    </xf>
    <xf numFmtId="0" fontId="9" fillId="0" borderId="6" xfId="0" applyFont="1" applyFill="1" applyBorder="1" applyAlignment="1" applyProtection="1">
      <alignment horizontal="center" vertical="center" textRotation="59"/>
    </xf>
    <xf numFmtId="0" fontId="9" fillId="0" borderId="6" xfId="0" applyFont="1" applyFill="1" applyBorder="1" applyAlignment="1" applyProtection="1">
      <alignment horizontal="center" vertical="center" textRotation="58"/>
    </xf>
    <xf numFmtId="0" fontId="8" fillId="0" borderId="6" xfId="0" applyFont="1" applyBorder="1" applyAlignment="1" applyProtection="1">
      <alignment horizontal="center" vertical="center" textRotation="57"/>
    </xf>
    <xf numFmtId="0" fontId="0" fillId="0" borderId="6" xfId="0" applyFill="1" applyBorder="1" applyAlignment="1" applyProtection="1">
      <alignment horizontal="center" vertical="center" textRotation="57"/>
    </xf>
    <xf numFmtId="0" fontId="8" fillId="0" borderId="6" xfId="0" applyFont="1" applyFill="1" applyBorder="1" applyAlignment="1" applyProtection="1">
      <alignment horizontal="center" vertical="center"/>
    </xf>
    <xf numFmtId="0" fontId="8" fillId="0" borderId="6" xfId="0" applyFont="1" applyBorder="1" applyAlignment="1" applyProtection="1">
      <alignment horizontal="center" vertical="center"/>
    </xf>
    <xf numFmtId="0" fontId="0" fillId="0" borderId="6" xfId="0" applyFill="1" applyBorder="1" applyAlignment="1" applyProtection="1">
      <alignment vertical="center"/>
    </xf>
    <xf numFmtId="0" fontId="10" fillId="0" borderId="6" xfId="0" applyFont="1" applyFill="1" applyBorder="1" applyAlignment="1" applyProtection="1">
      <alignment vertical="center" wrapText="1"/>
    </xf>
    <xf numFmtId="0" fontId="0" fillId="0" borderId="6" xfId="0" applyBorder="1" applyAlignment="1" applyProtection="1">
      <alignment horizontal="center" vertical="center" wrapText="1"/>
      <protection locked="0"/>
    </xf>
    <xf numFmtId="0" fontId="0" fillId="0" borderId="6" xfId="0" applyBorder="1" applyAlignment="1" applyProtection="1">
      <alignment horizontal="center" vertical="center"/>
    </xf>
    <xf numFmtId="0" fontId="0" fillId="5" borderId="6" xfId="0" applyFill="1" applyBorder="1" applyAlignment="1" applyProtection="1">
      <alignment horizontal="center" vertical="center"/>
    </xf>
    <xf numFmtId="0" fontId="0" fillId="0" borderId="6" xfId="0" applyFill="1" applyBorder="1" applyAlignment="1" applyProtection="1">
      <alignment horizontal="center" vertical="center"/>
    </xf>
    <xf numFmtId="0" fontId="0" fillId="0" borderId="6" xfId="0" applyFill="1" applyBorder="1" applyAlignment="1" applyProtection="1">
      <alignment horizontal="center" vertical="center"/>
      <protection locked="0"/>
    </xf>
    <xf numFmtId="0" fontId="0" fillId="5" borderId="6" xfId="0" applyFill="1" applyBorder="1" applyAlignment="1" applyProtection="1">
      <alignment horizontal="center" vertical="center"/>
      <protection locked="0"/>
    </xf>
    <xf numFmtId="0" fontId="4" fillId="0" borderId="6" xfId="0" applyFont="1" applyFill="1" applyBorder="1" applyAlignment="1" applyProtection="1">
      <alignment vertical="center" wrapText="1"/>
      <protection locked="0"/>
    </xf>
    <xf numFmtId="0" fontId="4" fillId="0" borderId="0" xfId="0" quotePrefix="1" applyFont="1" applyBorder="1" applyAlignment="1" applyProtection="1">
      <alignment vertical="center" wrapText="1"/>
    </xf>
    <xf numFmtId="0" fontId="0" fillId="5" borderId="6" xfId="0" applyFill="1" applyBorder="1" applyAlignment="1" applyProtection="1">
      <alignment vertical="center"/>
    </xf>
    <xf numFmtId="0" fontId="0" fillId="0" borderId="0" xfId="0" applyBorder="1" applyAlignment="1" applyProtection="1">
      <alignment vertical="center" wrapText="1"/>
    </xf>
    <xf numFmtId="0" fontId="3" fillId="0" borderId="6" xfId="0" applyFont="1" applyBorder="1" applyAlignment="1" applyProtection="1">
      <alignment vertical="center" wrapText="1"/>
    </xf>
    <xf numFmtId="0" fontId="3" fillId="0" borderId="6"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xf>
    <xf numFmtId="0" fontId="3" fillId="5" borderId="6"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10" fillId="0" borderId="6" xfId="0" applyFont="1" applyBorder="1" applyAlignment="1" applyProtection="1">
      <alignment vertical="center" wrapText="1"/>
    </xf>
    <xf numFmtId="0" fontId="3" fillId="0" borderId="6" xfId="0" applyFont="1" applyFill="1" applyBorder="1" applyAlignment="1" applyProtection="1">
      <alignment horizontal="center" vertical="center"/>
      <protection locked="0"/>
    </xf>
    <xf numFmtId="0" fontId="3" fillId="5" borderId="6" xfId="0" applyFont="1" applyFill="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5" borderId="6" xfId="0" applyFont="1" applyFill="1" applyBorder="1" applyAlignment="1" applyProtection="1">
      <alignment vertical="center" wrapText="1"/>
    </xf>
    <xf numFmtId="0" fontId="3" fillId="5" borderId="6" xfId="0" applyFont="1" applyFill="1" applyBorder="1" applyAlignment="1" applyProtection="1">
      <alignment horizontal="center" vertical="center" wrapText="1"/>
    </xf>
    <xf numFmtId="0" fontId="3" fillId="0" borderId="6" xfId="0" quotePrefix="1" applyFont="1" applyFill="1" applyBorder="1" applyAlignment="1" applyProtection="1">
      <alignment horizontal="center" vertical="center"/>
      <protection locked="0"/>
    </xf>
    <xf numFmtId="0" fontId="3" fillId="5" borderId="6" xfId="0" applyFont="1" applyFill="1" applyBorder="1" applyAlignment="1" applyProtection="1">
      <alignment vertical="center"/>
    </xf>
    <xf numFmtId="0" fontId="12" fillId="0" borderId="6" xfId="0" applyFont="1" applyFill="1" applyBorder="1" applyAlignment="1" applyProtection="1">
      <alignment vertical="center" wrapText="1"/>
      <protection locked="0"/>
    </xf>
    <xf numFmtId="0" fontId="0" fillId="5" borderId="6" xfId="0" applyFont="1" applyFill="1" applyBorder="1" applyAlignment="1" applyProtection="1">
      <alignment horizontal="center" vertical="center"/>
    </xf>
    <xf numFmtId="0" fontId="1" fillId="5" borderId="6" xfId="0" applyFont="1" applyFill="1" applyBorder="1" applyAlignment="1" applyProtection="1">
      <alignment horizontal="center" vertical="center"/>
    </xf>
    <xf numFmtId="0" fontId="3" fillId="0" borderId="6" xfId="0" applyFont="1" applyBorder="1" applyAlignment="1" applyProtection="1">
      <alignment vertical="center"/>
    </xf>
    <xf numFmtId="0" fontId="3" fillId="0" borderId="6" xfId="0" applyFont="1" applyBorder="1" applyAlignment="1" applyProtection="1">
      <alignment horizontal="center" vertical="center" wrapText="1"/>
    </xf>
    <xf numFmtId="0" fontId="3" fillId="0" borderId="6" xfId="0" applyFont="1" applyFill="1" applyBorder="1" applyAlignment="1" applyProtection="1">
      <alignment vertical="center" wrapText="1"/>
    </xf>
    <xf numFmtId="0" fontId="3" fillId="0" borderId="6" xfId="0" applyFont="1" applyFill="1" applyBorder="1" applyAlignment="1" applyProtection="1">
      <alignment vertical="center"/>
    </xf>
    <xf numFmtId="0" fontId="13" fillId="0" borderId="6" xfId="0" applyFont="1" applyFill="1" applyBorder="1" applyAlignment="1" applyProtection="1">
      <alignment vertical="center" wrapText="1"/>
    </xf>
    <xf numFmtId="0" fontId="0" fillId="0" borderId="0" xfId="0" quotePrefix="1" applyAlignment="1" applyProtection="1"/>
    <xf numFmtId="0" fontId="0" fillId="0" borderId="0" xfId="0" applyBorder="1" applyAlignment="1" applyProtection="1">
      <alignment horizontal="center" vertical="center" wrapText="1"/>
    </xf>
    <xf numFmtId="0" fontId="0" fillId="0" borderId="0" xfId="0" applyAlignment="1" applyProtection="1"/>
    <xf numFmtId="0" fontId="14" fillId="0" borderId="0" xfId="0" applyFont="1" applyAlignment="1" applyProtection="1">
      <alignment horizontal="right"/>
    </xf>
    <xf numFmtId="0" fontId="14" fillId="0" borderId="0" xfId="0" applyFont="1" applyAlignment="1" applyProtection="1">
      <alignment horizontal="right" textRotation="68"/>
    </xf>
    <xf numFmtId="0" fontId="0" fillId="0" borderId="0" xfId="0" applyFill="1" applyBorder="1" applyAlignment="1" applyProtection="1">
      <alignment horizontal="center" vertical="center" textRotation="60"/>
    </xf>
    <xf numFmtId="0" fontId="14" fillId="0" borderId="0" xfId="0" applyFont="1" applyAlignment="1" applyProtection="1">
      <alignment horizontal="right" textRotation="60"/>
    </xf>
    <xf numFmtId="0" fontId="0" fillId="0" borderId="0" xfId="0" applyBorder="1" applyAlignment="1" applyProtection="1">
      <alignment horizontal="right" vertical="center"/>
    </xf>
    <xf numFmtId="0" fontId="4" fillId="0" borderId="0" xfId="0" applyFont="1" applyBorder="1" applyAlignment="1" applyProtection="1">
      <alignment horizontal="right" vertical="center"/>
    </xf>
    <xf numFmtId="0" fontId="0" fillId="0" borderId="0" xfId="0" applyBorder="1" applyAlignment="1" applyProtection="1">
      <alignment horizontal="right" vertical="center" indent="1"/>
    </xf>
    <xf numFmtId="0" fontId="0" fillId="0" borderId="0" xfId="0" applyBorder="1" applyAlignment="1" applyProtection="1">
      <alignment horizontal="left" vertical="center"/>
    </xf>
    <xf numFmtId="0" fontId="0" fillId="0" borderId="0" xfId="0" applyBorder="1" applyAlignment="1" applyProtection="1">
      <alignment horizontal="right" vertical="center" textRotation="57"/>
    </xf>
    <xf numFmtId="0" fontId="0" fillId="0" borderId="0" xfId="0" applyBorder="1" applyAlignment="1" applyProtection="1">
      <alignment horizontal="left" vertical="center" textRotation="57"/>
    </xf>
    <xf numFmtId="0" fontId="0" fillId="0" borderId="0" xfId="0" applyBorder="1" applyAlignment="1" applyProtection="1">
      <alignment horizontal="center" vertical="center" textRotation="59"/>
    </xf>
    <xf numFmtId="0" fontId="0" fillId="0" borderId="0" xfId="0" applyFill="1" applyBorder="1" applyAlignment="1" applyProtection="1">
      <alignment horizontal="center" vertical="center" textRotation="59"/>
    </xf>
    <xf numFmtId="0" fontId="4" fillId="0" borderId="0" xfId="0" quotePrefix="1" applyFont="1" applyBorder="1" applyAlignment="1" applyProtection="1">
      <alignment horizontal="center" vertical="center"/>
    </xf>
    <xf numFmtId="0" fontId="0" fillId="0" borderId="0" xfId="0" quotePrefix="1" applyBorder="1" applyAlignment="1" applyProtection="1">
      <alignment vertical="center"/>
    </xf>
    <xf numFmtId="0" fontId="3" fillId="0" borderId="6" xfId="0" applyFont="1" applyFill="1" applyBorder="1" applyAlignment="1" applyProtection="1">
      <alignment horizontal="center" vertical="center" wrapText="1"/>
      <protection locked="0"/>
    </xf>
    <xf numFmtId="0" fontId="8" fillId="0" borderId="6" xfId="0" applyFont="1" applyBorder="1" applyAlignment="1" applyProtection="1">
      <alignment horizontal="center" vertical="center"/>
    </xf>
    <xf numFmtId="0" fontId="14" fillId="0" borderId="0" xfId="0" applyFont="1" applyAlignment="1" applyProtection="1">
      <alignment horizontal="right"/>
    </xf>
    <xf numFmtId="0" fontId="6" fillId="4" borderId="0" xfId="0" applyFont="1" applyFill="1" applyBorder="1" applyAlignment="1" applyProtection="1">
      <alignment horizontal="right" vertical="center"/>
    </xf>
    <xf numFmtId="0" fontId="0" fillId="4" borderId="0" xfId="0" applyFill="1" applyAlignment="1" applyProtection="1">
      <alignment horizontal="right" vertical="center"/>
    </xf>
    <xf numFmtId="0" fontId="6" fillId="4" borderId="0" xfId="0" applyFont="1" applyFill="1" applyBorder="1" applyAlignment="1" applyProtection="1">
      <alignment horizontal="right" vertical="center"/>
    </xf>
    <xf numFmtId="0" fontId="0" fillId="4" borderId="0" xfId="0" applyFill="1" applyAlignment="1" applyProtection="1">
      <alignment horizontal="right" vertical="center"/>
    </xf>
    <xf numFmtId="0" fontId="2" fillId="2" borderId="1" xfId="0" applyFont="1" applyFill="1" applyBorder="1" applyAlignment="1" applyProtection="1">
      <alignment horizontal="center" vertical="center"/>
      <protection locked="0"/>
    </xf>
    <xf numFmtId="0" fontId="2" fillId="2" borderId="1" xfId="0" applyFont="1" applyFill="1" applyBorder="1" applyAlignment="1" applyProtection="1">
      <alignment vertical="center"/>
      <protection locked="0"/>
    </xf>
    <xf numFmtId="0" fontId="0" fillId="2" borderId="3" xfId="0" applyFill="1" applyBorder="1" applyAlignment="1" applyProtection="1">
      <alignment horizontal="center" vertical="center"/>
      <protection locked="0"/>
    </xf>
    <xf numFmtId="0" fontId="0" fillId="2" borderId="4" xfId="0" applyFill="1" applyBorder="1" applyAlignment="1" applyProtection="1">
      <alignment vertical="center"/>
      <protection locked="0"/>
    </xf>
    <xf numFmtId="0" fontId="0" fillId="2" borderId="2" xfId="0" applyFill="1" applyBorder="1" applyAlignment="1" applyProtection="1">
      <alignment vertical="center"/>
      <protection locked="0"/>
    </xf>
    <xf numFmtId="0" fontId="5" fillId="3" borderId="5" xfId="0" applyFont="1" applyFill="1" applyBorder="1" applyAlignment="1" applyProtection="1">
      <alignment horizontal="center" vertical="center"/>
      <protection locked="0"/>
    </xf>
    <xf numFmtId="0" fontId="5" fillId="3" borderId="5" xfId="0" applyFont="1" applyFill="1" applyBorder="1" applyAlignment="1" applyProtection="1">
      <alignment vertical="center"/>
      <protection locked="0"/>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14" fillId="0" borderId="0" xfId="0" applyFont="1" applyAlignment="1" applyProtection="1">
      <alignment horizontal="right"/>
    </xf>
    <xf numFmtId="0" fontId="14" fillId="0" borderId="0" xfId="0" applyFont="1" applyAlignment="1" applyProtection="1">
      <alignment horizontal="center" textRotation="60"/>
    </xf>
    <xf numFmtId="0" fontId="0" fillId="0" borderId="0" xfId="0" applyAlignment="1" applyProtection="1">
      <alignment horizontal="center" textRotation="6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garwood\AppData\Local\Microsoft\Windows\Temporary%20Internet%20Files\Content.Outlook\1X9WU0XK\WF_ITR_HCN_FCCU_CA5A01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struction PLEASE READ"/>
      <sheetName val="WebFIRE Template Instructions "/>
      <sheetName val="WebFIRE TEMPLATE"/>
      <sheetName val="Test Rating Tool Instructions"/>
      <sheetName val="Test Quality Rating Tool"/>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tabSelected="1" zoomScaleNormal="10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138</v>
      </c>
      <c r="C1" s="80"/>
      <c r="D1" s="80"/>
      <c r="E1" s="80"/>
      <c r="F1" s="80"/>
      <c r="G1" s="80"/>
    </row>
    <row r="2" spans="1:17" x14ac:dyDescent="0.2">
      <c r="A2" s="1" t="s">
        <v>1</v>
      </c>
      <c r="B2" s="79" t="s">
        <v>137</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38</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21" t="s">
        <v>10</v>
      </c>
      <c r="B10" s="14" t="s">
        <v>11</v>
      </c>
      <c r="C10" s="15" t="s">
        <v>7</v>
      </c>
      <c r="D10" s="16" t="s">
        <v>8</v>
      </c>
      <c r="E10" s="17" t="s">
        <v>9</v>
      </c>
      <c r="F10" s="16" t="s">
        <v>12</v>
      </c>
      <c r="G10" s="21"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128</v>
      </c>
      <c r="C15" s="36">
        <v>6</v>
      </c>
      <c r="D15" s="36">
        <v>0</v>
      </c>
      <c r="E15" s="37"/>
      <c r="F15" s="38">
        <f t="shared" ref="F15:F19" si="0">IF(B15="Yes",C15,D15)</f>
        <v>6</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130</v>
      </c>
      <c r="C24" s="38">
        <v>9</v>
      </c>
      <c r="D24" s="38">
        <v>0</v>
      </c>
      <c r="E24" s="38"/>
      <c r="F24" s="38">
        <f t="shared" ref="F24" si="1">IF(B24="Yes",C24,D24)</f>
        <v>0</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21"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21"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130</v>
      </c>
      <c r="C68" s="36">
        <v>12</v>
      </c>
      <c r="D68" s="36">
        <v>0</v>
      </c>
      <c r="E68" s="37"/>
      <c r="F68" s="38">
        <f t="shared" si="8"/>
        <v>0</v>
      </c>
      <c r="G68" s="50" t="s">
        <v>93</v>
      </c>
      <c r="H68" s="51"/>
      <c r="I68" s="38">
        <v>4</v>
      </c>
      <c r="J68" s="38">
        <v>12</v>
      </c>
      <c r="K68" s="38">
        <v>-12</v>
      </c>
      <c r="L68" s="37"/>
      <c r="M68" s="38">
        <f t="shared" si="7"/>
        <v>0</v>
      </c>
      <c r="N68" s="52"/>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x14ac:dyDescent="0.2">
      <c r="B81" s="57"/>
      <c r="D81" s="62" t="s">
        <v>111</v>
      </c>
      <c r="E81" s="3">
        <f>SUM(C14:C15,C17:C19,C24,C25)+IF(H16="N/A",L16,0)+IF(H25="N/A",L25-J25,0)</f>
        <v>87</v>
      </c>
      <c r="F81" s="3">
        <f>SUM(F14:F15,F17:F19,F24,F25)+IF(AND(B15="Yes",H16="N/A"),L16,0)+IF(AND(B25="Yes",H25="N/A"),L25-J25,0)</f>
        <v>78</v>
      </c>
      <c r="H81" s="62" t="s">
        <v>112</v>
      </c>
      <c r="I81" s="4">
        <f>SUM(I13:I15,I17:I24)+IF(AND(B15="Yes",H16="N/A"),L16,I16)+IF(AND(B25="Yes",H25="N/A"),L25,I25)</f>
        <v>30</v>
      </c>
      <c r="J81" s="3">
        <f>SUM(J14:J15,J17:J23,C24,C25)+IF(H16="N/A",L16,0)+IF(H25="N/A",L25-J25,0)</f>
        <v>87</v>
      </c>
      <c r="M81" s="3">
        <f>SUM(M13:M25)</f>
        <v>0</v>
      </c>
    </row>
    <row r="82" spans="1:15"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x14ac:dyDescent="0.2">
      <c r="B83" s="57"/>
      <c r="D83" s="63" t="s">
        <v>115</v>
      </c>
      <c r="E83" s="3">
        <f>SUM(C63:C64,C66:C73)+IF(H66="N/A",L66-J66,0)+IF(H71="N/A",L71-J71,0)</f>
        <v>177</v>
      </c>
      <c r="F83" s="3">
        <f>SUM(F63:F64,F66:F73)+IF(H66="N/A",L66-J66,0)+IF(H71="N/A",L71-J71,0)</f>
        <v>57</v>
      </c>
      <c r="G83" s="4"/>
      <c r="H83" s="63" t="s">
        <v>116</v>
      </c>
      <c r="I83" s="4">
        <f>SUM(I63:I65,I67:I70,I72:I77)+IF(AND(B66="Yes",H66="N/A"),L66,I66)+IF(AND(B71="Yes",H71="N/A"),L71,I71)</f>
        <v>59</v>
      </c>
      <c r="J83" s="3">
        <f>SUM(J63:J65,J67:J70,J72:J77)+IF(AND(B66="Yes",H66="N/A"),L66,J66)+IF(AND(B71="Yes",H71="N/A"),L71,J71)</f>
        <v>177</v>
      </c>
      <c r="M83" s="3">
        <f>SUM(M63:M77)</f>
        <v>0</v>
      </c>
    </row>
    <row r="84" spans="1:15" x14ac:dyDescent="0.2">
      <c r="B84" s="57"/>
      <c r="G84" s="5" t="s">
        <v>117</v>
      </c>
      <c r="H84" s="57"/>
      <c r="N84" s="5"/>
    </row>
    <row r="85" spans="1:15" ht="60" x14ac:dyDescent="0.2">
      <c r="B85" s="64" t="s">
        <v>118</v>
      </c>
      <c r="C85" s="65" t="s">
        <v>119</v>
      </c>
      <c r="E85" s="66" t="s">
        <v>120</v>
      </c>
      <c r="F85" s="67" t="s">
        <v>121</v>
      </c>
      <c r="H85" s="2" t="s">
        <v>122</v>
      </c>
      <c r="I85" s="2" t="s">
        <v>123</v>
      </c>
      <c r="J85" s="2"/>
      <c r="L85" s="68" t="s">
        <v>120</v>
      </c>
      <c r="M85" s="69" t="s">
        <v>124</v>
      </c>
      <c r="N85" s="5"/>
    </row>
    <row r="86" spans="1:15"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x14ac:dyDescent="0.2">
      <c r="A87" s="62" t="s">
        <v>126</v>
      </c>
      <c r="B87" s="2">
        <v>75</v>
      </c>
      <c r="C87" s="3">
        <f>SUM(C14:C15,C17:C19,C24,C25,C63:C64,C66:C73)+IF(H16="N/A",L16,0)+IF(H25="N/A",L25-J25,0)+IF(H66="N/A",L66-J66,0)+IF(H71="N/A",L71-J71,0)</f>
        <v>264</v>
      </c>
      <c r="D87" s="3"/>
      <c r="E87" s="2">
        <f>IF(F87&gt;0,ROUND(((100*F87/J87)+F12),0),0)</f>
        <v>38</v>
      </c>
      <c r="F87" s="2">
        <f>IF(AND(B63="",B64="",B66="",B67="",B68="",B69="",B70="",B71="",B72="",B73=""),0,SUM(F81,F83))</f>
        <v>135</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38</v>
      </c>
    </row>
    <row r="94" spans="1:15" x14ac:dyDescent="0.2">
      <c r="O94" s="2"/>
    </row>
    <row r="95" spans="1:15" x14ac:dyDescent="0.2">
      <c r="C95" s="71"/>
      <c r="F95" s="71"/>
      <c r="I95" s="2"/>
      <c r="J95" s="2"/>
    </row>
    <row r="96" spans="1:15" x14ac:dyDescent="0.2">
      <c r="C96" s="71"/>
    </row>
  </sheetData>
  <mergeCells count="11">
    <mergeCell ref="A11:M11"/>
    <mergeCell ref="A26:M26"/>
    <mergeCell ref="A61:M61"/>
    <mergeCell ref="A79:F79"/>
    <mergeCell ref="I80:J80"/>
    <mergeCell ref="A7:G7"/>
    <mergeCell ref="B1:G1"/>
    <mergeCell ref="B2:G2"/>
    <mergeCell ref="B3:G3"/>
    <mergeCell ref="B4:G4"/>
    <mergeCell ref="B5:G5"/>
  </mergeCells>
  <dataValidations disablePrompts="1"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pageSetup orientation="portrait" r:id="rId1"/>
  <headerFooter>
    <oddHeader>&amp;CDRAFT - Do not quote or cite</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138</v>
      </c>
      <c r="C1" s="80"/>
      <c r="D1" s="80"/>
      <c r="E1" s="80"/>
      <c r="F1" s="80"/>
      <c r="G1" s="80"/>
    </row>
    <row r="2" spans="1:17" x14ac:dyDescent="0.2">
      <c r="A2" s="1" t="s">
        <v>1</v>
      </c>
      <c r="B2" s="79" t="s">
        <v>137</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38</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21" t="s">
        <v>10</v>
      </c>
      <c r="B10" s="14" t="s">
        <v>11</v>
      </c>
      <c r="C10" s="15" t="s">
        <v>7</v>
      </c>
      <c r="D10" s="16" t="s">
        <v>8</v>
      </c>
      <c r="E10" s="17" t="s">
        <v>9</v>
      </c>
      <c r="F10" s="16" t="s">
        <v>12</v>
      </c>
      <c r="G10" s="21"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128</v>
      </c>
      <c r="C15" s="36">
        <v>6</v>
      </c>
      <c r="D15" s="36">
        <v>0</v>
      </c>
      <c r="E15" s="37"/>
      <c r="F15" s="38">
        <f t="shared" ref="F15:F19" si="0">IF(B15="Yes",C15,D15)</f>
        <v>6</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130</v>
      </c>
      <c r="C24" s="38">
        <v>9</v>
      </c>
      <c r="D24" s="38">
        <v>0</v>
      </c>
      <c r="E24" s="38"/>
      <c r="F24" s="38">
        <f t="shared" ref="F24" si="1">IF(B24="Yes",C24,D24)</f>
        <v>0</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21"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21"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130</v>
      </c>
      <c r="C68" s="36">
        <v>12</v>
      </c>
      <c r="D68" s="36">
        <v>0</v>
      </c>
      <c r="E68" s="37"/>
      <c r="F68" s="38">
        <f t="shared" si="8"/>
        <v>0</v>
      </c>
      <c r="G68" s="50" t="s">
        <v>93</v>
      </c>
      <c r="H68" s="51"/>
      <c r="I68" s="38">
        <v>4</v>
      </c>
      <c r="J68" s="38">
        <v>12</v>
      </c>
      <c r="K68" s="38">
        <v>-12</v>
      </c>
      <c r="L68" s="37"/>
      <c r="M68" s="38">
        <f t="shared" si="7"/>
        <v>0</v>
      </c>
      <c r="N68" s="52"/>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x14ac:dyDescent="0.2">
      <c r="B81" s="57"/>
      <c r="D81" s="62" t="s">
        <v>111</v>
      </c>
      <c r="E81" s="3">
        <f>SUM(C14:C15,C17:C19,C24,C25)+IF(H16="N/A",L16,0)+IF(H25="N/A",L25-J25,0)</f>
        <v>87</v>
      </c>
      <c r="F81" s="3">
        <f>SUM(F14:F15,F17:F19,F24,F25)+IF(AND(B15="Yes",H16="N/A"),L16,0)+IF(AND(B25="Yes",H25="N/A"),L25-J25,0)</f>
        <v>78</v>
      </c>
      <c r="H81" s="62" t="s">
        <v>112</v>
      </c>
      <c r="I81" s="4">
        <f>SUM(I13:I15,I17:I24)+IF(AND(B15="Yes",H16="N/A"),L16,I16)+IF(AND(B25="Yes",H25="N/A"),L25,I25)</f>
        <v>30</v>
      </c>
      <c r="J81" s="3">
        <f>SUM(J14:J15,J17:J23,C24,C25)+IF(H16="N/A",L16,0)+IF(H25="N/A",L25-J25,0)</f>
        <v>87</v>
      </c>
      <c r="M81" s="3">
        <f>SUM(M13:M25)</f>
        <v>0</v>
      </c>
    </row>
    <row r="82" spans="1:15"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x14ac:dyDescent="0.2">
      <c r="B83" s="57"/>
      <c r="D83" s="63" t="s">
        <v>115</v>
      </c>
      <c r="E83" s="3">
        <f>SUM(C63:C64,C66:C73)+IF(H66="N/A",L66-J66,0)+IF(H71="N/A",L71-J71,0)</f>
        <v>177</v>
      </c>
      <c r="F83" s="3">
        <f>SUM(F63:F64,F66:F73)+IF(H66="N/A",L66-J66,0)+IF(H71="N/A",L71-J71,0)</f>
        <v>57</v>
      </c>
      <c r="G83" s="4"/>
      <c r="H83" s="63" t="s">
        <v>116</v>
      </c>
      <c r="I83" s="4">
        <f>SUM(I63:I65,I67:I70,I72:I77)+IF(AND(B66="Yes",H66="N/A"),L66,I66)+IF(AND(B71="Yes",H71="N/A"),L71,I71)</f>
        <v>59</v>
      </c>
      <c r="J83" s="3">
        <f>SUM(J63:J65,J67:J70,J72:J77)+IF(AND(B66="Yes",H66="N/A"),L66,J66)+IF(AND(B71="Yes",H71="N/A"),L71,J71)</f>
        <v>177</v>
      </c>
      <c r="M83" s="3">
        <f>SUM(M63:M77)</f>
        <v>0</v>
      </c>
    </row>
    <row r="84" spans="1:15" x14ac:dyDescent="0.2">
      <c r="B84" s="57"/>
      <c r="G84" s="5" t="s">
        <v>117</v>
      </c>
      <c r="H84" s="57"/>
      <c r="N84" s="5"/>
    </row>
    <row r="85" spans="1:15" ht="60" x14ac:dyDescent="0.2">
      <c r="B85" s="64" t="s">
        <v>118</v>
      </c>
      <c r="C85" s="65" t="s">
        <v>119</v>
      </c>
      <c r="E85" s="66" t="s">
        <v>120</v>
      </c>
      <c r="F85" s="67" t="s">
        <v>121</v>
      </c>
      <c r="H85" s="2" t="s">
        <v>122</v>
      </c>
      <c r="I85" s="2" t="s">
        <v>123</v>
      </c>
      <c r="J85" s="2"/>
      <c r="L85" s="68" t="s">
        <v>120</v>
      </c>
      <c r="M85" s="69" t="s">
        <v>124</v>
      </c>
      <c r="N85" s="5"/>
    </row>
    <row r="86" spans="1:15"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x14ac:dyDescent="0.2">
      <c r="A87" s="62" t="s">
        <v>126</v>
      </c>
      <c r="B87" s="2">
        <v>75</v>
      </c>
      <c r="C87" s="3">
        <f>SUM(C14:C15,C17:C19,C24,C25,C63:C64,C66:C73)+IF(H16="N/A",L16,0)+IF(H25="N/A",L25-J25,0)+IF(H66="N/A",L66-J66,0)+IF(H71="N/A",L71-J71,0)</f>
        <v>264</v>
      </c>
      <c r="D87" s="3"/>
      <c r="E87" s="2">
        <f>IF(F87&gt;0,ROUND(((100*F87/J87)+F12),0),0)</f>
        <v>38</v>
      </c>
      <c r="F87" s="2">
        <f>IF(AND(B63="",B64="",B66="",B67="",B68="",B69="",B70="",B71="",B72="",B73=""),0,SUM(F81,F83))</f>
        <v>135</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38</v>
      </c>
    </row>
    <row r="94" spans="1:15" x14ac:dyDescent="0.2">
      <c r="O94" s="2"/>
    </row>
    <row r="95" spans="1:15" x14ac:dyDescent="0.2">
      <c r="C95" s="71"/>
      <c r="F95" s="71"/>
      <c r="I95" s="2"/>
      <c r="J95" s="2"/>
    </row>
    <row r="96" spans="1:15" x14ac:dyDescent="0.2">
      <c r="C96" s="71"/>
    </row>
  </sheetData>
  <mergeCells count="11">
    <mergeCell ref="A11:M11"/>
    <mergeCell ref="A26:M26"/>
    <mergeCell ref="A61:M61"/>
    <mergeCell ref="A79:F79"/>
    <mergeCell ref="I80:J80"/>
    <mergeCell ref="A7:G7"/>
    <mergeCell ref="B1:G1"/>
    <mergeCell ref="B2:G2"/>
    <mergeCell ref="B3:G3"/>
    <mergeCell ref="B4:G4"/>
    <mergeCell ref="B5:G5"/>
  </mergeCells>
  <dataValidations disablePrompts="1"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96"/>
  <sheetViews>
    <sheetView zoomScale="90" zoomScaleNormal="9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133</v>
      </c>
      <c r="C1" s="80"/>
      <c r="D1" s="80"/>
      <c r="E1" s="80"/>
      <c r="F1" s="80"/>
      <c r="G1" s="80"/>
    </row>
    <row r="2" spans="1:17" x14ac:dyDescent="0.2">
      <c r="A2" s="1" t="s">
        <v>1</v>
      </c>
      <c r="B2" s="79" t="s">
        <v>137</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51</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13" t="s">
        <v>10</v>
      </c>
      <c r="B10" s="14" t="s">
        <v>11</v>
      </c>
      <c r="C10" s="15" t="s">
        <v>7</v>
      </c>
      <c r="D10" s="16" t="s">
        <v>8</v>
      </c>
      <c r="E10" s="17" t="s">
        <v>9</v>
      </c>
      <c r="F10" s="16" t="s">
        <v>12</v>
      </c>
      <c r="G10" s="13"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128</v>
      </c>
      <c r="C15" s="36">
        <v>6</v>
      </c>
      <c r="D15" s="36">
        <v>0</v>
      </c>
      <c r="E15" s="37"/>
      <c r="F15" s="38">
        <f t="shared" ref="F15:F19" si="0">IF(B15="Yes",C15,D15)</f>
        <v>6</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128</v>
      </c>
      <c r="C24" s="38">
        <v>9</v>
      </c>
      <c r="D24" s="38">
        <v>0</v>
      </c>
      <c r="E24" s="38"/>
      <c r="F24" s="38">
        <f t="shared" ref="F24" si="1">IF(B24="Yes",C24,D24)</f>
        <v>9</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13"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13"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128</v>
      </c>
      <c r="C68" s="36">
        <v>12</v>
      </c>
      <c r="D68" s="36">
        <v>0</v>
      </c>
      <c r="E68" s="37"/>
      <c r="F68" s="38">
        <f t="shared" si="8"/>
        <v>12</v>
      </c>
      <c r="G68" s="50" t="s">
        <v>93</v>
      </c>
      <c r="H68" s="51"/>
      <c r="I68" s="38">
        <v>4</v>
      </c>
      <c r="J68" s="38">
        <v>12</v>
      </c>
      <c r="K68" s="38">
        <v>-12</v>
      </c>
      <c r="L68" s="37"/>
      <c r="M68" s="38">
        <f t="shared" si="7"/>
        <v>0</v>
      </c>
      <c r="N68" s="52" t="s">
        <v>131</v>
      </c>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128</v>
      </c>
      <c r="C70" s="36">
        <v>24</v>
      </c>
      <c r="D70" s="36">
        <v>0</v>
      </c>
      <c r="E70" s="37"/>
      <c r="F70" s="38">
        <f t="shared" si="8"/>
        <v>24</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ht="15" hidden="1" customHeight="1" x14ac:dyDescent="0.2">
      <c r="B81" s="57"/>
      <c r="D81" s="62" t="s">
        <v>111</v>
      </c>
      <c r="E81" s="3">
        <f>SUM(C14:C15,C17:C19,C24,C25)+IF(H16="N/A",L16,0)+IF(H25="N/A",L25-J25,0)</f>
        <v>87</v>
      </c>
      <c r="F81" s="3">
        <f>SUM(F14:F15,F17:F19,F24,F25)+IF(AND(B15="Yes",H16="N/A"),L16,0)+IF(AND(B25="Yes",H25="N/A"),L25-J25,0)</f>
        <v>87</v>
      </c>
      <c r="H81" s="62" t="s">
        <v>112</v>
      </c>
      <c r="I81" s="4">
        <f>SUM(I13:I15,I17:I24)+IF(AND(B15="Yes",H16="N/A"),L16,I16)+IF(AND(B25="Yes",H25="N/A"),L25,I25)</f>
        <v>30</v>
      </c>
      <c r="J81" s="3">
        <f>SUM(J14:J15,J17:J23,C24,C25)+IF(H16="N/A",L16,0)+IF(H25="N/A",L25-J25,0)</f>
        <v>87</v>
      </c>
      <c r="M81" s="3">
        <f>SUM(M13:M25)</f>
        <v>0</v>
      </c>
    </row>
    <row r="82" spans="1:15" ht="18.75" hidden="1" customHeight="1"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7"/>
      <c r="D83" s="63" t="s">
        <v>115</v>
      </c>
      <c r="E83" s="3">
        <f>SUM(C63:C64,C66:C73)+IF(H66="N/A",L66-J66,0)+IF(H71="N/A",L71-J71,0)</f>
        <v>177</v>
      </c>
      <c r="F83" s="3">
        <f>SUM(F63:F64,F66:F73)+IF(H66="N/A",L66-J66,0)+IF(H71="N/A",L71-J71,0)</f>
        <v>93</v>
      </c>
      <c r="G83" s="4"/>
      <c r="H83" s="63" t="s">
        <v>116</v>
      </c>
      <c r="I83" s="4">
        <f>SUM(I63:I65,I67:I70,I72:I77)+IF(AND(B66="Yes",H66="N/A"),L66,I66)+IF(AND(B71="Yes",H71="N/A"),L71,I71)</f>
        <v>59</v>
      </c>
      <c r="J83" s="3">
        <f>SUM(J63:J65,J67:J70,J72:J77)+IF(AND(B66="Yes",H66="N/A"),L66,J66)+IF(AND(B71="Yes",H71="N/A"),L71,J71)</f>
        <v>177</v>
      </c>
      <c r="M83" s="3">
        <f>SUM(M63:M77)</f>
        <v>0</v>
      </c>
    </row>
    <row r="84" spans="1:15" ht="15" hidden="1" customHeight="1" x14ac:dyDescent="0.2">
      <c r="B84" s="57"/>
      <c r="G84" s="5" t="s">
        <v>117</v>
      </c>
      <c r="H84" s="57"/>
      <c r="N84" s="5"/>
    </row>
    <row r="85" spans="1:15" ht="61.5" hidden="1" customHeight="1" x14ac:dyDescent="0.2">
      <c r="B85" s="64" t="s">
        <v>118</v>
      </c>
      <c r="C85" s="65" t="s">
        <v>119</v>
      </c>
      <c r="E85" s="66" t="s">
        <v>120</v>
      </c>
      <c r="F85" s="67" t="s">
        <v>121</v>
      </c>
      <c r="H85" s="2" t="s">
        <v>122</v>
      </c>
      <c r="I85" s="2" t="s">
        <v>123</v>
      </c>
      <c r="J85" s="2"/>
      <c r="L85" s="68" t="s">
        <v>120</v>
      </c>
      <c r="M85" s="69" t="s">
        <v>124</v>
      </c>
      <c r="N85" s="5"/>
    </row>
    <row r="86" spans="1:15" hidden="1"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
      <c r="A87" s="62" t="s">
        <v>126</v>
      </c>
      <c r="B87" s="2">
        <v>75</v>
      </c>
      <c r="C87" s="3">
        <f>SUM(C14:C15,C17:C19,C24,C25,C63:C64,C66:C73)+IF(H16="N/A",L16,0)+IF(H25="N/A",L25-J25,0)+IF(H66="N/A",L66-J66,0)+IF(H71="N/A",L71-J71,0)</f>
        <v>264</v>
      </c>
      <c r="D87" s="3"/>
      <c r="E87" s="2">
        <f>IF(F87&gt;0,ROUND(((100*F87/J87)+F12),0),0)</f>
        <v>51</v>
      </c>
      <c r="F87" s="2">
        <f>IF(AND(B63="",B64="",B66="",B67="",B68="",B69="",B70="",B71="",B72="",B73=""),0,SUM(F81,F83))</f>
        <v>180</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51</v>
      </c>
    </row>
    <row r="94" spans="1:15" x14ac:dyDescent="0.2">
      <c r="O94" s="2"/>
    </row>
    <row r="95" spans="1:15" x14ac:dyDescent="0.2">
      <c r="C95" s="71"/>
      <c r="F95" s="71"/>
      <c r="I95" s="2"/>
      <c r="J95" s="2"/>
    </row>
    <row r="96" spans="1:15" x14ac:dyDescent="0.2">
      <c r="C96" s="71"/>
    </row>
  </sheetData>
  <mergeCells count="11">
    <mergeCell ref="A7:G7"/>
    <mergeCell ref="B1:G1"/>
    <mergeCell ref="B2:G2"/>
    <mergeCell ref="B3:G3"/>
    <mergeCell ref="B4:G4"/>
    <mergeCell ref="B5:G5"/>
    <mergeCell ref="A11:M11"/>
    <mergeCell ref="A26:M26"/>
    <mergeCell ref="A61:M61"/>
    <mergeCell ref="A79:F79"/>
    <mergeCell ref="I80:J80"/>
  </mergeCells>
  <dataValidations disablePrompts="1"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rintOptions headings="1"/>
  <pageMargins left="0.2" right="0.16" top="0.44" bottom="0.42" header="0.25" footer="0.17"/>
  <pageSetup scale="55" fitToHeight="2" orientation="portrait" r:id="rId1"/>
  <headerFooter>
    <oddHeader>&amp;CDRAFT - Do not quote or cite</oddHeader>
    <oddFooter>&amp;R&amp;F
&amp;A</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96"/>
  <sheetViews>
    <sheetView zoomScale="90" zoomScaleNormal="9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134</v>
      </c>
      <c r="C1" s="80"/>
      <c r="D1" s="80"/>
      <c r="E1" s="80"/>
      <c r="F1" s="80"/>
      <c r="G1" s="80"/>
    </row>
    <row r="2" spans="1:17" x14ac:dyDescent="0.2">
      <c r="A2" s="1" t="s">
        <v>1</v>
      </c>
      <c r="B2" s="79" t="s">
        <v>137</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51</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13" t="s">
        <v>10</v>
      </c>
      <c r="B10" s="14" t="s">
        <v>11</v>
      </c>
      <c r="C10" s="15" t="s">
        <v>7</v>
      </c>
      <c r="D10" s="16" t="s">
        <v>8</v>
      </c>
      <c r="E10" s="17" t="s">
        <v>9</v>
      </c>
      <c r="F10" s="16" t="s">
        <v>12</v>
      </c>
      <c r="G10" s="13"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128</v>
      </c>
      <c r="C15" s="36">
        <v>6</v>
      </c>
      <c r="D15" s="36">
        <v>0</v>
      </c>
      <c r="E15" s="37"/>
      <c r="F15" s="38">
        <f t="shared" ref="F15:F19" si="0">IF(B15="Yes",C15,D15)</f>
        <v>6</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128</v>
      </c>
      <c r="C24" s="38">
        <v>9</v>
      </c>
      <c r="D24" s="38">
        <v>0</v>
      </c>
      <c r="E24" s="38"/>
      <c r="F24" s="38">
        <f t="shared" ref="F24" si="1">IF(B24="Yes",C24,D24)</f>
        <v>9</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13"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13"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128</v>
      </c>
      <c r="C68" s="36">
        <v>12</v>
      </c>
      <c r="D68" s="36">
        <v>0</v>
      </c>
      <c r="E68" s="37"/>
      <c r="F68" s="38">
        <f t="shared" si="8"/>
        <v>12</v>
      </c>
      <c r="G68" s="50" t="s">
        <v>93</v>
      </c>
      <c r="H68" s="51"/>
      <c r="I68" s="38">
        <v>4</v>
      </c>
      <c r="J68" s="38">
        <v>12</v>
      </c>
      <c r="K68" s="38">
        <v>-12</v>
      </c>
      <c r="L68" s="37"/>
      <c r="M68" s="38">
        <f t="shared" si="7"/>
        <v>0</v>
      </c>
      <c r="N68" s="52" t="s">
        <v>132</v>
      </c>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128</v>
      </c>
      <c r="C70" s="36">
        <v>24</v>
      </c>
      <c r="D70" s="36">
        <v>0</v>
      </c>
      <c r="E70" s="37"/>
      <c r="F70" s="38">
        <f t="shared" si="8"/>
        <v>24</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ht="15" hidden="1" customHeight="1" x14ac:dyDescent="0.2">
      <c r="B81" s="57"/>
      <c r="D81" s="62" t="s">
        <v>111</v>
      </c>
      <c r="E81" s="3">
        <f>SUM(C14:C15,C17:C19,C24,C25)+IF(H16="N/A",L16,0)+IF(H25="N/A",L25-J25,0)</f>
        <v>87</v>
      </c>
      <c r="F81" s="3">
        <f>SUM(F14:F15,F17:F19,F24,F25)+IF(AND(B15="Yes",H16="N/A"),L16,0)+IF(AND(B25="Yes",H25="N/A"),L25-J25,0)</f>
        <v>87</v>
      </c>
      <c r="H81" s="62" t="s">
        <v>112</v>
      </c>
      <c r="I81" s="4">
        <f>SUM(I13:I15,I17:I24)+IF(AND(B15="Yes",H16="N/A"),L16,I16)+IF(AND(B25="Yes",H25="N/A"),L25,I25)</f>
        <v>30</v>
      </c>
      <c r="J81" s="3">
        <f>SUM(J14:J15,J17:J23,C24,C25)+IF(H16="N/A",L16,0)+IF(H25="N/A",L25-J25,0)</f>
        <v>87</v>
      </c>
      <c r="M81" s="3">
        <f>SUM(M13:M25)</f>
        <v>0</v>
      </c>
    </row>
    <row r="82" spans="1:15" ht="18.75" hidden="1" customHeight="1"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7"/>
      <c r="D83" s="63" t="s">
        <v>115</v>
      </c>
      <c r="E83" s="3">
        <f>SUM(C63:C64,C66:C73)+IF(H66="N/A",L66-J66,0)+IF(H71="N/A",L71-J71,0)</f>
        <v>177</v>
      </c>
      <c r="F83" s="3">
        <f>SUM(F63:F64,F66:F73)+IF(H66="N/A",L66-J66,0)+IF(H71="N/A",L71-J71,0)</f>
        <v>93</v>
      </c>
      <c r="G83" s="4"/>
      <c r="H83" s="63" t="s">
        <v>116</v>
      </c>
      <c r="I83" s="4">
        <f>SUM(I63:I65,I67:I70,I72:I77)+IF(AND(B66="Yes",H66="N/A"),L66,I66)+IF(AND(B71="Yes",H71="N/A"),L71,I71)</f>
        <v>59</v>
      </c>
      <c r="J83" s="3">
        <f>SUM(J63:J65,J67:J70,J72:J77)+IF(AND(B66="Yes",H66="N/A"),L66,J66)+IF(AND(B71="Yes",H71="N/A"),L71,J71)</f>
        <v>177</v>
      </c>
      <c r="M83" s="3">
        <f>SUM(M63:M77)</f>
        <v>0</v>
      </c>
    </row>
    <row r="84" spans="1:15" ht="15" hidden="1" customHeight="1" x14ac:dyDescent="0.2">
      <c r="B84" s="57"/>
      <c r="G84" s="5" t="s">
        <v>117</v>
      </c>
      <c r="H84" s="57"/>
      <c r="N84" s="5"/>
    </row>
    <row r="85" spans="1:15" ht="61.5" hidden="1" customHeight="1" x14ac:dyDescent="0.2">
      <c r="B85" s="64" t="s">
        <v>118</v>
      </c>
      <c r="C85" s="65" t="s">
        <v>119</v>
      </c>
      <c r="E85" s="66" t="s">
        <v>120</v>
      </c>
      <c r="F85" s="67" t="s">
        <v>121</v>
      </c>
      <c r="H85" s="2" t="s">
        <v>122</v>
      </c>
      <c r="I85" s="2" t="s">
        <v>123</v>
      </c>
      <c r="J85" s="2"/>
      <c r="L85" s="68" t="s">
        <v>120</v>
      </c>
      <c r="M85" s="69" t="s">
        <v>124</v>
      </c>
      <c r="N85" s="5"/>
    </row>
    <row r="86" spans="1:15" hidden="1"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
      <c r="A87" s="62" t="s">
        <v>126</v>
      </c>
      <c r="B87" s="2">
        <v>75</v>
      </c>
      <c r="C87" s="3">
        <f>SUM(C14:C15,C17:C19,C24,C25,C63:C64,C66:C73)+IF(H16="N/A",L16,0)+IF(H25="N/A",L25-J25,0)+IF(H66="N/A",L66-J66,0)+IF(H71="N/A",L71-J71,0)</f>
        <v>264</v>
      </c>
      <c r="D87" s="3"/>
      <c r="E87" s="2">
        <f>IF(F87&gt;0,ROUND(((100*F87/J87)+F12),0),0)</f>
        <v>51</v>
      </c>
      <c r="F87" s="2">
        <f>IF(AND(B63="",B64="",B66="",B67="",B68="",B69="",B70="",B71="",B72="",B73=""),0,SUM(F81,F83))</f>
        <v>180</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51</v>
      </c>
    </row>
    <row r="94" spans="1:15" x14ac:dyDescent="0.2">
      <c r="O94" s="2"/>
    </row>
    <row r="95" spans="1:15" x14ac:dyDescent="0.2">
      <c r="C95" s="71"/>
      <c r="F95" s="71"/>
      <c r="I95" s="2"/>
      <c r="J95" s="2"/>
    </row>
    <row r="96" spans="1:15" x14ac:dyDescent="0.2">
      <c r="C96" s="71"/>
    </row>
  </sheetData>
  <mergeCells count="11">
    <mergeCell ref="A7:G7"/>
    <mergeCell ref="B1:G1"/>
    <mergeCell ref="B2:G2"/>
    <mergeCell ref="B3:G3"/>
    <mergeCell ref="B4:G4"/>
    <mergeCell ref="B5:G5"/>
    <mergeCell ref="A11:M11"/>
    <mergeCell ref="A26:M26"/>
    <mergeCell ref="A61:M61"/>
    <mergeCell ref="A79:F79"/>
    <mergeCell ref="I80:J80"/>
  </mergeCells>
  <dataValidations disablePrompts="1"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44" bottom="0.42" header="0.25" footer="0.17"/>
  <pageSetup scale="55" fitToHeight="2" orientation="portrait" r:id="rId1"/>
  <headerFooter>
    <oddHeader>&amp;CDRAFT - Do not quote or cite</oddHeader>
    <oddFooter>&amp;R&amp;F
&amp;A</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144</v>
      </c>
      <c r="C1" s="80"/>
      <c r="D1" s="80"/>
      <c r="E1" s="80"/>
      <c r="F1" s="80"/>
      <c r="G1" s="80"/>
    </row>
    <row r="2" spans="1:17" x14ac:dyDescent="0.2">
      <c r="A2" s="1" t="s">
        <v>1</v>
      </c>
      <c r="B2" s="79" t="s">
        <v>145</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38</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21" t="s">
        <v>10</v>
      </c>
      <c r="B10" s="14" t="s">
        <v>11</v>
      </c>
      <c r="C10" s="15" t="s">
        <v>7</v>
      </c>
      <c r="D10" s="16" t="s">
        <v>8</v>
      </c>
      <c r="E10" s="17" t="s">
        <v>9</v>
      </c>
      <c r="F10" s="16" t="s">
        <v>12</v>
      </c>
      <c r="G10" s="21"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130</v>
      </c>
      <c r="C15" s="36">
        <v>6</v>
      </c>
      <c r="D15" s="36">
        <v>0</v>
      </c>
      <c r="E15" s="37"/>
      <c r="F15" s="38">
        <f t="shared" ref="F15:F19" si="0">IF(B15="Yes",C15,D15)</f>
        <v>0</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128</v>
      </c>
      <c r="C24" s="38">
        <v>9</v>
      </c>
      <c r="D24" s="38">
        <v>0</v>
      </c>
      <c r="E24" s="38"/>
      <c r="F24" s="38">
        <f t="shared" ref="F24" si="1">IF(B24="Yes",C24,D24)</f>
        <v>9</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21"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21" t="s">
        <v>38</v>
      </c>
      <c r="B62" s="48"/>
      <c r="C62" s="26"/>
      <c r="D62" s="26"/>
      <c r="E62" s="26"/>
      <c r="F62" s="26"/>
      <c r="G62" s="49"/>
      <c r="H62" s="49"/>
      <c r="I62" s="26"/>
      <c r="J62" s="26"/>
      <c r="K62" s="26"/>
      <c r="L62" s="26"/>
      <c r="M62" s="26"/>
      <c r="N62" s="32"/>
    </row>
    <row r="63" spans="1:16" ht="28.5" x14ac:dyDescent="0.2">
      <c r="A63" s="34" t="s">
        <v>83</v>
      </c>
      <c r="B63" s="35" t="s">
        <v>130</v>
      </c>
      <c r="C63" s="36">
        <v>3</v>
      </c>
      <c r="D63" s="36">
        <v>0</v>
      </c>
      <c r="E63" s="37"/>
      <c r="F63" s="38">
        <f t="shared" ref="F63:F64" si="6">IF(B63="Yes",C63,D63)</f>
        <v>0</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130</v>
      </c>
      <c r="C68" s="36">
        <v>12</v>
      </c>
      <c r="D68" s="36">
        <v>0</v>
      </c>
      <c r="E68" s="37"/>
      <c r="F68" s="38">
        <f t="shared" si="8"/>
        <v>0</v>
      </c>
      <c r="G68" s="50" t="s">
        <v>93</v>
      </c>
      <c r="H68" s="51"/>
      <c r="I68" s="38">
        <v>4</v>
      </c>
      <c r="J68" s="38">
        <v>12</v>
      </c>
      <c r="K68" s="38">
        <v>-12</v>
      </c>
      <c r="L68" s="37"/>
      <c r="M68" s="38">
        <f t="shared" si="7"/>
        <v>0</v>
      </c>
      <c r="N68" s="52"/>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x14ac:dyDescent="0.2">
      <c r="B81" s="57"/>
      <c r="D81" s="62" t="s">
        <v>111</v>
      </c>
      <c r="E81" s="3">
        <f>SUM(C14:C15,C17:C19,C24,C25)+IF(H16="N/A",L16,0)+IF(H25="N/A",L25-J25,0)</f>
        <v>87</v>
      </c>
      <c r="F81" s="3">
        <f>SUM(F14:F15,F17:F19,F24,F25)+IF(AND(B15="Yes",H16="N/A"),L16,0)+IF(AND(B25="Yes",H25="N/A"),L25-J25,0)</f>
        <v>81</v>
      </c>
      <c r="H81" s="62" t="s">
        <v>112</v>
      </c>
      <c r="I81" s="4">
        <f>SUM(I13:I15,I17:I24)+IF(AND(B15="Yes",H16="N/A"),L16,I16)+IF(AND(B25="Yes",H25="N/A"),L25,I25)</f>
        <v>30</v>
      </c>
      <c r="J81" s="3">
        <f>SUM(J14:J15,J17:J23,C24,C25)+IF(H16="N/A",L16,0)+IF(H25="N/A",L25-J25,0)</f>
        <v>87</v>
      </c>
      <c r="M81" s="3">
        <f>SUM(M13:M25)</f>
        <v>0</v>
      </c>
    </row>
    <row r="82" spans="1:15"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x14ac:dyDescent="0.2">
      <c r="B83" s="57"/>
      <c r="D83" s="63" t="s">
        <v>115</v>
      </c>
      <c r="E83" s="3">
        <f>SUM(C63:C64,C66:C73)+IF(H66="N/A",L66-J66,0)+IF(H71="N/A",L71-J71,0)</f>
        <v>177</v>
      </c>
      <c r="F83" s="3">
        <f>SUM(F63:F64,F66:F73)+IF(H66="N/A",L66-J66,0)+IF(H71="N/A",L71-J71,0)</f>
        <v>54</v>
      </c>
      <c r="G83" s="4"/>
      <c r="H83" s="63" t="s">
        <v>116</v>
      </c>
      <c r="I83" s="4">
        <f>SUM(I63:I65,I67:I70,I72:I77)+IF(AND(B66="Yes",H66="N/A"),L66,I66)+IF(AND(B71="Yes",H71="N/A"),L71,I71)</f>
        <v>59</v>
      </c>
      <c r="J83" s="3">
        <f>SUM(J63:J65,J67:J70,J72:J77)+IF(AND(B66="Yes",H66="N/A"),L66,J66)+IF(AND(B71="Yes",H71="N/A"),L71,J71)</f>
        <v>177</v>
      </c>
      <c r="M83" s="3">
        <f>SUM(M63:M77)</f>
        <v>0</v>
      </c>
    </row>
    <row r="84" spans="1:15" x14ac:dyDescent="0.2">
      <c r="B84" s="57"/>
      <c r="G84" s="5" t="s">
        <v>117</v>
      </c>
      <c r="H84" s="57"/>
      <c r="N84" s="5"/>
    </row>
    <row r="85" spans="1:15" ht="60" x14ac:dyDescent="0.2">
      <c r="B85" s="64" t="s">
        <v>118</v>
      </c>
      <c r="C85" s="65" t="s">
        <v>119</v>
      </c>
      <c r="E85" s="66" t="s">
        <v>120</v>
      </c>
      <c r="F85" s="67" t="s">
        <v>121</v>
      </c>
      <c r="H85" s="2" t="s">
        <v>122</v>
      </c>
      <c r="I85" s="2" t="s">
        <v>123</v>
      </c>
      <c r="J85" s="2"/>
      <c r="L85" s="68" t="s">
        <v>120</v>
      </c>
      <c r="M85" s="69" t="s">
        <v>124</v>
      </c>
      <c r="N85" s="5"/>
    </row>
    <row r="86" spans="1:15"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x14ac:dyDescent="0.2">
      <c r="A87" s="62" t="s">
        <v>126</v>
      </c>
      <c r="B87" s="2">
        <v>75</v>
      </c>
      <c r="C87" s="3">
        <f>SUM(C14:C15,C17:C19,C24,C25,C63:C64,C66:C73)+IF(H16="N/A",L16,0)+IF(H25="N/A",L25-J25,0)+IF(H66="N/A",L66-J66,0)+IF(H71="N/A",L71-J71,0)</f>
        <v>264</v>
      </c>
      <c r="D87" s="3"/>
      <c r="E87" s="2">
        <f>IF(F87&gt;0,ROUND(((100*F87/J87)+F12),0),0)</f>
        <v>38</v>
      </c>
      <c r="F87" s="2">
        <f>IF(AND(B63="",B64="",B66="",B67="",B68="",B69="",B70="",B71="",B72="",B73=""),0,SUM(F81,F83))</f>
        <v>135</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38</v>
      </c>
    </row>
    <row r="94" spans="1:15" x14ac:dyDescent="0.2">
      <c r="O94" s="2"/>
    </row>
    <row r="95" spans="1:15" x14ac:dyDescent="0.2">
      <c r="C95" s="71"/>
      <c r="F95" s="71"/>
      <c r="I95" s="2"/>
      <c r="J95" s="2"/>
    </row>
    <row r="96" spans="1:15" x14ac:dyDescent="0.2">
      <c r="C96" s="71"/>
    </row>
  </sheetData>
  <mergeCells count="11">
    <mergeCell ref="A11:M11"/>
    <mergeCell ref="A26:M26"/>
    <mergeCell ref="A61:M61"/>
    <mergeCell ref="A79:F79"/>
    <mergeCell ref="I80:J80"/>
    <mergeCell ref="A7:G7"/>
    <mergeCell ref="B1:G1"/>
    <mergeCell ref="B2:G2"/>
    <mergeCell ref="B3:G3"/>
    <mergeCell ref="B4:G4"/>
    <mergeCell ref="B5:G5"/>
  </mergeCells>
  <dataValidations disablePrompts="1"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96"/>
  <sheetViews>
    <sheetView zoomScale="90" zoomScaleNormal="9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135</v>
      </c>
      <c r="C1" s="80"/>
      <c r="D1" s="80"/>
      <c r="E1" s="80"/>
      <c r="F1" s="80"/>
      <c r="G1" s="80"/>
    </row>
    <row r="2" spans="1:17" x14ac:dyDescent="0.2">
      <c r="A2" s="1" t="s">
        <v>1</v>
      </c>
      <c r="B2" s="79" t="s">
        <v>136</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41</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13" t="s">
        <v>10</v>
      </c>
      <c r="B10" s="14" t="s">
        <v>11</v>
      </c>
      <c r="C10" s="15" t="s">
        <v>7</v>
      </c>
      <c r="D10" s="16" t="s">
        <v>8</v>
      </c>
      <c r="E10" s="17" t="s">
        <v>9</v>
      </c>
      <c r="F10" s="16" t="s">
        <v>12</v>
      </c>
      <c r="G10" s="13"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128</v>
      </c>
      <c r="C15" s="36">
        <v>6</v>
      </c>
      <c r="D15" s="36">
        <v>0</v>
      </c>
      <c r="E15" s="37"/>
      <c r="F15" s="38">
        <f t="shared" ref="F15:F19" si="0">IF(B15="Yes",C15,D15)</f>
        <v>6</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128</v>
      </c>
      <c r="C24" s="38">
        <v>9</v>
      </c>
      <c r="D24" s="38">
        <v>0</v>
      </c>
      <c r="E24" s="38"/>
      <c r="F24" s="38">
        <f t="shared" ref="F24" si="1">IF(B24="Yes",C24,D24)</f>
        <v>9</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13"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t="s">
        <v>41</v>
      </c>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30.75" customHeight="1"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39" customHeight="1"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42" customHeight="1"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34.5" customHeight="1"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9.25" customHeight="1"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t="s">
        <v>60</v>
      </c>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t="s">
        <v>65</v>
      </c>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t="s">
        <v>68</v>
      </c>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27.75" customHeight="1"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27.75" customHeight="1"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59.25" customHeight="1"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13"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130</v>
      </c>
      <c r="C68" s="36">
        <v>12</v>
      </c>
      <c r="D68" s="36">
        <v>0</v>
      </c>
      <c r="E68" s="37"/>
      <c r="F68" s="38">
        <f t="shared" si="8"/>
        <v>0</v>
      </c>
      <c r="G68" s="50" t="s">
        <v>93</v>
      </c>
      <c r="H68" s="51"/>
      <c r="I68" s="38">
        <v>4</v>
      </c>
      <c r="J68" s="38">
        <v>12</v>
      </c>
      <c r="K68" s="38">
        <v>-12</v>
      </c>
      <c r="L68" s="37"/>
      <c r="M68" s="38">
        <f t="shared" si="7"/>
        <v>0</v>
      </c>
      <c r="N68" s="52" t="s">
        <v>131</v>
      </c>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130</v>
      </c>
      <c r="C69" s="36">
        <v>9</v>
      </c>
      <c r="D69" s="36">
        <v>0</v>
      </c>
      <c r="E69" s="37"/>
      <c r="F69" s="38">
        <f t="shared" si="8"/>
        <v>0</v>
      </c>
      <c r="G69" s="34" t="s">
        <v>95</v>
      </c>
      <c r="H69" s="51"/>
      <c r="I69" s="38">
        <v>3</v>
      </c>
      <c r="J69" s="38">
        <v>9</v>
      </c>
      <c r="K69" s="38">
        <v>-9</v>
      </c>
      <c r="L69" s="37"/>
      <c r="M69" s="38">
        <f t="shared" si="7"/>
        <v>0</v>
      </c>
      <c r="N69" s="52"/>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ht="15" hidden="1" customHeight="1" x14ac:dyDescent="0.2">
      <c r="B81" s="57"/>
      <c r="D81" s="62" t="s">
        <v>111</v>
      </c>
      <c r="E81" s="3">
        <f>SUM(C14:C15,C17:C19,C24,C25)+IF(H16="N/A",L16,0)+IF(H25="N/A",L25-J25,0)</f>
        <v>87</v>
      </c>
      <c r="F81" s="3">
        <f>SUM(F14:F15,F17:F19,F24,F25)+IF(AND(B15="Yes",H16="N/A"),L16,0)+IF(AND(B25="Yes",H25="N/A"),L25-J25,0)</f>
        <v>87</v>
      </c>
      <c r="H81" s="62" t="s">
        <v>112</v>
      </c>
      <c r="I81" s="4">
        <f>SUM(I13:I15,I17:I24)+IF(AND(B15="Yes",H16="N/A"),L16,I16)+IF(AND(B25="Yes",H25="N/A"),L25,I25)</f>
        <v>30</v>
      </c>
      <c r="J81" s="3">
        <f>SUM(J14:J15,J17:J23,C24,C25)+IF(H16="N/A",L16,0)+IF(H25="N/A",L25-J25,0)</f>
        <v>87</v>
      </c>
      <c r="M81" s="3">
        <f>SUM(M13:M25)</f>
        <v>0</v>
      </c>
    </row>
    <row r="82" spans="1:15" ht="18.75" hidden="1" customHeight="1"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ht="18.75" hidden="1" customHeight="1" x14ac:dyDescent="0.2">
      <c r="B83" s="57"/>
      <c r="D83" s="63" t="s">
        <v>115</v>
      </c>
      <c r="E83" s="3">
        <f>SUM(C63:C64,C66:C73)+IF(H66="N/A",L66-J66,0)+IF(H71="N/A",L71-J71,0)</f>
        <v>177</v>
      </c>
      <c r="F83" s="3">
        <f>SUM(F63:F64,F66:F73)+IF(H66="N/A",L66-J66,0)+IF(H71="N/A",L71-J71,0)</f>
        <v>57</v>
      </c>
      <c r="G83" s="4"/>
      <c r="H83" s="63" t="s">
        <v>116</v>
      </c>
      <c r="I83" s="4">
        <f>SUM(I63:I65,I67:I70,I72:I77)+IF(AND(B66="Yes",H66="N/A"),L66,I66)+IF(AND(B71="Yes",H71="N/A"),L71,I71)</f>
        <v>59</v>
      </c>
      <c r="J83" s="3">
        <f>SUM(J63:J65,J67:J70,J72:J77)+IF(AND(B66="Yes",H66="N/A"),L66,J66)+IF(AND(B71="Yes",H71="N/A"),L71,J71)</f>
        <v>177</v>
      </c>
      <c r="M83" s="3">
        <f>SUM(M63:M77)</f>
        <v>0</v>
      </c>
    </row>
    <row r="84" spans="1:15" ht="15" hidden="1" customHeight="1" x14ac:dyDescent="0.2">
      <c r="B84" s="57"/>
      <c r="G84" s="5" t="s">
        <v>117</v>
      </c>
      <c r="H84" s="57"/>
      <c r="N84" s="5"/>
    </row>
    <row r="85" spans="1:15" ht="61.5" hidden="1" customHeight="1" x14ac:dyDescent="0.2">
      <c r="B85" s="64" t="s">
        <v>118</v>
      </c>
      <c r="C85" s="65" t="s">
        <v>119</v>
      </c>
      <c r="E85" s="66" t="s">
        <v>120</v>
      </c>
      <c r="F85" s="67" t="s">
        <v>121</v>
      </c>
      <c r="H85" s="2" t="s">
        <v>122</v>
      </c>
      <c r="I85" s="2" t="s">
        <v>123</v>
      </c>
      <c r="J85" s="2"/>
      <c r="L85" s="68" t="s">
        <v>120</v>
      </c>
      <c r="M85" s="69" t="s">
        <v>124</v>
      </c>
      <c r="N85" s="5"/>
    </row>
    <row r="86" spans="1:15" hidden="1"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hidden="1" x14ac:dyDescent="0.2">
      <c r="A87" s="62" t="s">
        <v>126</v>
      </c>
      <c r="B87" s="2">
        <v>75</v>
      </c>
      <c r="C87" s="3">
        <f>SUM(C14:C15,C17:C19,C24,C25,C63:C64,C66:C73)+IF(H16="N/A",L16,0)+IF(H25="N/A",L25-J25,0)+IF(H66="N/A",L66-J66,0)+IF(H71="N/A",L71-J71,0)</f>
        <v>264</v>
      </c>
      <c r="D87" s="3"/>
      <c r="E87" s="2">
        <f>IF(F87&gt;0,ROUND(((100*F87/J87)+F12),0),0)</f>
        <v>41</v>
      </c>
      <c r="F87" s="2">
        <f>IF(AND(B63="",B64="",B66="",B67="",B68="",B69="",B70="",B71="",B72="",B73=""),0,SUM(F81,F83))</f>
        <v>144</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41</v>
      </c>
    </row>
    <row r="94" spans="1:15" x14ac:dyDescent="0.2">
      <c r="O94" s="2"/>
    </row>
    <row r="95" spans="1:15" x14ac:dyDescent="0.2">
      <c r="C95" s="71"/>
      <c r="F95" s="71"/>
      <c r="I95" s="2"/>
      <c r="J95" s="2"/>
    </row>
    <row r="96" spans="1:15" x14ac:dyDescent="0.2">
      <c r="C96" s="71"/>
    </row>
  </sheetData>
  <mergeCells count="11">
    <mergeCell ref="A7:G7"/>
    <mergeCell ref="B1:G1"/>
    <mergeCell ref="B2:G2"/>
    <mergeCell ref="B3:G3"/>
    <mergeCell ref="B4:G4"/>
    <mergeCell ref="B5:G5"/>
    <mergeCell ref="A11:M11"/>
    <mergeCell ref="A26:M26"/>
    <mergeCell ref="A61:M61"/>
    <mergeCell ref="A79:F79"/>
    <mergeCell ref="I80:J80"/>
  </mergeCells>
  <dataValidations disablePrompts="1"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rintOptions headings="1"/>
  <pageMargins left="0.2" right="0.16" top="0.44" bottom="0.42" header="0.25" footer="0.17"/>
  <pageSetup scale="55" fitToHeight="2" orientation="portrait" r:id="rId1"/>
  <headerFooter>
    <oddHeader>&amp;CDRAFT - Do not quote or cite</oddHeader>
    <oddFooter>&amp;R&amp;F
&amp;A</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139</v>
      </c>
      <c r="C1" s="80"/>
      <c r="D1" s="80"/>
      <c r="E1" s="80"/>
      <c r="F1" s="80"/>
      <c r="G1" s="80"/>
    </row>
    <row r="2" spans="1:17" x14ac:dyDescent="0.2">
      <c r="A2" s="1" t="s">
        <v>1</v>
      </c>
      <c r="B2" s="79" t="s">
        <v>140</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52</v>
      </c>
    </row>
    <row r="8" spans="1:17" ht="12" customHeight="1" x14ac:dyDescent="0.2">
      <c r="A8" s="10"/>
      <c r="B8" s="11"/>
      <c r="C8" s="11"/>
      <c r="D8" s="11"/>
      <c r="E8" s="11"/>
      <c r="F8" s="11"/>
      <c r="G8" s="11"/>
      <c r="H8" s="9"/>
    </row>
    <row r="9" spans="1:17" ht="7.5" customHeight="1" x14ac:dyDescent="0.2">
      <c r="B9" s="12"/>
      <c r="J9" s="3" t="s">
        <v>7</v>
      </c>
      <c r="K9" s="3" t="s">
        <v>8</v>
      </c>
      <c r="L9" s="3" t="s">
        <v>9</v>
      </c>
    </row>
    <row r="10" spans="1:17" ht="63.75" x14ac:dyDescent="0.2">
      <c r="A10" s="21" t="s">
        <v>10</v>
      </c>
      <c r="B10" s="14" t="s">
        <v>11</v>
      </c>
      <c r="C10" s="15" t="s">
        <v>7</v>
      </c>
      <c r="D10" s="16" t="s">
        <v>8</v>
      </c>
      <c r="E10" s="17" t="s">
        <v>9</v>
      </c>
      <c r="F10" s="16" t="s">
        <v>12</v>
      </c>
      <c r="G10" s="21"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130</v>
      </c>
      <c r="C14" s="36">
        <v>3</v>
      </c>
      <c r="D14" s="36">
        <v>0</v>
      </c>
      <c r="E14" s="37"/>
      <c r="F14" s="38">
        <f>IF(B14="Yes",C14,D14)</f>
        <v>0</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130</v>
      </c>
      <c r="C15" s="36">
        <v>6</v>
      </c>
      <c r="D15" s="36">
        <v>0</v>
      </c>
      <c r="E15" s="37"/>
      <c r="F15" s="38">
        <f t="shared" ref="F15:F19" si="0">IF(B15="Yes",C15,D15)</f>
        <v>0</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128</v>
      </c>
      <c r="C17" s="36">
        <v>3</v>
      </c>
      <c r="D17" s="36">
        <v>0</v>
      </c>
      <c r="E17" s="37"/>
      <c r="F17" s="38">
        <f t="shared" si="0"/>
        <v>3</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128</v>
      </c>
      <c r="C18" s="36">
        <v>6</v>
      </c>
      <c r="D18" s="36">
        <v>0</v>
      </c>
      <c r="E18" s="37"/>
      <c r="F18" s="38">
        <f t="shared" si="0"/>
        <v>6</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128</v>
      </c>
      <c r="C24" s="38">
        <v>9</v>
      </c>
      <c r="D24" s="38">
        <v>0</v>
      </c>
      <c r="E24" s="38"/>
      <c r="F24" s="38">
        <f t="shared" ref="F24" si="1">IF(B24="Yes",C24,D24)</f>
        <v>9</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21"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21"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128</v>
      </c>
      <c r="C64" s="36">
        <v>27</v>
      </c>
      <c r="D64" s="36">
        <v>0</v>
      </c>
      <c r="E64" s="37"/>
      <c r="F64" s="38">
        <f t="shared" si="6"/>
        <v>27</v>
      </c>
      <c r="G64" s="34" t="s">
        <v>86</v>
      </c>
      <c r="H64" s="51"/>
      <c r="I64" s="38">
        <v>4</v>
      </c>
      <c r="J64" s="38">
        <v>12</v>
      </c>
      <c r="K64" s="38">
        <v>-12</v>
      </c>
      <c r="L64" s="37"/>
      <c r="M64" s="38">
        <f t="shared" si="7"/>
        <v>0</v>
      </c>
      <c r="N64" s="52" t="s">
        <v>142</v>
      </c>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128</v>
      </c>
      <c r="C68" s="36">
        <v>12</v>
      </c>
      <c r="D68" s="36">
        <v>0</v>
      </c>
      <c r="E68" s="37"/>
      <c r="F68" s="38">
        <f t="shared" si="8"/>
        <v>12</v>
      </c>
      <c r="G68" s="50" t="s">
        <v>93</v>
      </c>
      <c r="H68" s="51"/>
      <c r="I68" s="38">
        <v>4</v>
      </c>
      <c r="J68" s="38">
        <v>12</v>
      </c>
      <c r="K68" s="38">
        <v>-12</v>
      </c>
      <c r="L68" s="37"/>
      <c r="M68" s="38">
        <f t="shared" si="7"/>
        <v>0</v>
      </c>
      <c r="N68" s="52" t="s">
        <v>141</v>
      </c>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128</v>
      </c>
      <c r="C69" s="36">
        <v>9</v>
      </c>
      <c r="D69" s="36">
        <v>0</v>
      </c>
      <c r="E69" s="37"/>
      <c r="F69" s="38">
        <f t="shared" si="8"/>
        <v>9</v>
      </c>
      <c r="G69" s="34" t="s">
        <v>95</v>
      </c>
      <c r="H69" s="51"/>
      <c r="I69" s="38">
        <v>3</v>
      </c>
      <c r="J69" s="38">
        <v>9</v>
      </c>
      <c r="K69" s="38">
        <v>-9</v>
      </c>
      <c r="L69" s="37"/>
      <c r="M69" s="38">
        <f t="shared" si="7"/>
        <v>0</v>
      </c>
      <c r="N69" s="52" t="s">
        <v>143</v>
      </c>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58"/>
      <c r="B80" s="58"/>
      <c r="C80" s="58"/>
      <c r="D80" s="59"/>
      <c r="E80" s="59" t="s">
        <v>109</v>
      </c>
      <c r="F80" s="59" t="s">
        <v>110</v>
      </c>
      <c r="G80" s="33"/>
      <c r="H80" s="57"/>
      <c r="I80" s="89" t="s">
        <v>109</v>
      </c>
      <c r="J80" s="90"/>
      <c r="K80" s="60"/>
      <c r="L80" s="60"/>
      <c r="M80" s="61" t="s">
        <v>110</v>
      </c>
    </row>
    <row r="81" spans="1:15" x14ac:dyDescent="0.2">
      <c r="B81" s="57"/>
      <c r="D81" s="62" t="s">
        <v>111</v>
      </c>
      <c r="E81" s="3">
        <f>SUM(C14:C15,C17:C19,C24,C25)+IF(H16="N/A",L16,0)+IF(H25="N/A",L25-J25,0)</f>
        <v>87</v>
      </c>
      <c r="F81" s="3">
        <f>SUM(F14:F15,F17:F19,F24,F25)+IF(AND(B15="Yes",H16="N/A"),L16,0)+IF(AND(B25="Yes",H25="N/A"),L25-J25,0)</f>
        <v>78</v>
      </c>
      <c r="H81" s="62" t="s">
        <v>112</v>
      </c>
      <c r="I81" s="4">
        <f>SUM(I13:I15,I17:I24)+IF(AND(B15="Yes",H16="N/A"),L16,I16)+IF(AND(B25="Yes",H25="N/A"),L25,I25)</f>
        <v>30</v>
      </c>
      <c r="J81" s="3">
        <f>SUM(J14:J15,J17:J23,C24,C25)+IF(H16="N/A",L16,0)+IF(H25="N/A",L25-J25,0)</f>
        <v>87</v>
      </c>
      <c r="M81" s="3">
        <f>SUM(M13:M25)</f>
        <v>0</v>
      </c>
    </row>
    <row r="82" spans="1:15"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x14ac:dyDescent="0.2">
      <c r="B83" s="57"/>
      <c r="D83" s="63" t="s">
        <v>115</v>
      </c>
      <c r="E83" s="3">
        <f>SUM(C63:C64,C66:C73)+IF(H66="N/A",L66-J66,0)+IF(H71="N/A",L71-J71,0)</f>
        <v>177</v>
      </c>
      <c r="F83" s="3">
        <f>SUM(F63:F64,F66:F73)+IF(H66="N/A",L66-J66,0)+IF(H71="N/A",L71-J71,0)</f>
        <v>105</v>
      </c>
      <c r="G83" s="4"/>
      <c r="H83" s="63" t="s">
        <v>116</v>
      </c>
      <c r="I83" s="4">
        <f>SUM(I63:I65,I67:I70,I72:I77)+IF(AND(B66="Yes",H66="N/A"),L66,I66)+IF(AND(B71="Yes",H71="N/A"),L71,I71)</f>
        <v>59</v>
      </c>
      <c r="J83" s="3">
        <f>SUM(J63:J65,J67:J70,J72:J77)+IF(AND(B66="Yes",H66="N/A"),L66,J66)+IF(AND(B71="Yes",H71="N/A"),L71,J71)</f>
        <v>177</v>
      </c>
      <c r="M83" s="3">
        <f>SUM(M63:M77)</f>
        <v>0</v>
      </c>
    </row>
    <row r="84" spans="1:15" x14ac:dyDescent="0.2">
      <c r="B84" s="57"/>
      <c r="G84" s="5" t="s">
        <v>117</v>
      </c>
      <c r="H84" s="57"/>
      <c r="N84" s="5"/>
    </row>
    <row r="85" spans="1:15" ht="60" x14ac:dyDescent="0.2">
      <c r="B85" s="64" t="s">
        <v>118</v>
      </c>
      <c r="C85" s="65" t="s">
        <v>119</v>
      </c>
      <c r="E85" s="66" t="s">
        <v>120</v>
      </c>
      <c r="F85" s="67" t="s">
        <v>121</v>
      </c>
      <c r="H85" s="2" t="s">
        <v>122</v>
      </c>
      <c r="I85" s="2" t="s">
        <v>123</v>
      </c>
      <c r="J85" s="2"/>
      <c r="L85" s="68" t="s">
        <v>120</v>
      </c>
      <c r="M85" s="69" t="s">
        <v>124</v>
      </c>
      <c r="N85" s="5"/>
    </row>
    <row r="86" spans="1:15"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x14ac:dyDescent="0.2">
      <c r="A87" s="62" t="s">
        <v>126</v>
      </c>
      <c r="B87" s="2">
        <v>75</v>
      </c>
      <c r="C87" s="3">
        <f>SUM(C14:C15,C17:C19,C24,C25,C63:C64,C66:C73)+IF(H16="N/A",L16,0)+IF(H25="N/A",L25-J25,0)+IF(H66="N/A",L66-J66,0)+IF(H71="N/A",L71-J71,0)</f>
        <v>264</v>
      </c>
      <c r="D87" s="3"/>
      <c r="E87" s="2">
        <f>IF(F87&gt;0,ROUND(((100*F87/J87)+F12),0),0)</f>
        <v>52</v>
      </c>
      <c r="F87" s="2">
        <f>IF(AND(B63="",B64="",B66="",B67="",B68="",B69="",B70="",B71="",B72="",B73=""),0,SUM(F81,F83))</f>
        <v>183</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52</v>
      </c>
    </row>
    <row r="94" spans="1:15" x14ac:dyDescent="0.2">
      <c r="O94" s="2"/>
    </row>
    <row r="95" spans="1:15" x14ac:dyDescent="0.2">
      <c r="C95" s="71"/>
      <c r="F95" s="71"/>
      <c r="I95" s="2"/>
      <c r="J95" s="2"/>
    </row>
    <row r="96" spans="1:15" x14ac:dyDescent="0.2">
      <c r="C96" s="71"/>
    </row>
  </sheetData>
  <mergeCells count="11">
    <mergeCell ref="A11:M11"/>
    <mergeCell ref="A26:M26"/>
    <mergeCell ref="A61:M61"/>
    <mergeCell ref="A79:F79"/>
    <mergeCell ref="I80:J80"/>
    <mergeCell ref="A7:G7"/>
    <mergeCell ref="B1:G1"/>
    <mergeCell ref="B2:G2"/>
    <mergeCell ref="B3:G3"/>
    <mergeCell ref="B4:G4"/>
    <mergeCell ref="B5:G5"/>
  </mergeCells>
  <dataValidations disablePrompts="1" count="3">
    <dataValidation type="list" allowBlank="1" showInputMessage="1" showErrorMessage="1" sqref="B60 B42 B34:B36 B63:B64 B46:B47 B17:B19 B28 B24:B25 B12 B14:B15 B66:B73">
      <formula1>$C$10:$D$10</formula1>
    </dataValidation>
    <dataValidation type="list" allowBlank="1" showInputMessage="1" showErrorMessage="1" sqref="H78 H12">
      <formula1>$I$9:$L$9</formula1>
    </dataValidation>
    <dataValidation type="list" allowBlank="1" showInputMessage="1" showErrorMessage="1" sqref="H13:H25 H63:H77 H28:H60">
      <formula1>$J$9:$L$9</formula1>
    </dataValidation>
  </dataValidations>
  <pageMargins left="0.7" right="0.7" top="0.75" bottom="0.75" header="0.3" footer="0.3"/>
  <pageSetup orientation="portrait" r:id="rId1"/>
  <headerFooter>
    <oddHeader>&amp;CDRAFT - Do not quote or cite</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96"/>
  <sheetViews>
    <sheetView zoomScaleNormal="100" workbookViewId="0"/>
  </sheetViews>
  <sheetFormatPr defaultColWidth="9.140625" defaultRowHeight="12.75" x14ac:dyDescent="0.2"/>
  <cols>
    <col min="1" max="1" width="56.42578125" style="5" customWidth="1"/>
    <col min="2" max="2" width="8.28515625" style="2" customWidth="1"/>
    <col min="3" max="3" width="4.140625" style="2" hidden="1" customWidth="1"/>
    <col min="4" max="4" width="3.42578125" style="2" hidden="1" customWidth="1"/>
    <col min="5" max="5" width="8.140625" style="2" hidden="1" customWidth="1"/>
    <col min="6" max="6" width="5.7109375" style="2" hidden="1" customWidth="1"/>
    <col min="7" max="7" width="56.140625" style="5" customWidth="1"/>
    <col min="8" max="8" width="6" style="2" customWidth="1"/>
    <col min="9" max="9" width="4.5703125" style="3" hidden="1" customWidth="1"/>
    <col min="10" max="10" width="4.42578125" style="3" hidden="1" customWidth="1"/>
    <col min="11" max="11" width="5.28515625" style="3" hidden="1" customWidth="1"/>
    <col min="12" max="12" width="3.85546875" style="3" hidden="1" customWidth="1"/>
    <col min="13" max="13" width="4.140625" style="2" hidden="1" customWidth="1"/>
    <col min="14" max="14" width="61" style="4" customWidth="1"/>
    <col min="15" max="15" width="3.140625" style="5" customWidth="1"/>
    <col min="16" max="16" width="69.7109375" style="5" hidden="1" customWidth="1"/>
    <col min="17" max="16384" width="9.140625" style="5"/>
  </cols>
  <sheetData>
    <row r="1" spans="1:17" x14ac:dyDescent="0.2">
      <c r="A1" s="1" t="s">
        <v>0</v>
      </c>
      <c r="B1" s="79" t="s">
        <v>146</v>
      </c>
      <c r="C1" s="80"/>
      <c r="D1" s="80"/>
      <c r="E1" s="80"/>
      <c r="F1" s="80"/>
      <c r="G1" s="80"/>
    </row>
    <row r="2" spans="1:17" x14ac:dyDescent="0.2">
      <c r="A2" s="1" t="s">
        <v>1</v>
      </c>
      <c r="B2" s="79" t="s">
        <v>140</v>
      </c>
      <c r="C2" s="80"/>
      <c r="D2" s="80"/>
      <c r="E2" s="80"/>
      <c r="F2" s="80"/>
      <c r="G2" s="80"/>
    </row>
    <row r="3" spans="1:17" x14ac:dyDescent="0.2">
      <c r="A3" s="1" t="s">
        <v>2</v>
      </c>
      <c r="B3" s="79"/>
      <c r="C3" s="80"/>
      <c r="D3" s="80"/>
      <c r="E3" s="80"/>
      <c r="F3" s="80"/>
      <c r="G3" s="80"/>
      <c r="N3" s="6"/>
    </row>
    <row r="4" spans="1:17" x14ac:dyDescent="0.2">
      <c r="A4" s="7" t="s">
        <v>3</v>
      </c>
      <c r="B4" s="81" t="s">
        <v>129</v>
      </c>
      <c r="C4" s="82"/>
      <c r="D4" s="82"/>
      <c r="E4" s="82"/>
      <c r="F4" s="82"/>
      <c r="G4" s="83"/>
    </row>
    <row r="5" spans="1:17" x14ac:dyDescent="0.2">
      <c r="A5" s="8" t="s">
        <v>4</v>
      </c>
      <c r="B5" s="84" t="s">
        <v>5</v>
      </c>
      <c r="C5" s="85"/>
      <c r="D5" s="85"/>
      <c r="E5" s="85"/>
      <c r="F5" s="85"/>
      <c r="G5" s="85"/>
    </row>
    <row r="7" spans="1:17" ht="23.25" x14ac:dyDescent="0.2">
      <c r="A7" s="77" t="s">
        <v>6</v>
      </c>
      <c r="B7" s="78"/>
      <c r="C7" s="78"/>
      <c r="D7" s="78"/>
      <c r="E7" s="78"/>
      <c r="F7" s="78"/>
      <c r="G7" s="78"/>
      <c r="H7" s="9">
        <f>IF(AND(H92=0,H93=0),0,IF(AND(H92&gt;0,H93&gt;0),((H92+H93)/2),IF(H93&gt;0,H93,H92)))</f>
        <v>40</v>
      </c>
    </row>
    <row r="8" spans="1:17" ht="12" customHeight="1" x14ac:dyDescent="0.2">
      <c r="A8" s="75"/>
      <c r="B8" s="76"/>
      <c r="C8" s="76"/>
      <c r="D8" s="76"/>
      <c r="E8" s="76"/>
      <c r="F8" s="76"/>
      <c r="G8" s="76"/>
      <c r="H8" s="9"/>
    </row>
    <row r="9" spans="1:17" ht="7.5" customHeight="1" x14ac:dyDescent="0.2">
      <c r="B9" s="12"/>
      <c r="J9" s="3" t="s">
        <v>7</v>
      </c>
      <c r="K9" s="3" t="s">
        <v>8</v>
      </c>
      <c r="L9" s="3" t="s">
        <v>9</v>
      </c>
    </row>
    <row r="10" spans="1:17" ht="63.75" x14ac:dyDescent="0.2">
      <c r="A10" s="73" t="s">
        <v>10</v>
      </c>
      <c r="B10" s="14" t="s">
        <v>11</v>
      </c>
      <c r="C10" s="15" t="s">
        <v>7</v>
      </c>
      <c r="D10" s="16" t="s">
        <v>8</v>
      </c>
      <c r="E10" s="17" t="s">
        <v>9</v>
      </c>
      <c r="F10" s="16" t="s">
        <v>12</v>
      </c>
      <c r="G10" s="73" t="s">
        <v>13</v>
      </c>
      <c r="H10" s="18" t="s">
        <v>11</v>
      </c>
      <c r="I10" s="19" t="s">
        <v>14</v>
      </c>
      <c r="J10" s="19" t="s">
        <v>15</v>
      </c>
      <c r="K10" s="19" t="s">
        <v>8</v>
      </c>
      <c r="L10" s="19" t="s">
        <v>9</v>
      </c>
      <c r="M10" s="19" t="s">
        <v>12</v>
      </c>
      <c r="N10" s="20" t="s">
        <v>16</v>
      </c>
    </row>
    <row r="11" spans="1:17" ht="18.75" x14ac:dyDescent="0.2">
      <c r="A11" s="86" t="s">
        <v>17</v>
      </c>
      <c r="B11" s="86"/>
      <c r="C11" s="86"/>
      <c r="D11" s="86"/>
      <c r="E11" s="86"/>
      <c r="F11" s="86"/>
      <c r="G11" s="86"/>
      <c r="H11" s="86"/>
      <c r="I11" s="86"/>
      <c r="J11" s="86"/>
      <c r="K11" s="86"/>
      <c r="L11" s="86"/>
      <c r="M11" s="86"/>
      <c r="N11" s="22"/>
    </row>
    <row r="12" spans="1:17" ht="142.5" x14ac:dyDescent="0.2">
      <c r="A12" s="23" t="s">
        <v>18</v>
      </c>
      <c r="B12" s="24"/>
      <c r="C12" s="25">
        <v>2</v>
      </c>
      <c r="D12" s="25">
        <v>0</v>
      </c>
      <c r="E12" s="26"/>
      <c r="F12" s="27">
        <f>IF(B12="Yes",C12,D12)</f>
        <v>0</v>
      </c>
      <c r="G12" s="23" t="s">
        <v>19</v>
      </c>
      <c r="H12" s="24"/>
      <c r="I12" s="28">
        <v>0</v>
      </c>
      <c r="J12" s="28">
        <v>2</v>
      </c>
      <c r="K12" s="28">
        <v>-2</v>
      </c>
      <c r="L12" s="29"/>
      <c r="M12" s="28">
        <f>IF(F12=0,IF(OR(H12="No",H12=""),0,IF(AND(F12=0,H12="Yes"),I12+J12,0)),IF(AND(F12=C12,H12="Yes"),I12,IF(H12="No",K12,0)))</f>
        <v>0</v>
      </c>
      <c r="N12" s="30"/>
      <c r="P12" s="31" t="str">
        <f>IF(OR(ISNUMBER('[1]WebFIRE TEMPLATE'!AE6),ISNUMBER('[1]WebFIRE TEMPLATE'!AE7),ISNUMBER('[1]WebFIRE TEMPLATE'!AE8)),IF(AND(B12="",H12=""),"",IF(OR(AND(B12="",H12="Yes"),AND(B12="Yes",H12="Yes"),AND(B12="No",H12="Yes")),"The regulatory agency reviewer verified that there was documentation that the  test was performed by a firm meeting the criteria as an AETB or a Qualified Individual was present. ",IF(OR(AND(B12="",H12="No"),AND(B12="No",H12="No")),"The reviwer or regulatory agency reviewer determined that the documentation of the test firm meeting the criteria as an AETB or the crew leader was a Qualified Individual was not valid. ",IF(AND(B12="Yes",H12=""),"The reviewer indicated that there was documentation that the test firm met the criteria as an AETB or that the test leader was a Qualified Individual was present but did not assess its acceptability. ",IF(AND(B12="Yes",H12="No"),"The reviewer or regulatroy agency reviewer determined that there was documentation that the test firm met the criteria as an AETB or a Qualified Individual but the documentation was not acceptable. ",IF(AND(B12="No",H12=""),"The reviewer indicated that there was no documentation that a firm meeting the criteria as an AETB or a Qualified Individual was present. ","The reviewer or the regulatory agency reviewer indicated that documentation of testing by a firm meeting the criteria as an AETB or a Qualified Individual is not aapplicable for this test. ")))))),"")</f>
        <v/>
      </c>
    </row>
    <row r="13" spans="1:17" ht="28.5" x14ac:dyDescent="0.2">
      <c r="A13" s="32"/>
      <c r="B13" s="26"/>
      <c r="C13" s="26"/>
      <c r="D13" s="26"/>
      <c r="E13" s="26"/>
      <c r="F13" s="26"/>
      <c r="G13" s="23" t="s">
        <v>20</v>
      </c>
      <c r="H13" s="24"/>
      <c r="I13" s="28">
        <v>1</v>
      </c>
      <c r="J13" s="28"/>
      <c r="K13" s="28">
        <v>0</v>
      </c>
      <c r="L13" s="29"/>
      <c r="M13" s="28">
        <f>IF(H13="Yes",I13,(IF(H13="No",K13,0)))</f>
        <v>0</v>
      </c>
      <c r="N13" s="30"/>
      <c r="P13" s="33" t="str">
        <f>IF(OR(ISNUMBER('[1]WebFIRE TEMPLATE'!AE6),ISNUMBER('[1]WebFIRE TEMPLATE'!AE7),ISNUMBER('[1]WebFIRE TEMPLATE'!AE8)),IF(AND(B13="",H13=""),"",IF(OR(AND(B13="",H13="Yes"),AND(B13="Yes",H13="Yes"),AND(B13="No",H13="Yes")),"The regulatory agency reviewer verified that documentation was present and acceptable that a representative of the regulatory agency on-site during the test. ",IF(OR(AND(B13="",H13="No"),AND(B13="No",H13="No")),"The reviwer or regulatory agency reviewer verified that the documentation was not present of the documentation was not acceptahle that a representative of the regulatory agency on-site during the test. ",IF(AND(B13="Yes",H13=""),"The reviewer indicated that there was documentation thata representative of the regulatory agency was on-site during the test but did not assess its acceptability. ",IF(AND(B13="Yes",H13="No"),"The reviewer or regulatroy agency reviewer verified that there is documentation that a representative of the regulatory agency was on-site during the test but the documentation was not acceptable. ",IF(AND(B13="No",H13=""),"The reviewer indicated that there was no indication thata representative of the regulatory agency on-site during the test. ","The reviewer or the regulatory agency reviewer indicated that a representative of the regulatory agency on-site during the test is not aapplicable for this test. ")))))),"")</f>
        <v/>
      </c>
    </row>
    <row r="14" spans="1:17" ht="14.25" x14ac:dyDescent="0.2">
      <c r="A14" s="34" t="s">
        <v>21</v>
      </c>
      <c r="B14" s="35" t="s">
        <v>128</v>
      </c>
      <c r="C14" s="36">
        <v>3</v>
      </c>
      <c r="D14" s="36">
        <v>0</v>
      </c>
      <c r="E14" s="37"/>
      <c r="F14" s="38">
        <f>IF(B14="Yes",C14,D14)</f>
        <v>3</v>
      </c>
      <c r="G14" s="39" t="s">
        <v>21</v>
      </c>
      <c r="H14" s="35"/>
      <c r="I14" s="40">
        <v>1</v>
      </c>
      <c r="J14" s="40">
        <v>3</v>
      </c>
      <c r="K14" s="40">
        <v>-3</v>
      </c>
      <c r="L14" s="41"/>
      <c r="M14" s="40">
        <f>IF(F14=0,IF(OR(H14="No",H14=""),0,IF(AND(F14=0,H14="Yes"),I14+J14,0)),IF(AND(F14=C14,H14="Yes"),I14,IF(H14="No",K14,0)))</f>
        <v>0</v>
      </c>
      <c r="N14" s="30"/>
      <c r="P14" s="31" t="str">
        <f>IF(OR(ISNUMBER('[1]WebFIRE TEMPLATE'!AE6),ISNUMBER('[1]WebFIRE TEMPLATE'!AE7),ISNUMBER('[1]WebFIRE TEMPLATE'!AE8)),IF(AND(B14="",H14=""),"",IF(OR(AND(B14="",H14="Yes"),AND(B14="Yes",H14="Yes"),AND(B14="No",H14="Yes")),"The regulatory agency reviewer verified that a description and drawing of test location was present and acceptable. ",IF(OR(AND(B14="",H14="No"),AND(B14="No",H14="No")),"The reviwer or regulatory agency reviewer verified that a description and drawing of test location was not present and/or was not acceptable. ",IF(AND(B14="Yes",H14=""),"The reviewer indicated that a description and drawing of test location was present but did not assess its acceptability. ",IF(AND(B14="Yes",H14="No"),"The reviewer or regulatroy agency reviewer verified that a description and drawing of test location was present but was not acceptable. ",IF(AND(B14="No",H14=""),"The reviewer indicated that a description and drawing of test location was not present. ","The reviewer or the regulatory agency reviewer indicated that a description and drawing of test location is not aapplicable for this test. ")))))),"")</f>
        <v/>
      </c>
    </row>
    <row r="15" spans="1:17" ht="89.25" customHeight="1" x14ac:dyDescent="0.2">
      <c r="A15" s="34" t="s">
        <v>22</v>
      </c>
      <c r="B15" s="35" t="s">
        <v>130</v>
      </c>
      <c r="C15" s="36">
        <v>6</v>
      </c>
      <c r="D15" s="36">
        <v>0</v>
      </c>
      <c r="E15" s="37"/>
      <c r="F15" s="38">
        <f t="shared" ref="F15:F19" si="0">IF(B15="Yes",C15,D15)</f>
        <v>0</v>
      </c>
      <c r="G15" s="23" t="s">
        <v>23</v>
      </c>
      <c r="H15" s="35"/>
      <c r="I15" s="42">
        <v>2</v>
      </c>
      <c r="J15" s="42">
        <v>6</v>
      </c>
      <c r="K15" s="42">
        <v>-6</v>
      </c>
      <c r="L15" s="41"/>
      <c r="M15" s="40">
        <f>IF(F15=0,IF(OR(H15="No",H15=""),0,IF(AND(F15=0,H15="Yes"),I15+J15,0)),IF(AND(F15=C15,H15="Yes"),I15,IF(H15="No",K15,0)))</f>
        <v>0</v>
      </c>
      <c r="N15" s="30"/>
      <c r="P15" s="31" t="str">
        <f>IF(OR(ISNUMBER('[1]WebFIRE TEMPLATE'!AE6),ISNUMBER('[1]WebFIRE TEMPLATE'!AE7),ISNUMBER('[1]WebFIRE TEMPLATE'!AE8)),IF(AND(B15="",H15=""),"",IF(OR(AND(B15="",H15="Yes"),AND(B15="Yes",H15="Yes"),AND(B15="No",H15="Yes")),"The regulatory agency reviewer verified that the documentation that the source or the test company sought and obtained approval for deviations from the published test method was present and acceptable. ",IF(OR(AND(B15="",H15="No"),AND(B15="No",H15="No")),"The reviwer or regulatory agency reviewer verified that the documentation that the source or the test company sought and obtained approval for deviations from the published test method was either not present and/or was not acceptable. ",IF(AND(B15="Yes",H15=""),"The reviewer indicated that there was documentation that the source or the test company sought and obtained approval for deviations from the published test method but did not assess its acceptability. ",IF(AND(B15="Yes",H15="No"),"The reviewer or regulatroy agency reviewer verified that there was documentation that the source or the test company sought and obtained approval for deviations from the published test method but was not acceptable. ",IF(AND(B15="No",H15=""),"The reviewer indicated that there was no documentation that the source or the test company sought and obtained approval for deviations from the published test method. ","The reviewer or the regulatory agency reviewer indicated that the source or the test company seeking and obtaining approval for deviations from the published test method is not aapplicable for this test. ")))))),"")</f>
        <v/>
      </c>
      <c r="Q15" s="4"/>
    </row>
    <row r="16" spans="1:17" ht="27" customHeight="1" x14ac:dyDescent="0.2">
      <c r="A16" s="43"/>
      <c r="B16" s="44"/>
      <c r="C16" s="37"/>
      <c r="D16" s="37"/>
      <c r="E16" s="37"/>
      <c r="F16" s="37"/>
      <c r="G16" s="23" t="s">
        <v>24</v>
      </c>
      <c r="H16" s="35"/>
      <c r="I16" s="40">
        <v>0</v>
      </c>
      <c r="J16" s="45">
        <v>6</v>
      </c>
      <c r="K16" s="40">
        <v>-6</v>
      </c>
      <c r="L16" s="40"/>
      <c r="M16" s="45">
        <f>IF(F15=0,IF(AND(H15="Yes",H16="No"),-M15,IF(AND(H15="No",H16="Yes"),J16,IF(AND(OR(H15="No",H15=""),H16="No"),K16,0))),IF(AND(F15=C15,H16="Yes"),I16,IF(H16="No",K16-M15,0)))</f>
        <v>0</v>
      </c>
      <c r="N16" s="30"/>
      <c r="P16" s="33" t="str">
        <f>IF(OR(ISNUMBER('[1]WebFIRE TEMPLATE'!AE6),ISNUMBER('[1]WebFIRE TEMPLATE'!AE7),ISNUMBER('[1]WebFIRE TEMPLATE'!AE8)),IF(AND(B16="",H16=""),"",IF(OR(AND(B16="",H16="Yes"),AND(B16="Yes",H16="Yes"),AND(B16="No",H16="Yes")),"The regulatory agency reviewer verified that the test method deviations were acceptable. ",IF(OR(AND(B16="",H16="No"),AND(B16="No",H16="No")),"The reviwer or regulatory agency reviewer verified that  acceptability of test method deviations was not acceptable. ",IF(AND(B16="Yes",H16=""),"The reviewer indicated that documentation of the acceptability of test method deviations was present but did not verify its acceptability. ",IF(AND(B16="Yes",H16="No"),"The reviewer or regulatroy agency reviewer verified that documentation of the acceptability of test method deviations was present but was not acceptable. ",IF(AND(B16="No",H16=""),"The reviewer indicated that documentation of the acceptability of test method deviations was not present. ","The reviewer or the regulatory agency reviewer indicated that an assessment of the acceptability of test method deviations is not applicable for this test. ")))))),"")</f>
        <v/>
      </c>
    </row>
    <row r="17" spans="1:17" ht="41.25" customHeight="1" x14ac:dyDescent="0.2">
      <c r="A17" s="34" t="s">
        <v>25</v>
      </c>
      <c r="B17" s="35" t="s">
        <v>130</v>
      </c>
      <c r="C17" s="36">
        <v>3</v>
      </c>
      <c r="D17" s="36">
        <v>0</v>
      </c>
      <c r="E17" s="37"/>
      <c r="F17" s="38">
        <f t="shared" si="0"/>
        <v>0</v>
      </c>
      <c r="G17" s="39" t="s">
        <v>25</v>
      </c>
      <c r="H17" s="35"/>
      <c r="I17" s="40">
        <v>1</v>
      </c>
      <c r="J17" s="40">
        <v>3</v>
      </c>
      <c r="K17" s="40">
        <v>-3</v>
      </c>
      <c r="L17" s="41"/>
      <c r="M17" s="40">
        <f>IF(F17=0,IF(OR(H17="No",H17=""),0,IF(AND(F17=0,H17="Yes"),I17+J17,0)),IF(AND(F17=C17,H17="Yes"),I17,IF(H17="No",K17,0)))</f>
        <v>0</v>
      </c>
      <c r="N17" s="30"/>
      <c r="P17" s="33" t="str">
        <f>IF(OR(ISNUMBER('[1]WebFIRE TEMPLATE'!AE6),ISNUMBER('[1]WebFIRE TEMPLATE'!AE7),ISNUMBER('[1]WebFIRE TEMPLATE'!AE8)),IF(AND(B17="",H17=""),"",IF(OR(AND(B17="",H17="Yes"),AND(B17="Yes",H17="Yes"),AND(B17="No",H17="Yes")),"The regulatory agency reviewer verified that a full description of the process and the unit (including installed controls) was present and acceptable. ",IF(OR(AND(B17="",H17="No"),AND(B17="No",H17="No")),"The reviwer or regulatory agency reviewer verified that a full description of the process and the unit (including installed controls) was not present and/or was not acceptable. ",IF(AND(B17="Yes",H17=""),"The reviewer indicated that a full description of the process and the unit (including installed controls) was present but did not assess its acceptability. ",IF(AND(B17="Yes",H17="No"),"The reviewer or regulatroy agency reviewer verified that a full description of the process and the unit (including installed controls) was present but was not acceptable. ",IF(AND(B17="No",H17=""),"The reviewer indicated that a full description of the process and the unit (including installed controls) was not present. ","The reviewer or the regulatory agency reviewer indicated that a full description of the process and the unit (including installed controls) is not aapplicable for this test. ")))))),"")</f>
        <v/>
      </c>
      <c r="Q17" s="4"/>
    </row>
    <row r="18" spans="1:17" ht="65.25" customHeight="1" x14ac:dyDescent="0.2">
      <c r="A18" s="23" t="s">
        <v>26</v>
      </c>
      <c r="B18" s="35" t="s">
        <v>130</v>
      </c>
      <c r="C18" s="36">
        <v>6</v>
      </c>
      <c r="D18" s="36">
        <v>0</v>
      </c>
      <c r="E18" s="37"/>
      <c r="F18" s="38">
        <f t="shared" si="0"/>
        <v>0</v>
      </c>
      <c r="G18" s="39" t="s">
        <v>26</v>
      </c>
      <c r="H18" s="35"/>
      <c r="I18" s="40">
        <v>2</v>
      </c>
      <c r="J18" s="40">
        <v>6</v>
      </c>
      <c r="K18" s="40">
        <v>-6</v>
      </c>
      <c r="L18" s="41"/>
      <c r="M18" s="40">
        <f>IF(F18=0,IF(OR(H18="No",H18=""),0,IF(AND(F18=0,H18="Yes"),I18+J18,0)),IF(AND(F18=C18,H18="Yes"),I18,IF(H18="No",K18,0)))</f>
        <v>0</v>
      </c>
      <c r="N18" s="30"/>
      <c r="P18" s="33" t="str">
        <f>IF(OR(ISNUMBER('[1]WebFIRE TEMPLATE'!AE6),ISNUMBER('[1]WebFIRE TEMPLATE'!AE7),ISNUMBER('[1]WebFIRE TEMPLATE'!AE8)),IF(AND(B18="",H18=""),"",IF(OR(AND(B18="",H18="Yes"),AND(B18="Yes",H18="Yes"),AND(B18="No",H18="Yes")),"The regulatory agency reviewer verified that a detailed discussion of source operating conditions, air polluting control device operations and the representativeness of measurements was provided and acceptable. ",IF(OR(AND(B18="",H18="No"),AND(B18="No",H18="No")),"The reviwer or regulatory agency reviewer verified a detailed discussion of source operating conditions, air polluting control device operations and the representativeness of measurements was not present and/or was not acceptable. ",IF(AND(B18="Yes",H18=""),"The reviewer indicated that a detailed discussion of source operating conditions, air polluting control device operations and the representativeness of measurements was provided but did not assess its acceptability. ",IF(AND(B18="Yes",H18="No"),"The reviewer or regulatroy agency reviewer verified that a detailed discussion of source operating conditions, air polluting control device operations and the representativeness of measurements was provided but was not acceptable. ",IF(AND(B18="No",H18=""),"The reviewer indicated that a detailed discussion of source operating conditions, air polluting control device operations and the representativeness of measurements was not provided. ","The reviewer or the regulatory agency reviewer indicated that providing a detailed discussion of source operating conditions, air polluting control device operations and the representativeness of measurements is not aapplicable for this test. ")))))),"")</f>
        <v/>
      </c>
      <c r="Q18" s="6"/>
    </row>
    <row r="19" spans="1:17" ht="42.75" x14ac:dyDescent="0.2">
      <c r="A19" s="39" t="s">
        <v>27</v>
      </c>
      <c r="B19" s="35" t="s">
        <v>128</v>
      </c>
      <c r="C19" s="36">
        <v>60</v>
      </c>
      <c r="D19" s="36">
        <v>0</v>
      </c>
      <c r="E19" s="37"/>
      <c r="F19" s="38">
        <f t="shared" si="0"/>
        <v>60</v>
      </c>
      <c r="G19" s="23" t="s">
        <v>28</v>
      </c>
      <c r="H19" s="35"/>
      <c r="I19" s="40">
        <v>4</v>
      </c>
      <c r="J19" s="40">
        <v>12</v>
      </c>
      <c r="K19" s="40">
        <v>-12</v>
      </c>
      <c r="L19" s="41"/>
      <c r="M19" s="40">
        <f>IF(F19=0,IF(OR(H19="No",H19=""),0,IF(AND(F19=0,H19="Yes"),I19+J19,0)),IF(AND(F19=C19,H19="Yes"),I19,IF(H19="No",K19,0)))</f>
        <v>0</v>
      </c>
      <c r="N19" s="30"/>
      <c r="P19" s="33" t="str">
        <f>IF(OR(ISNUMBER('[1]WebFIRE TEMPLATE'!AE6),ISNUMBER('[1]WebFIRE TEMPLATE'!AE7),ISNUMBER('[1]WebFIRE TEMPLATE'!AE8)),IF(AND(B19="",H19=""),"",IF(OR(AND(B19="",H19="Yes"),AND(B19="Yes",H19="Yes"),AND(B19="No",H19="Yes")),"The regulatory agency reviewer verified that there is documentation that the required process monitors have been calibrated and that the calibration is acceptable. ",IF(OR(AND(B19="",H19="No"),AND(B19="No",H19="No")),"The reviwer or regulatory agency reviewer verified that documentation that the required process monitors have been calibrated was not present and/or was not acceptable. ",IF(AND(B19="Yes",H19=""),"The reviewer indicated the presence of documentation describing and reporting the operating parameters for the tested process unit and associated controls but did not assess its acceptability. ",IF(AND(B19="Yes",H19="No"),"The reviewer or regulatroy agency reviewer verified that documentation that the required process monitors have been calibrated was present but was not acceptable. ",IF(AND(B19="No",H19=""),"The reviewer indicated that documentation that the required process monitors have been calibrated was not present. ","The reviewer or the regulatory agency reviewer indicated that documentation that the required process monitors have been calibrated is not applicable for this test. ")))))),"")</f>
        <v/>
      </c>
      <c r="Q19" s="6"/>
    </row>
    <row r="20" spans="1:17" ht="27" customHeight="1" x14ac:dyDescent="0.2">
      <c r="A20" s="46"/>
      <c r="B20" s="37"/>
      <c r="C20" s="37"/>
      <c r="D20" s="37"/>
      <c r="E20" s="37"/>
      <c r="F20" s="37"/>
      <c r="G20" s="39" t="s">
        <v>29</v>
      </c>
      <c r="H20" s="35"/>
      <c r="I20" s="40">
        <v>4</v>
      </c>
      <c r="J20" s="40">
        <v>12</v>
      </c>
      <c r="K20" s="40">
        <v>-12</v>
      </c>
      <c r="L20" s="41"/>
      <c r="M20" s="40">
        <f>IF(F19=0,IF(OR(H20="No",H20=""),0,IF(AND(F19=0,H20="Yes"),I20+J20,0)),IF(AND(F19=C19,H20="Yes"),I20,IF(H20="No",K20,0)))</f>
        <v>0</v>
      </c>
      <c r="N20" s="30"/>
      <c r="P20" s="33" t="str">
        <f>IF(OR(ISNUMBER('[1]WebFIRE TEMPLATE'!AE6),ISNUMBER('[1]WebFIRE TEMPLATE'!AE7),ISNUMBER('[1]WebFIRE TEMPLATE'!AE8)),IF(AND(B19="",H20=""),"",IF(OR(AND(B19="",H20="Yes"),AND(B19="Yes",H20="Yes"),AND(B19="No",H20="Yes")),"The regulatory agency reviewer verified that the process capacity was documented and acceptable. ",IF(OR(AND(B19="",H20="No"),AND(B19="No",H20="No")),"The reviwer or regulatory agency reviewer verified that the process capacity was not present and/or was not acceptable. ",IF(AND(B19="Yes",H20=""),"",IF(AND(B19="Yes",H20="No"),"The reviewer or regulatroy agency reviewer verified that the process capacity was documented but not acceptable. ",IF(AND(B19="No",H20=""),"","The reviewer or the regulatory agency reviewer indicated that documenting the process capacity is not applicable for this test. ")))))),"")</f>
        <v/>
      </c>
      <c r="Q20" s="4"/>
    </row>
    <row r="21" spans="1:17" ht="49.5" customHeight="1" x14ac:dyDescent="0.2">
      <c r="A21" s="46"/>
      <c r="B21" s="37"/>
      <c r="C21" s="37"/>
      <c r="D21" s="37"/>
      <c r="E21" s="37"/>
      <c r="F21" s="37"/>
      <c r="G21" s="39" t="s">
        <v>30</v>
      </c>
      <c r="H21" s="35"/>
      <c r="I21" s="40">
        <v>4</v>
      </c>
      <c r="J21" s="40">
        <v>12</v>
      </c>
      <c r="K21" s="40">
        <v>-12</v>
      </c>
      <c r="L21" s="41"/>
      <c r="M21" s="40">
        <f>IF(F19=0,IF(OR(H21="No",H21=""),0,IF(AND(F19=0,H21="Yes"),I21+J21,0)),IF(AND(F19=C19,H21="Yes"),I21,IF(H21="No",K21,0)))</f>
        <v>0</v>
      </c>
      <c r="N21" s="30"/>
      <c r="P21" s="33" t="str">
        <f>IF(OR(ISNUMBER('[1]WebFIRE TEMPLATE'!AE6),ISNUMBER('[1]WebFIRE TEMPLATE'!AE7),ISNUMBER('[1]WebFIRE TEMPLATE'!AE8)),IF(AND(B19="",H21=""),"",IF(OR(AND(B19="",H21="Yes"),AND(B19="Yes",H21="Yes"),AND(B19="No",H21="Yes")),"The regulatory agency reviewer verified that the the process was operating within an appropriate range for the test program objectives. ",IF(OR(AND(B19="",H21="No"),AND(B19="No",H21="No")),"The reviwer or regulatory agency reviewer verified that the documentation that the process was operating within an appropriate range for the test program objectives was not present and/or the documentation was not acceptable. ",IF(AND(B19="Yes",H21=""),"",IF(AND(B19="Yes",H21="No"),"The reviewer or regulatroy agency reviewer verified that the documentaion that the process was operating within an appropriate range for the test program objectives was present but not acceptable. ",IF(AND(B19="No",H21=""),"","The reviewer or the regulatory agency reviewer indicated that the process operating within an appropriate range for the test program objectives is not applicable for this test. ")))))),"")</f>
        <v/>
      </c>
      <c r="Q21" s="6"/>
    </row>
    <row r="22" spans="1:17" ht="45" customHeight="1" x14ac:dyDescent="0.2">
      <c r="A22" s="46"/>
      <c r="B22" s="37"/>
      <c r="C22" s="37"/>
      <c r="D22" s="37"/>
      <c r="E22" s="37"/>
      <c r="F22" s="37"/>
      <c r="G22" s="39" t="s">
        <v>31</v>
      </c>
      <c r="H22" s="35"/>
      <c r="I22" s="40">
        <v>4</v>
      </c>
      <c r="J22" s="40">
        <v>12</v>
      </c>
      <c r="K22" s="40">
        <v>-12</v>
      </c>
      <c r="L22" s="41"/>
      <c r="M22" s="40">
        <f>IF(F19=0,IF(OR(H22="No",H22=""),0,IF(AND(F19=0,H22="Yes"),I22+J22,0)),IF(AND(F19=C19,H22="Yes"),I22,IF(H22="No",K22,0)))</f>
        <v>0</v>
      </c>
      <c r="N22" s="30"/>
      <c r="P22" s="33" t="str">
        <f>IF(OR(ISNUMBER('[1]WebFIRE TEMPLATE'!AE6),ISNUMBER('[1]WebFIRE TEMPLATE'!AE7),ISNUMBER('[1]WebFIRE TEMPLATE'!AE8)),IF(AND(B19="",H22=""),"",IF(OR(AND(B19="",H22="Yes"),AND(B19="Yes",H22="Yes"),AND(B19="No",H22="Yes")),"The regulatory agency reviewer verified that the documentation of the process data was concurrent with testing. ",IF(OR(AND(B19="",H22="No"),AND(B19="No",H22="No")),"The reviwer or regulatory agency reviewer verified that the documentation of the process data was not present and/or not concurrent with testing. ",IF(AND(B19="Yes",H22=""),"",IF(AND(B19="Yes",H22="No"),"The reviewer or regulatroy agency reviewer verified that the documentation of the process data was provided but that concurrence with testing was not acceptable. ",IF(AND(B19="No",H22=""),"","The reviewer or the regulatory agency reviewer indicated that the documentation of the process data being concurrent with testing is not applicable for this test. ")))))),"")</f>
        <v/>
      </c>
      <c r="Q22" s="6"/>
    </row>
    <row r="23" spans="1:17" ht="39.75" customHeight="1" x14ac:dyDescent="0.2">
      <c r="A23" s="46"/>
      <c r="B23" s="37"/>
      <c r="C23" s="37"/>
      <c r="D23" s="37"/>
      <c r="E23" s="37"/>
      <c r="F23" s="37"/>
      <c r="G23" s="39" t="s">
        <v>32</v>
      </c>
      <c r="H23" s="35"/>
      <c r="I23" s="40">
        <v>4</v>
      </c>
      <c r="J23" s="40">
        <v>12</v>
      </c>
      <c r="K23" s="40">
        <v>-12</v>
      </c>
      <c r="L23" s="41"/>
      <c r="M23" s="40">
        <f>IF(F19=0,IF(OR(H23="No",H23=""),0,IF(AND(F19=0,H23="Yes"),I23+J23,0)),IF(AND(F19=C19,H23="Yes"),I23,IF(H23="No",K23,0)))</f>
        <v>0</v>
      </c>
      <c r="N23" s="30"/>
      <c r="P23" s="33" t="str">
        <f>IF(OR(ISNUMBER('[1]WebFIRE TEMPLATE'!AE6),ISNUMBER('[1]WebFIRE TEMPLATE'!AE7),ISNUMBER('[1]WebFIRE TEMPLATE'!AE8)),IF(AND(B19="",H23=""),"",IF(OR(AND(B19="",H23="Yes"),AND(B19="Yes",H23="Yes"),AND(B19="No",H23="Yes")),"The regulatory agency reviewer verified that data are included in the report for all parameters on which limits will be set. ",IF(OR(AND(B19="",H23="No"),AND(B19="No",H23="No")),"The reviwer or regulatory agency reviewer verified that data for all parameters on which limits will be set was not included in the report. ",IF(AND(B19="Yes",H23=""),"",IF(AND(B19="Yes",H23="No"),"The reviewer or regulatroy agency reviewer verified that data were included in the report for all parameters on which limits will be set but that it was not acceptable. ",IF(AND(B19="No",H23=""),"","The reviewer or the regulatory agency reviewer indicated that the inclusion of data in the report for all parameters on which limits will be set is not applicable for this test. ")))))),"")</f>
        <v/>
      </c>
      <c r="Q23" s="4"/>
    </row>
    <row r="24" spans="1:17" ht="71.25" x14ac:dyDescent="0.2">
      <c r="A24" s="23" t="s">
        <v>33</v>
      </c>
      <c r="B24" s="35" t="s">
        <v>130</v>
      </c>
      <c r="C24" s="38">
        <v>9</v>
      </c>
      <c r="D24" s="38">
        <v>0</v>
      </c>
      <c r="E24" s="38"/>
      <c r="F24" s="38">
        <f t="shared" ref="F24" si="1">IF(B24="Yes",C24,D24)</f>
        <v>0</v>
      </c>
      <c r="G24" s="23" t="s">
        <v>34</v>
      </c>
      <c r="H24" s="35"/>
      <c r="I24" s="40">
        <v>3</v>
      </c>
      <c r="J24" s="40">
        <v>9</v>
      </c>
      <c r="K24" s="40">
        <v>-9</v>
      </c>
      <c r="L24" s="41"/>
      <c r="M24" s="40">
        <f>IF(F24=0,IF(OR(H24="No",H24=""),0,IF(AND(F24=0,H24="Yes"),I24+J24,0)),IF(AND(F24=C24,H24="Yes"),I24,IF(H24="No",K24,0)))</f>
        <v>0</v>
      </c>
      <c r="N24" s="47"/>
      <c r="P24" s="33" t="str">
        <f>IF(OR(ISNUMBER('[1]WebFIRE TEMPLATE'!AE6),ISNUMBER('[1]WebFIRE TEMPLATE'!AE7),ISNUMBER('[1]WebFIRE TEMPLATE'!AE8)),IF(AND(B24="",H24=""),"",IF(OR(AND(B24="",H24="Yes"),AND(B24="Yes",H24="Yes"),AND(B24="No",H24="Yes")),"The regulatory agency reviewer verified that an assessment of the validity, representativeness, achievement of DQO's and usability of the data was present and acceptable. ",IF(OR(AND(B24="",H24="No"),AND(B24="No",H24="No")),"The reviewer or regulatory agency reviewer verified that an assessment of the validity, representativeness, achievement of DQO's and usability of the data was not present and/or was not acceptable. ",IF(AND(B24="Yes",H24=""),"The reviewer indicated that an assessment of the validity, representativeness, achievement of DQO's and usability of the data was present but did not assess its acceptability. ",IF(AND(B24="Yes",H24="No"),"The reviewer or regulatroy agency reviewer verified that an assessment of the validity, representativeness, achievement of DQO's and usability of the data was present but was not acceptable. ",IF(AND(B24="No",H24=""),"The reviewer indicated that an assessment of the validity, representativeness, achievement of DQO's and usability of the data was not present. ","The reviewer or the regulatory agency reviewer indicated that an assessment of the validity, representativeness, achievement of DQO's and usability of the data is not aapplicable for this test. ")))))),"")</f>
        <v/>
      </c>
      <c r="Q24" s="6"/>
    </row>
    <row r="25" spans="1:17" ht="28.5" x14ac:dyDescent="0.2">
      <c r="A25" s="34" t="s">
        <v>35</v>
      </c>
      <c r="B25" s="35" t="s">
        <v>130</v>
      </c>
      <c r="C25" s="36">
        <v>0</v>
      </c>
      <c r="D25" s="36">
        <v>0</v>
      </c>
      <c r="E25" s="37"/>
      <c r="F25" s="38">
        <f>IF(B25="Yes",C25,D25)</f>
        <v>0</v>
      </c>
      <c r="G25" s="39" t="s">
        <v>36</v>
      </c>
      <c r="H25" s="35"/>
      <c r="I25" s="40">
        <v>0</v>
      </c>
      <c r="J25" s="40">
        <v>0</v>
      </c>
      <c r="K25" s="40">
        <v>-111</v>
      </c>
      <c r="L25" s="40">
        <v>0</v>
      </c>
      <c r="M25" s="45">
        <f>IF(F25=0,IF(H25="No",K25,IF(H25="Yes",I25+J25,IF(H25="No",K25,0))),IF(AND(F25=C25,H25="Yes"),I25,IF(H25="No",K25,0)))</f>
        <v>0</v>
      </c>
      <c r="N25" s="30"/>
      <c r="P25" s="33" t="str">
        <f>IF(OR(ISNUMBER('[1]WebFIRE TEMPLATE'!AE6),ISNUMBER('[1]WebFIRE TEMPLATE'!AE7),ISNUMBER('[1]WebFIRE TEMPLATE'!AE8)),IF(AND(B25="",H25=""),"",IF(OR(AND(B25="",H25="Yes"),AND(B25="Yes",H25="Yes"),AND(B25="No",H25="Yes")),"The regulatory agency reviewer verified that a discussion on how sampling issues were handled such that data quality was not adversely affected was present and acceptable. ",IF(OR(AND(B25="",H25="No"),AND(B25="No",H25="No")),"The reviwer or regulatory agency reviewer verified that a discussion on the handling of sampling issues such that data quality was not adversely affected was not present and/or was not acceptable. ",IF(AND(B25="Yes",H25=""),"The reviewer indicated that a discussin on the handling of sampling issues such that data quality was not adversely affected was present but did not assess its acceptability. ",IF(AND(B25="Yes",H25="No"),"The reviewer or regulatroy agency reviewer verified that there was a discussion of the handling of sampling issues such that data quality was not adversely affected was present but was not acceptable. ",IF(AND(B25="No",H25=""),"The reviewer indicated that there was no discussion on the handling of sampling issues such that data quality was not adversely affected. ","The reviewer or the regulatory agency reviewer indicated that discussions on the handling of sampling issues such that data quality was not adversely affected is not applicable for this test. ")))))),"")</f>
        <v/>
      </c>
      <c r="Q25" s="6"/>
    </row>
    <row r="26" spans="1:17" ht="18.75" x14ac:dyDescent="0.2">
      <c r="A26" s="87" t="s">
        <v>37</v>
      </c>
      <c r="B26" s="87"/>
      <c r="C26" s="87"/>
      <c r="D26" s="87"/>
      <c r="E26" s="87"/>
      <c r="F26" s="87"/>
      <c r="G26" s="87"/>
      <c r="H26" s="87"/>
      <c r="I26" s="87"/>
      <c r="J26" s="87"/>
      <c r="K26" s="87"/>
      <c r="L26" s="87"/>
      <c r="M26" s="87"/>
      <c r="N26" s="22"/>
      <c r="P26" s="33"/>
      <c r="Q26" s="4"/>
    </row>
    <row r="27" spans="1:17" ht="18.75" x14ac:dyDescent="0.2">
      <c r="A27" s="73" t="s">
        <v>38</v>
      </c>
      <c r="B27" s="48"/>
      <c r="C27" s="26"/>
      <c r="D27" s="26"/>
      <c r="E27" s="26"/>
      <c r="F27" s="26"/>
      <c r="G27" s="49"/>
      <c r="H27" s="49"/>
      <c r="I27" s="26"/>
      <c r="J27" s="26"/>
      <c r="K27" s="26"/>
      <c r="L27" s="26"/>
      <c r="M27" s="26"/>
      <c r="N27" s="32"/>
      <c r="P27" s="33"/>
      <c r="Q27" s="4"/>
    </row>
    <row r="28" spans="1:17" ht="40.5" customHeight="1" x14ac:dyDescent="0.2">
      <c r="A28" s="34" t="s">
        <v>39</v>
      </c>
      <c r="B28" s="35"/>
      <c r="C28" s="36">
        <v>54</v>
      </c>
      <c r="D28" s="36">
        <v>0</v>
      </c>
      <c r="E28" s="37"/>
      <c r="F28" s="38">
        <f t="shared" ref="F28:F36" si="2">IF(B28="Yes",C28,D28)</f>
        <v>0</v>
      </c>
      <c r="G28" s="39" t="s">
        <v>40</v>
      </c>
      <c r="H28" s="35"/>
      <c r="I28" s="40">
        <v>3</v>
      </c>
      <c r="J28" s="40">
        <v>9</v>
      </c>
      <c r="K28" s="40">
        <v>-9</v>
      </c>
      <c r="L28" s="41"/>
      <c r="M28" s="40">
        <f>IF(F28=0,IF(OR(H28="No",H28=""),0,IF(AND(F28=0,H28="Yes"),I28+J28,0)),IF(AND(F28=C28,H28="Yes"),I28,IF(H28="No",K28,0)))</f>
        <v>0</v>
      </c>
      <c r="N28" s="30"/>
      <c r="P28" s="33" t="str">
        <f>IF(OR(ISNUMBER('[1]WebFIRE TEMPLATE'!AE6),ISNUMBER('[1]WebFIRE TEMPLATE'!AE7),ISNUMBER('[1]WebFIRE TEMPLATE'!AE8)),IF(AND(B28="",H28=""),"",IF(OR(AND(B28="",H28="Yes"),AND(B28="Yes",H28="Yes"),AND(B28="No",H28="Yes")),"The regulatory agency reviewer verified that the DGM pre-test calibration was within the criteria specified by the test method. ",IF(OR(AND(B28="",H28="No"),AND(B28="No",H28="No")),"The reviwer or regulatory agency reviewer verified that  the DGM pre-test calibration was not present and/or was not acceptable. ",IF(AND(B28="Yes",H28=""),"The reviewer indicated that  the Gas meter calibrations, Pitot and Nozzle inspections were present but did not assess their acceptability. ",IF(AND(B28="Yes",H28="No"),"The reviewer or regulatroy agency reviewer verified that  the DGM pre-test calibration was present but was not acceptable. ",IF(AND(B28="No",H28=""),"The reviewer indicated that Gas meter calibrations, Pitot and Nozzle inspections were not present. ","The reviewer or the regulatory agency reviewer indicated that Gas meter calibrations, Pitot and Nozzle inspections were not applicable for this test. ")))))),"")</f>
        <v/>
      </c>
      <c r="Q28" s="4"/>
    </row>
    <row r="29" spans="1:17" ht="28.5" x14ac:dyDescent="0.2">
      <c r="A29" s="46"/>
      <c r="B29" s="37"/>
      <c r="C29" s="37"/>
      <c r="D29" s="37"/>
      <c r="E29" s="37"/>
      <c r="F29" s="37"/>
      <c r="G29" s="39" t="s">
        <v>42</v>
      </c>
      <c r="H29" s="35"/>
      <c r="I29" s="40">
        <v>3</v>
      </c>
      <c r="J29" s="40">
        <v>9</v>
      </c>
      <c r="K29" s="40">
        <v>-9</v>
      </c>
      <c r="L29" s="41"/>
      <c r="M29" s="40">
        <f>IF(F28=0,IF(OR(H29="No",H29=""),0,IF(AND(F28=0,H29="Yes"),I29+J29,0)),IF(AND(F28=C28,H29="Yes"),I29,IF(H29="No",K29,0)))</f>
        <v>0</v>
      </c>
      <c r="N29" s="30"/>
      <c r="P29" s="33" t="str">
        <f>IF(OR(ISNUMBER('[1]WebFIRE TEMPLATE'!AE6),ISNUMBER('[1]WebFIRE TEMPLATE'!AE7),ISNUMBER('[1]WebFIRE TEMPLATE'!AE8)),IF(AND(B28="",H29=""),"",IF(OR(AND(B28="",H29="Yes"),AND(B28="Yes",H29="Yes"),AND(B28="No",H29="Yes")),"The regulatory agency reviewer verified that the DGM post-test calibration was within the criteria specified by the test method. ",IF(OR(AND(B28="",H29="No"),AND(B28="No",H29="No")),"The reviwer or regulatory agency reviewer verified that  the DGM post-test calibration was not present and/or was not acceptable. ",IF(AND(B28="Yes",H29=""),"",IF(AND(B28="Yes",H29="No"),"The reviewer or regulatroy agency reviewer verified that  the DGM post-test calibration was present but was not acceptable. ",IF(AND(B28="No",H29=""),"","The reviewer or the regulatory agency reviewer indicated that the DGM post-test calibration was not applicable for this test. ")))))),"")</f>
        <v/>
      </c>
      <c r="Q29" s="4"/>
    </row>
    <row r="30" spans="1:17" ht="27.75" customHeight="1" x14ac:dyDescent="0.2">
      <c r="A30" s="46"/>
      <c r="B30" s="37"/>
      <c r="C30" s="37"/>
      <c r="D30" s="37"/>
      <c r="E30" s="37"/>
      <c r="F30" s="37"/>
      <c r="G30" s="39" t="s">
        <v>43</v>
      </c>
      <c r="H30" s="35"/>
      <c r="I30" s="40">
        <v>3</v>
      </c>
      <c r="J30" s="40">
        <v>9</v>
      </c>
      <c r="K30" s="40">
        <v>-9</v>
      </c>
      <c r="L30" s="41"/>
      <c r="M30" s="40">
        <f>IF(F28=0,IF(OR(H30="No",H30=""),0,IF(AND(F28=0,H30="Yes"),I30+J30,0)),IF(AND(F28=C28,H30="Yes"),I30,IF(H30="No",K30,0)))</f>
        <v>0</v>
      </c>
      <c r="N30" s="30"/>
      <c r="P30" s="33" t="str">
        <f>IF(OR(ISNUMBER('[1]WebFIRE TEMPLATE'!AE6),ISNUMBER('[1]WebFIRE TEMPLATE'!AE7),ISNUMBER('[1]WebFIRE TEMPLATE'!AE8)),IF(AND(B28="",H30=""),"",IF(OR(AND(B28="",H30="Yes"),AND(B28="Yes",H30="Yes"),AND(B28="No",H30="Yes")),"The regulatory agency reviewer verified that the thermocouple calibration was within the criteria specified by the test method. ",IF(OR(AND(B28="",H30="No"),AND(B28="No",H30="No")),"The reviwer or regulatory agency reviewer verified that  the thermocouple calibration was not present and/or was not acceptable. ",IF(AND(B28="Yes",H30=""),"",IF(AND(B28="Yes",H30="No"),"The reviewer or regulatroy agency reviewer verified that  the thermocouple calibration was present but was not acceptable. ",IF(AND(B28="No",H30=""),"","The reviewer or the regulatory agency reviewer indicated that the thermocouple calibration was not applicable for this test. ")))))),"")</f>
        <v/>
      </c>
    </row>
    <row r="31" spans="1:17" ht="27.75" customHeight="1" x14ac:dyDescent="0.2">
      <c r="A31" s="46"/>
      <c r="B31" s="37"/>
      <c r="C31" s="37"/>
      <c r="D31" s="37"/>
      <c r="E31" s="37"/>
      <c r="F31" s="37"/>
      <c r="G31" s="39" t="s">
        <v>44</v>
      </c>
      <c r="H31" s="35"/>
      <c r="I31" s="40">
        <v>3</v>
      </c>
      <c r="J31" s="40">
        <v>9</v>
      </c>
      <c r="K31" s="40">
        <v>-9</v>
      </c>
      <c r="L31" s="41"/>
      <c r="M31" s="40">
        <f>IF(F28=0,IF(OR(H31="No",H31=""),0,IF(AND(F28=0,H31="Yes"),I31+J31,0)),IF(AND(F28=C28,H31="Yes"),I31,IF(H31="No",K31,0)))</f>
        <v>0</v>
      </c>
      <c r="N31" s="30"/>
      <c r="P31" s="33" t="str">
        <f>IF(OR(ISNUMBER('[1]WebFIRE TEMPLATE'!AE6),ISNUMBER('[1]WebFIRE TEMPLATE'!AE7),ISNUMBER('[1]WebFIRE TEMPLATE'!AE8)),IF(AND(B28="",H31=""),"",IF(OR(AND(B28="",H31="Yes"),AND(B28="Yes",H31="Yes"),AND(B28="No",H31="Yes")),"The regulatory agency reviewer verified that the pitot inspection was within the criteria specified by the test method. ",IF(OR(AND(B28="",H31="No"),AND(B28="No",H31="No")),"The reviwer or regulatory agency reviewer verified that  the pitot inspection was not present and/or was not acceptable. ",IF(AND(B28="Yes",H31=""),"",IF(AND(B28="Yes",H31="No"),"The reviewer or regulatroy agency reviewer verified that  the pitot inspection was present but was not acceptable. ",IF(AND(B28="No",H31=""),"","The reviewer or the regulatory agency reviewer indicated that the pitot inspection was not applicable for this test. ")))))),"")</f>
        <v/>
      </c>
    </row>
    <row r="32" spans="1:17" ht="26.25" customHeight="1" x14ac:dyDescent="0.2">
      <c r="A32" s="46"/>
      <c r="B32" s="37"/>
      <c r="C32" s="37"/>
      <c r="D32" s="37"/>
      <c r="E32" s="37"/>
      <c r="F32" s="37"/>
      <c r="G32" s="39" t="s">
        <v>45</v>
      </c>
      <c r="H32" s="35"/>
      <c r="I32" s="40">
        <v>3</v>
      </c>
      <c r="J32" s="40">
        <v>9</v>
      </c>
      <c r="K32" s="40">
        <v>-9</v>
      </c>
      <c r="L32" s="41"/>
      <c r="M32" s="40">
        <f>IF(F28=0,IF(OR(H32="No",H32=""),0,IF(AND(F28=0,H32="Yes"),I32+J32,0)),IF(AND(F28=C28,H32="Yes"),I32,IF(H32="No",K32,0)))</f>
        <v>0</v>
      </c>
      <c r="N32" s="30"/>
      <c r="P32" s="33" t="str">
        <f>IF(OR(ISNUMBER('[1]WebFIRE TEMPLATE'!AE6),ISNUMBER('[1]WebFIRE TEMPLATE'!AE7),ISNUMBER('[1]WebFIRE TEMPLATE'!AE8)),IF(AND(B28="",H32=""),"",IF(OR(AND(B28="",H32="Yes"),AND(B28="Yes",H32="Yes"),AND(B28="No",H32="Yes")),"The regulatory agency reviewer verified that the nozzle inspection was within the criteria specified by the test method. ",IF(OR(AND(B28="",H32="No"),AND(B28="No",H32="No")),"The reviwer or regulatory agency reviewer verified that  the nozzle inspection was not present and/or was not acceptable. ",IF(AND(B28="Yes",H32=""),"",IF(AND(B28="Yes",H32="No"),"The reviewer or regulatroy agency reviewer verified that  the nozzle inspection was present but was not acceptable. ",IF(AND(B28="No",H32=""),"","The reviewer or the regulatory agency reviewer indicated that the nozzle inspection was not applicable for this test. ")))))),"")</f>
        <v/>
      </c>
    </row>
    <row r="33" spans="1:16" ht="14.25" x14ac:dyDescent="0.2">
      <c r="A33" s="46"/>
      <c r="B33" s="37"/>
      <c r="C33" s="37"/>
      <c r="D33" s="37"/>
      <c r="E33" s="37"/>
      <c r="F33" s="37"/>
      <c r="G33" s="39" t="s">
        <v>46</v>
      </c>
      <c r="H33" s="35"/>
      <c r="I33" s="40">
        <v>3</v>
      </c>
      <c r="J33" s="40">
        <v>9</v>
      </c>
      <c r="K33" s="40">
        <v>-9</v>
      </c>
      <c r="L33" s="41"/>
      <c r="M33" s="40">
        <f>IF(F28=0,IF(OR(H33="No",H33=""),0,IF(AND(F28=0,H33="Yes"),I33+J33,0)),IF(AND(F28=C28,H33="Yes"),I33,IF(H33="No",K33,0)))</f>
        <v>0</v>
      </c>
      <c r="N33" s="30"/>
      <c r="P33" s="33" t="str">
        <f>IF(OR(ISNUMBER('[1]WebFIRE TEMPLATE'!AE6),ISNUMBER('[1]WebFIRE TEMPLATE'!AE7),ISNUMBER('[1]WebFIRE TEMPLATE'!AE8)),IF(AND(B28="",H32=""),"",IF(OR(AND(B28="",H32="Yes"),AND(B28="Yes",H32="Yes"),AND(B28="No",H32="Yes")),"The regulatory agency reviewer verified that the flow meter calibrations were within the criteria specified by the test method. ",IF(OR(AND(B28="",H32="No"),AND(B28="No",H32="No")),"The reviwer or regulatory agency reviewer verified that  the flow meter calibrations were not present and/or was not acceptable. ",IF(AND(B28="Yes",H32=""),"",IF(AND(B28="Yes",H32="No"),"The reviewer or regulatroy agency reviewer verified that  the flow meter calibrations were present but was not acceptable. ",IF(AND(B28="No",H32=""),"","The reviewer or the regulatory agency reviewer indicated that the flow meter calibrations were not applicable for this test. ")))))),"")</f>
        <v/>
      </c>
    </row>
    <row r="34" spans="1:16" ht="28.5" x14ac:dyDescent="0.2">
      <c r="A34" s="34" t="s">
        <v>47</v>
      </c>
      <c r="B34" s="35"/>
      <c r="C34" s="36">
        <f>J34</f>
        <v>12</v>
      </c>
      <c r="D34" s="36">
        <v>0</v>
      </c>
      <c r="E34" s="37"/>
      <c r="F34" s="38">
        <f t="shared" si="2"/>
        <v>0</v>
      </c>
      <c r="G34" s="39" t="s">
        <v>48</v>
      </c>
      <c r="H34" s="35"/>
      <c r="I34" s="40">
        <v>4</v>
      </c>
      <c r="J34" s="40">
        <v>12</v>
      </c>
      <c r="K34" s="40">
        <v>-12</v>
      </c>
      <c r="L34" s="41"/>
      <c r="M34" s="40">
        <f>IF(F34=0,IF(OR(H34="No",H34=""),0,IF(AND(F34=0,H34="Yes"),I34+J34,0)),IF(AND(F34=C34,H34="Yes"),I34,IF(H34="No",K34,0)))</f>
        <v>0</v>
      </c>
      <c r="N34" s="30"/>
      <c r="P34" s="5" t="str">
        <f>IF(OR(ISNUMBER('[1]WebFIRE TEMPLATE'!AE6),ISNUMBER('[1]WebFIRE TEMPLATE'!AE7),ISNUMBER('[1]WebFIRE TEMPLATE'!AE8)),IF(AND(B34="",H34=""),"",IF(OR(AND(B34="",H34="Yes"),AND(B34="Yes",H34="Yes"),AND(B34="No",H34="Yes")),"The regulatory agency reviewer verified that an appropriate number and location of sampling points were used. ",IF(OR(AND(B34="",H34="No"),AND(B34="No",H34="No")),"The reviwer or regulatory agency reviewer verified that there was no documentation that an appropriate number and location of sampling points were used. ",IF(AND(B34="Yes",H34=""),"The reviewer indicated that a Method 1 sample point evaluation was present but did not assess its acceptability. ",IF(AND(B34="Yes",H34="No"),"The reviewer or regulatroy agency reviewer verified that an appropriate number and location of sampling points used was not demonstrated by the available documentation. ",IF(AND(B34="No",H34=""),"The reviewer indicated that the Method 1 sample point evaluation was not present. ","The reviewer or the regulatory agency reviewer indicated that a Method 1 sample point evaluation is not applicable for this test. ")))))),"")</f>
        <v/>
      </c>
    </row>
    <row r="35" spans="1:16" ht="28.5" x14ac:dyDescent="0.2">
      <c r="A35" s="50" t="s">
        <v>49</v>
      </c>
      <c r="B35" s="72"/>
      <c r="C35" s="36">
        <f>J35</f>
        <v>12</v>
      </c>
      <c r="D35" s="36">
        <v>0</v>
      </c>
      <c r="E35" s="37"/>
      <c r="F35" s="38">
        <f t="shared" si="2"/>
        <v>0</v>
      </c>
      <c r="G35" s="39" t="s">
        <v>50</v>
      </c>
      <c r="H35" s="35"/>
      <c r="I35" s="40">
        <v>4</v>
      </c>
      <c r="J35" s="40">
        <v>12</v>
      </c>
      <c r="K35" s="40">
        <v>-12</v>
      </c>
      <c r="L35" s="41"/>
      <c r="M35" s="40">
        <f>IF(F35=0,IF(OR(H35="No",H35=""),0,IF(AND(F35=0,H35="Yes"),I35+J35,0)),IF(AND(F35=C35,H35="Yes"),I35,IF(H35="No",K35,0)))</f>
        <v>0</v>
      </c>
      <c r="N35" s="30"/>
      <c r="P35" s="5" t="str">
        <f>IF(OR(ISNUMBER('[1]WebFIRE TEMPLATE'!AE6),ISNUMBER('[1]WebFIRE TEMPLATE'!AE7),ISNUMBER('[1]WebFIRE TEMPLATE'!AE8)),IF(AND(B35="",H35=""),"",IF(OR(AND(B35="",H35="Yes"),AND(B35="Yes",H35="Yes"),AND(B35="No",H35="Yes")),"The regulatory agency reviewer verified that Cyclonic flow checks was present and acceptable. ",IF(OR(AND(B35="",H35="No"),AND(B35="No",H35="No")),"The reviwer or regulatory agency reviewer verified that Cyclonic flow checks was not present and/or was not acceptable. ",IF(AND(B35="Yes",H35=""),"The reviewer indicated that Cyclonic flow checks was present but did not assess its acceptability. ",IF(AND(B35="Yes",H35="No"),"The reviewer or regulatroy agency reviewer verified that Cyclonic flow checks was present but was not acceptable. ",IF(AND(B35="No",H35=""),"The reviewer indicated that Cyclonic flow checks was not present. ","The reviewer or the regulatory agency reviewer indicated that Cyclonic flow checks are not applicable for this test. ")))))),"")</f>
        <v/>
      </c>
    </row>
    <row r="36" spans="1:16" ht="28.5" x14ac:dyDescent="0.2">
      <c r="A36" s="34" t="s">
        <v>51</v>
      </c>
      <c r="B36" s="35"/>
      <c r="C36" s="38">
        <f>SUM(J36:J41)</f>
        <v>126</v>
      </c>
      <c r="D36" s="36">
        <v>0</v>
      </c>
      <c r="E36" s="37"/>
      <c r="F36" s="38">
        <f t="shared" si="2"/>
        <v>0</v>
      </c>
      <c r="G36" s="23" t="s">
        <v>52</v>
      </c>
      <c r="H36" s="35"/>
      <c r="I36" s="40">
        <v>4</v>
      </c>
      <c r="J36" s="40">
        <v>12</v>
      </c>
      <c r="K36" s="40">
        <v>-24</v>
      </c>
      <c r="L36" s="41"/>
      <c r="M36" s="40">
        <f>IF(F36=0,IF(OR(H36="No",H36=""),0,IF(AND(F36=0,H36="Yes"),I36+J36,0)),IF(AND(F36=C36,H36="Yes"),I36,IF(H36="No",K36,0)))</f>
        <v>0</v>
      </c>
      <c r="N36" s="30"/>
      <c r="P36" s="5" t="str">
        <f>IF(OR(ISNUMBER('[1]WebFIRE TEMPLATE'!AE6),ISNUMBER('[1]WebFIRE TEMPLATE'!AE7),ISNUMBER('[1]WebFIRE TEMPLATE'!AE8)),IF(AND(B36="",H36=""),"",IF(OR(AND(B36="",H36="Yes"),AND(B36="Yes",H36="Yes"),AND(B36="No",H36="Yes")),"The regulatory agency reviewer verified that raw sampling data and test sheets were present, all data required by the methods reported and were acceptable. ",IF(OR(AND(B36="",H36="No"),AND(B36="No",H36="No")),"The reviwer or regulatory agency reviewer verified that raw sampling data and test sheets were not present and/or were not acceptable. ",IF(AND(B36="Yes",H36=""),"The reviewer indicated that raw sampling data and test sheets were present but did not assess their acceptability. ",IF(AND(B36="Yes",H36="No"),"The reviewer or regulatroy agency reviewer verified that raw sampling data and test sheets were present but were not acceptable. ",IF(AND(B36="No",H36=""),"The reviewer indicated that raw sampling data and test sheets were not present. ","The reviewer or the regulatory agency reviewer indicated that the presence of raw sampling data and test sheets is not applicable for this test. ")))))),"")</f>
        <v/>
      </c>
    </row>
    <row r="37" spans="1:16" ht="28.5" x14ac:dyDescent="0.2">
      <c r="A37" s="46"/>
      <c r="B37" s="37"/>
      <c r="C37" s="37"/>
      <c r="D37" s="37"/>
      <c r="E37" s="37"/>
      <c r="F37" s="37"/>
      <c r="G37" s="39" t="s">
        <v>53</v>
      </c>
      <c r="H37" s="35"/>
      <c r="I37" s="40">
        <v>10</v>
      </c>
      <c r="J37" s="40">
        <v>30</v>
      </c>
      <c r="K37" s="40">
        <v>-180</v>
      </c>
      <c r="L37" s="41"/>
      <c r="M37" s="45">
        <f>IF(F36=0,IF(H37="No",K37,IF(H37="Yes",I37+J37,IF(H37="No",K37,0))),IF(AND(F36=C36,H37="Yes"),I37,IF(H37="No",K37,0)))</f>
        <v>0</v>
      </c>
      <c r="N37" s="30"/>
      <c r="P37" s="5" t="str">
        <f>IF(OR(ISNUMBER('[1]WebFIRE TEMPLATE'!AE6),ISNUMBER('[1]WebFIRE TEMPLATE'!AE7),ISNUMBER('[1]WebFIRE TEMPLATE'!AE8)),IF(AND(B36="",H37=""),"",IF(OR(AND(B36="",H37="Yes"),AND(B36="Yes",H37="Yes"),AND(B36="No",H37="Yes")),"The regulatory agency reviewer verified that the required leak checks were performed and met method requirements. ",IF(OR(AND(B36="",H37="No"),AND(B36="No",H37="No")),"The reviwer or regulatory agency reviewer verified that the required leak checks were not documented or if performed did not meet method requirements. ",IF(AND(B36="Yes",H37=""),"",IF(AND(B36="Yes",H37="No"),"The reviewer or regulatroy agency reviewer verified that the required leak checks were performed but did not meet method requirements. ",IF(AND(B36="No",H37=""),"","The reviewer or the regulatory agency reviewer indicated that the performance of leak checks is not applicable for this test. ")))))),"")</f>
        <v/>
      </c>
    </row>
    <row r="38" spans="1:16" ht="14.25" x14ac:dyDescent="0.2">
      <c r="A38" s="46"/>
      <c r="B38" s="37"/>
      <c r="C38" s="37"/>
      <c r="D38" s="37"/>
      <c r="E38" s="37"/>
      <c r="F38" s="37"/>
      <c r="G38" s="39" t="s">
        <v>54</v>
      </c>
      <c r="H38" s="35"/>
      <c r="I38" s="40">
        <v>6</v>
      </c>
      <c r="J38" s="40">
        <v>18</v>
      </c>
      <c r="K38" s="40">
        <v>-18</v>
      </c>
      <c r="L38" s="41"/>
      <c r="M38" s="40">
        <f>IF(F36=0,IF(OR(H38="No",H38=""),0,IF(AND(F36=0,H38="Yes"),I38+J38,0)),IF(AND(F36=C36,H38="Yes"),I38,IF(H38="No",K38,0)))</f>
        <v>0</v>
      </c>
      <c r="N38" s="30"/>
      <c r="P38" s="5" t="str">
        <f>IF(OR(ISNUMBER('[1]WebFIRE TEMPLATE'!AE6),ISNUMBER('[1]WebFIRE TEMPLATE'!AE7),ISNUMBER('[1]WebFIRE TEMPLATE'!AE8)),IF(AND(B36="",H38=""),"",IF(OR(AND(B36="",H38="Yes"),AND(B36="Yes",H38="Yes"),AND(B36="No",H38="Yes")),"The regulatory agency reviewer verified that the required minimum sample volume was collected. ",IF(OR(AND(B36="",H38="No"),AND(B36="No",H38="No")),"The reviwer or regulatory agency reviewer verified that the required minimum sample volume was not collected. ",IF(AND(B36="Yes",H38=""),"",IF(AND(B36="Yes",H38="No"),"The reviewer or regulatroy agency reviewer verified that the required minimum sample volume was not collected and did not meet method requirements. ",IF(AND(B36="No",H38=""),"","The reviewer or the regulatory agency reviewer indicated that the collection of a minimum sample volume is not applicable for this test. ")))))),"")</f>
        <v/>
      </c>
    </row>
    <row r="39" spans="1:16" ht="28.5" x14ac:dyDescent="0.2">
      <c r="A39" s="46"/>
      <c r="B39" s="37"/>
      <c r="C39" s="37"/>
      <c r="D39" s="37"/>
      <c r="E39" s="37"/>
      <c r="F39" s="37"/>
      <c r="G39" s="39" t="s">
        <v>55</v>
      </c>
      <c r="H39" s="35"/>
      <c r="I39" s="40">
        <v>8</v>
      </c>
      <c r="J39" s="40">
        <v>24</v>
      </c>
      <c r="K39" s="40">
        <v>-24</v>
      </c>
      <c r="L39" s="41"/>
      <c r="M39" s="40">
        <f>IF(F36=0,IF(OR(H39="No",H39=""),0,IF(AND(F36=0,H39="Yes"),I39+J39,0)),IF(AND(F36=C36,H39="Yes"),I39,IF(H39="No",K39,0)))</f>
        <v>0</v>
      </c>
      <c r="N39" s="30"/>
      <c r="P39" s="5" t="str">
        <f>IF(OR(ISNUMBER('[1]WebFIRE TEMPLATE'!AE6),ISNUMBER('[1]WebFIRE TEMPLATE'!AE7),ISNUMBER('[1]WebFIRE TEMPLATE'!AE8)),IF(AND(B36="",H39=""),"",IF(OR(AND(B36="",H39="Yes"),AND(B36="Yes",H39="Yes"),AND(B36="No",H39="Yes")),"The regulatory agency reviewer verified that the probe, filter, and impinger exit temperatures met method criteria. ",IF(OR(AND(B36="",H39="No"),AND(B36="No",H39="No")),"The reviwer or regulatory agency reviewer verified that probe, filter, and impinger exit temperatures did not meet method criteria. ",IF(AND(B36="Yes",H39=""),"",IF(AND(B36="Yes",H39="No"),"The reviewer or regulatroy agency reviewer verified that the probe, filter, and impinger exit temperatures did not meet method criteria. ",IF(AND(B36="No",H39=""),"","The reviewer or the regulatory agency reviewer indicated that criteria for probe, filter, and impinger exit temperatures is not applicable for this test. ")))))),"")</f>
        <v/>
      </c>
    </row>
    <row r="40" spans="1:16" ht="14.25" x14ac:dyDescent="0.2">
      <c r="A40" s="46"/>
      <c r="B40" s="37"/>
      <c r="C40" s="37"/>
      <c r="D40" s="37"/>
      <c r="E40" s="37"/>
      <c r="F40" s="37"/>
      <c r="G40" s="39" t="s">
        <v>56</v>
      </c>
      <c r="H40" s="35"/>
      <c r="I40" s="40">
        <v>8</v>
      </c>
      <c r="J40" s="40">
        <v>24</v>
      </c>
      <c r="K40" s="40">
        <v>-120</v>
      </c>
      <c r="L40" s="40">
        <v>0</v>
      </c>
      <c r="M40" s="45">
        <f>IF(F36=0,IF(H40="No",K40,IF(H40="Yes",I40+J40,IF(H40="No",K40,0))),IF(AND(F36=C36,H40="Yes"),I40,IF(H40="No",K40,0)))</f>
        <v>0</v>
      </c>
      <c r="N40" s="30"/>
      <c r="P40" s="5" t="str">
        <f>IF(OR(ISNUMBER('[1]WebFIRE TEMPLATE'!AE6),ISNUMBER('[1]WebFIRE TEMPLATE'!AE7),ISNUMBER('[1]WebFIRE TEMPLATE'!AE8)),IF(AND(B36="",H40=""),"",IF(OR(AND(B36="",H40="Yes"),AND(B36="Yes",H40="Yes"),AND(B36="No",H40="Yes")),"The regulatory agency reviewer verified that isokinetic sampling rates met method criteria. ",IF(OR(AND(B36="",H40="No"),AND(B36="No",H40="No")),"The reviwer or regulatory agency reviewer verified that isokinetic sampling ratess did not meet method criteria. ",IF(AND(B36="Yes",H40=""),"",IF(AND(B36="Yes",H40="No"),"The reviewer or regulatroy agency reviewer verified that the isokinetic sampling rates did not meet method criteria. ",IF(AND(B36="No",H40=""),"","The reviewer or the regulatory agency reviewer indicated that criteria for isokinetic sampling rates is not applicable for this test. ")))))),"")</f>
        <v/>
      </c>
    </row>
    <row r="41" spans="1:16" ht="28.5" x14ac:dyDescent="0.2">
      <c r="A41" s="46"/>
      <c r="B41" s="37"/>
      <c r="C41" s="37"/>
      <c r="D41" s="37"/>
      <c r="E41" s="37"/>
      <c r="F41" s="37"/>
      <c r="G41" s="39" t="s">
        <v>57</v>
      </c>
      <c r="H41" s="35"/>
      <c r="I41" s="40">
        <v>6</v>
      </c>
      <c r="J41" s="40">
        <v>18</v>
      </c>
      <c r="K41" s="40">
        <v>-18</v>
      </c>
      <c r="L41" s="41"/>
      <c r="M41" s="40">
        <f>IF(F36=0,IF(OR(H41="No",H41=""),0,IF(AND(F36=0,H41="Yes"),I41+J41,0)),IF(AND(F36=C36,H41="Yes"),I41,IF(H41="No",K41,0)))</f>
        <v>0</v>
      </c>
      <c r="N41" s="30"/>
      <c r="P41" s="5" t="str">
        <f>IF(OR(ISNUMBER('[1]WebFIRE TEMPLATE'!AE6),ISNUMBER('[1]WebFIRE TEMPLATE'!AE7),ISNUMBER('[1]WebFIRE TEMPLATE'!AE8)),IF(AND(B36="",H41=""),"",IF(OR(AND(B36="",H41="Yes"),AND(B36="Yes",H41="Yes"),AND(B36="No",H41="Yes")),"The regulatory agency reviewer verified that the sampling time at each point was greater than 2 minutes and the same for each point. ",IF(OR(AND(B36="",H41="No"),AND(B36="No",H41="No")),"The reviwer or regulatory agency reviewer verified that the sampling time at each point was less than 2 minutes, or a different time for each point and did not meet method criteria. ",IF(AND(B36="Yes",H41=""),"",IF(AND(B36="Yes",H41="No"),"The reviewer or regulatroy agency reviewer verified that the the sampling time at each point and/or the the time for each point did not meet method criteria. ",IF(AND(B36="No",H41=""),"","The reviewer or the regulatory agency reviewer indicated that the sampling time at each point is not applicable for this test. ")))))),"")</f>
        <v/>
      </c>
    </row>
    <row r="42" spans="1:16" ht="28.5" x14ac:dyDescent="0.2">
      <c r="A42" s="34" t="s">
        <v>58</v>
      </c>
      <c r="B42" s="35"/>
      <c r="C42" s="36">
        <v>30</v>
      </c>
      <c r="D42" s="36">
        <v>0</v>
      </c>
      <c r="E42" s="37"/>
      <c r="F42" s="38">
        <f t="shared" ref="F42" si="3">IF(B42="Yes",C42,D42)</f>
        <v>0</v>
      </c>
      <c r="G42" s="39" t="s">
        <v>59</v>
      </c>
      <c r="H42" s="35"/>
      <c r="I42" s="40">
        <v>2</v>
      </c>
      <c r="J42" s="40">
        <v>6</v>
      </c>
      <c r="K42" s="40">
        <v>-6</v>
      </c>
      <c r="L42" s="41"/>
      <c r="M42" s="40">
        <f>IF(F42=0,IF(OR(H42="No",H42=""),0,IF(AND(F42=0,H42="Yes"),I42+J42,0)),IF(AND(F42=C42,H42="Yes"),I42,IF(H42="No",K42,0)))</f>
        <v>0</v>
      </c>
      <c r="N42" s="30"/>
      <c r="P42" s="5" t="str">
        <f>IF(OR(ISNUMBER('[1]WebFIRE TEMPLATE'!AE6),ISNUMBER('[1]WebFIRE TEMPLATE'!AE7),ISNUMBER('[1]WebFIRE TEMPLATE'!AE8)),IF(AND(B42="",H42=""),"",IF(OR(AND(B42="",H42="Yes"),AND(B42="Yes",H42="Yes"),AND(B42="No",H42="Yes")),"The regulatory agency reviewer verified that a description and flow diagram of the recovery procedures was present and was consistent with the method. ",IF(OR(AND(B42="",H42="No"),AND(B42="No",H42="No")),"The reviwer or regulatory agency reviewer verified that a description and flow diagram of the recovery procedures was not present and/or was not consistent with the method. ",IF(AND(B42="Yes",H42=""),"The reviewer indicated that a description and flow diagram of the recovery procedures was present but did not assess its acceptability. ",IF(AND(B42="Yes",H42="No"),"The reviewer or regulatroy agency reviewer verified that a description and flow diagram of the recovery procedures was present but was not consistent with the method. ",IF(AND(B42="No",H42=""),"The reviewer indicated that a description and flow diagram of the recovery procedures was not present. ","The reviewer or the regulatory agency reviewer indicated that a description and flow diagram of the recovery procedures is not applicable for this test. ")))))),"")</f>
        <v/>
      </c>
    </row>
    <row r="43" spans="1:16" ht="14.25" x14ac:dyDescent="0.2">
      <c r="A43" s="46"/>
      <c r="B43" s="37"/>
      <c r="C43" s="37"/>
      <c r="D43" s="37"/>
      <c r="E43" s="37"/>
      <c r="F43" s="37"/>
      <c r="G43" s="39" t="s">
        <v>61</v>
      </c>
      <c r="H43" s="35"/>
      <c r="I43" s="40">
        <v>2</v>
      </c>
      <c r="J43" s="40">
        <v>6</v>
      </c>
      <c r="K43" s="40">
        <v>-6</v>
      </c>
      <c r="L43" s="40">
        <v>0</v>
      </c>
      <c r="M43" s="40">
        <f>IF(F42=0,IF(OR(H43="No",H43=""),0,IF(AND(F42=0,H43="Yes"),I43+J43,0)),IF(AND(F42=C42,H43="Yes"),I43,IF(H43="No",K43,0)))</f>
        <v>0</v>
      </c>
      <c r="N43" s="30"/>
      <c r="P43" s="5" t="str">
        <f>IF(OR(ISNUMBER('[1]WebFIRE TEMPLATE'!AE6),ISNUMBER('[1]WebFIRE TEMPLATE'!AE7),ISNUMBER('[1]WebFIRE TEMPLATE'!AE8)),IF(AND(B42="",H43=""),"",IF(OR(AND(B42="",H43="Yes"),AND(B42="Yes",H43="Yes"),AND(B42="No",H43="Yes")),"The regulatory agency reviewer verified that all required blanks were collected in the field. ",IF(OR(AND(B42="",H43="No"),AND(B42="No",H43="No")),"The reviwer or regulatory agency reviewer verified that documentation that all required blanks were collected in the field was not present. ",IF(AND(B42="Yes",H43=""),"",IF(AND(B42="Yes",H43="No"),"The reviewer or regulatroy agency reviewer verified that documentation that blanks were collected in the field was present but is not consistent with the method. ",IF(AND(B42="No",H43=""),"","The reviewer or the regulatory agency reviewer indicated that the collection of blanks in the field is not applicable for this test. ")))))),"")</f>
        <v/>
      </c>
    </row>
    <row r="44" spans="1:16" ht="28.5" x14ac:dyDescent="0.2">
      <c r="A44" s="46"/>
      <c r="B44" s="37"/>
      <c r="C44" s="37"/>
      <c r="D44" s="37"/>
      <c r="E44" s="37"/>
      <c r="F44" s="37"/>
      <c r="G44" s="39" t="s">
        <v>62</v>
      </c>
      <c r="H44" s="35"/>
      <c r="I44" s="40">
        <v>3</v>
      </c>
      <c r="J44" s="40">
        <v>9</v>
      </c>
      <c r="K44" s="40">
        <v>-9</v>
      </c>
      <c r="L44" s="40">
        <v>0</v>
      </c>
      <c r="M44" s="40">
        <f>IF(F42=0,IF(OR(H44="No",H44=""),0,IF(AND(F42=0,H44="Yes"),I44+J44,0)),IF(AND(F42=C42,H44="Yes"),I44,IF(H44="No",K44,0)))</f>
        <v>0</v>
      </c>
      <c r="N44" s="30"/>
      <c r="P44" s="5" t="str">
        <f>IF(OR(ISNUMBER('[1]WebFIRE TEMPLATE'!AE6),ISNUMBER('[1]WebFIRE TEMPLATE'!AE7),ISNUMBER('[1]WebFIRE TEMPLATE'!AE8)),IF(AND(B42="",H44=""),"",IF(OR(AND(B42="",H44="Yes"),AND(B42="Yes",H44="Yes"),AND(B42="No",H44="Yes")),"The regulatory agency reviewer verified that blank corrections were handled per method requirements. ",IF(OR(AND(B42="",H44="No"),AND(B42="No",H44="No")),"The reviwer or regulatory agency reviewer verified that blank corrections were not handled per method requirements. ",IF(AND(B42="Yes",H44=""),"",IF(AND(B42="Yes",H44="No"),"The reviewer or regulatroy agency reviewer verified that blank corrections were not consistent with the method. ",IF(AND(B42="No",H44=""),"","The reviewer or the regulatory agency reviewer indicated that blank corrections is not applicable for this test. ")))))),"")</f>
        <v/>
      </c>
    </row>
    <row r="45" spans="1:16" ht="28.5" x14ac:dyDescent="0.2">
      <c r="A45" s="46"/>
      <c r="B45" s="37"/>
      <c r="C45" s="37"/>
      <c r="D45" s="37"/>
      <c r="E45" s="37"/>
      <c r="F45" s="37"/>
      <c r="G45" s="39" t="s">
        <v>63</v>
      </c>
      <c r="H45" s="35"/>
      <c r="I45" s="40">
        <v>3</v>
      </c>
      <c r="J45" s="40">
        <v>9</v>
      </c>
      <c r="K45" s="40">
        <v>-9</v>
      </c>
      <c r="L45" s="41"/>
      <c r="M45" s="40">
        <f>IF(F42=0,IF(OR(H45="No",H45=""),0,IF(AND(F42=0,H45="Yes"),I45+J45,0)),IF(AND(F42=C42,H45="Yes"),I45,IF(H45="No",K45,0)))</f>
        <v>0</v>
      </c>
      <c r="N45" s="30"/>
      <c r="P45" s="5" t="str">
        <f>IF(OR(ISNUMBER('[1]WebFIRE TEMPLATE'!AE6),ISNUMBER('[1]WebFIRE TEMPLATE'!AE7),ISNUMBER('[1]WebFIRE TEMPLATE'!AE8)),IF(AND(B42="",H45=""),"",IF(OR(AND(B42="",H45="Yes"),AND(B42="Yes",H45="Yes"),AND(B42="No",H45="Yes")),"The regulatory agency reviewer verified that sample volumes were clearly marked on the jar or measured and recorded. ",IF(OR(AND(B42="",H45="No"),AND(B42="No",H45="No")),"The reviwer or regulatory agency reviewer verified that sample volumes were not clearly marked on the jar or not measured and recorded. ",IF(AND(B42="Yes",H45=""),"",IF(AND(B42="Yes",H45="No"),"The reviewer or regulatroy agency reviewer verified that sample volumes were not clearly marked on the jar nor measured and recorded. ",IF(AND(B42="No",H45=""),"","The reviewer or the regulatory agency reviewer indicated that marking sample volumes or the measure and recording of sample volumes is not applicable for this test. ")))))),"")</f>
        <v/>
      </c>
    </row>
    <row r="46" spans="1:16" ht="28.5" x14ac:dyDescent="0.2">
      <c r="A46" s="34" t="s">
        <v>64</v>
      </c>
      <c r="B46" s="72"/>
      <c r="C46" s="36">
        <v>2</v>
      </c>
      <c r="D46" s="36">
        <v>0</v>
      </c>
      <c r="E46" s="37"/>
      <c r="F46" s="38">
        <f>IF(B46="Yes",C46,D46)</f>
        <v>0</v>
      </c>
      <c r="G46" s="39" t="s">
        <v>64</v>
      </c>
      <c r="H46" s="35"/>
      <c r="I46" s="40">
        <v>0</v>
      </c>
      <c r="J46" s="40">
        <v>2</v>
      </c>
      <c r="K46" s="40">
        <v>-2</v>
      </c>
      <c r="L46" s="41"/>
      <c r="M46" s="40">
        <f t="shared" ref="M46:M47" si="4">IF(F46=0,IF(OR(H46="No",H46=""),0,IF(AND(F46=0,H46="Yes"),I46+J46,0)),IF(AND(F46=C46,H46="Yes"),I46,IF(H46="No",K46,0)))</f>
        <v>0</v>
      </c>
      <c r="N46" s="30"/>
      <c r="P46" s="5" t="str">
        <f>IF(OR(ISNUMBER('[1]WebFIRE TEMPLATE'!AE6),ISNUMBER('[1]WebFIRE TEMPLATE'!AE7),ISNUMBER('[1]WebFIRE TEMPLATE'!AE8)),IF(AND(B46="",H46=""),"",IF(OR(AND(B46="",H46="Yes"),AND(B46="Yes",H46="Yes"),AND(B46="No",H46="Yes")),"The regulatory agency reviewer verified that the laboratory was certified/accredited to perform these analyses. ",IF(OR(AND(B46="",H46="No"),AND(B46="No",H46="No")),"The reviwer or regulatory agency reviewer verified that documentation that the laboratory certified/accredited to perform these analyses was not present and/or was not acceptable. ",IF(AND(B46="Yes",H46=""),"The reviewer indicated that documentation that the laboratory was certified/accredited to perform these analyses was present but did not assess its acceptability. ",IF(AND(B46="Yes",H46="No"),"The reviewer or regulatroy agency reviewer verified the presence of documentation of the laboratories certification/accredition but it was not acceptable. ",IF(AND(B46="No",H46=""),"The reviewer indicated a lack of documentation that the laboratory was certified/accredited to perform these analyses. ","The reviewer or the regulatory agency reviewer indicated that laboratory certification/accredition to perform these analyses is not applicable for this test. ")))))),"")</f>
        <v/>
      </c>
    </row>
    <row r="47" spans="1:16" ht="28.5" x14ac:dyDescent="0.2">
      <c r="A47" s="34" t="s">
        <v>66</v>
      </c>
      <c r="B47" s="72"/>
      <c r="C47" s="36">
        <f>SUM(J47:J59)</f>
        <v>132</v>
      </c>
      <c r="D47" s="36">
        <v>0</v>
      </c>
      <c r="E47" s="37"/>
      <c r="F47" s="38">
        <f>IF(B47="Yes",C47,D47)</f>
        <v>0</v>
      </c>
      <c r="G47" s="39" t="s">
        <v>67</v>
      </c>
      <c r="H47" s="35"/>
      <c r="I47" s="40">
        <v>3</v>
      </c>
      <c r="J47" s="40">
        <v>9</v>
      </c>
      <c r="K47" s="40">
        <v>-9</v>
      </c>
      <c r="L47" s="41"/>
      <c r="M47" s="40">
        <f t="shared" si="4"/>
        <v>0</v>
      </c>
      <c r="N47" s="30"/>
      <c r="P47" s="5" t="str">
        <f>IF(OR(ISNUMBER('[1]WebFIRE TEMPLATE'!AE6),ISNUMBER('[1]WebFIRE TEMPLATE'!AE7),ISNUMBER('[1]WebFIRE TEMPLATE'!AE8)),IF(AND(B47="",H47=""),"",IF(OR(AND(B47="",H47="Yes"),AND(B47="Yes",H47="Yes"),AND(B47="No",H47="Yes")),"The regulatory agency reviewer verified that the laboratory noted the sample volume upon receipt. ",IF(OR(AND(B47="",H47="No"),AND(B47="No",H47="No")),"The reviwer or regulatory agency reviewer verified that the a note of the received sample volume was not present and/or was not acceptable. ",IF(AND(B47="Yes",H47=""),"The reviewer indicated that a complete laboratory report was present but did not assess its acceptability. ",IF(AND(B47="Yes",H47="No"),"The reviewer or regulatroy agency reviewer verified the presence of a laboratory note of the sample volume upon receipt but it was not acceptable. ",IF(AND(B47="No",H47=""),"The reviewer indicated that a complete laboratory report was not present. ","The reviewer or the regulatory agency reviewer indicated that a laboratory note of the sample volume upon receipt is not applicable for this test. ")))))),"")</f>
        <v/>
      </c>
    </row>
    <row r="48" spans="1:16" ht="28.5" x14ac:dyDescent="0.2">
      <c r="A48" s="46"/>
      <c r="B48" s="37"/>
      <c r="C48" s="37"/>
      <c r="D48" s="37"/>
      <c r="E48" s="37"/>
      <c r="F48" s="37"/>
      <c r="G48" s="39" t="s">
        <v>69</v>
      </c>
      <c r="H48" s="35"/>
      <c r="I48" s="40">
        <v>0</v>
      </c>
      <c r="J48" s="40">
        <v>9</v>
      </c>
      <c r="K48" s="40">
        <v>-120</v>
      </c>
      <c r="L48" s="40">
        <v>0</v>
      </c>
      <c r="M48" s="45">
        <f>IF(F47=0,IF(H48="No",K48,IF(H48="Yes",I48+J48,IF(H48="No",K48,0))),IF(AND(F47=C47,H48="Yes"),I48,IF(H48="No",K48,0)))</f>
        <v>0</v>
      </c>
      <c r="N48" s="30"/>
      <c r="P48" s="5" t="str">
        <f>IF(OR(ISNUMBER('[1]WebFIRE TEMPLATE'!AE6),ISNUMBER('[1]WebFIRE TEMPLATE'!AE7),ISNUMBER('[1]WebFIRE TEMPLATE'!AE8)),IF(AND(B47="",H48=""),"",IF(OR(AND(B47="",H48="Yes"),AND(B47="Yes",H48="Yes"),AND(B47="No",H48="Yes")),"The regulatory agency reviewer verified that If sample loss occurred, the compensation method used is approved for the method. ",IF(OR(AND(B47="",H48="No"),AND(B47="No",H48="No")),"The reviwer or regulatory agency reviewer verified that sample integrety is poorly documented and either no compensation was used or that it was not acceptable. ",IF(AND(B47="Yes",H48=""),"",IF(AND(B47="Yes",H48="No"),"The reviewer or regulatroy agency reviewer verified that sample loss is likely but the compensation method used was not acceptable. ",IF(AND(B47="No",H48=""),"","The reviewer or the regulatory agency reviewer indicated sample loss and any associated compensation method is not applicable for this test. ")))))),"")</f>
        <v/>
      </c>
    </row>
    <row r="49" spans="1:16" ht="42.75" x14ac:dyDescent="0.2">
      <c r="A49" s="46"/>
      <c r="B49" s="37"/>
      <c r="C49" s="37"/>
      <c r="D49" s="37"/>
      <c r="E49" s="37"/>
      <c r="F49" s="37"/>
      <c r="G49" s="39" t="s">
        <v>70</v>
      </c>
      <c r="H49" s="35"/>
      <c r="I49" s="40">
        <v>3</v>
      </c>
      <c r="J49" s="40">
        <v>9</v>
      </c>
      <c r="K49" s="40">
        <v>-9</v>
      </c>
      <c r="L49" s="41"/>
      <c r="M49" s="40">
        <f>IF(F47=0,IF(OR(H49="No",H49=""),0,IF(AND(F47=0,H49="Yes"),I49+J49,0)),IF(AND(F47=C47,H49="Yes"),I49,IF(H49="No",K49,0)))</f>
        <v>0</v>
      </c>
      <c r="N49" s="30"/>
      <c r="P49" s="5" t="str">
        <f>IF(OR(ISNUMBER('[1]WebFIRE TEMPLATE'!AE6),ISNUMBER('[1]WebFIRE TEMPLATE'!AE7),ISNUMBER('[1]WebFIRE TEMPLATE'!AE8)),IF(AND(B47="",H49=""),"",IF(OR(AND(B47="",H49="Yes"),AND(B47="Yes",H49="Yes"),AND(B47="No",H49="Yes")),"The regulatory agency reviewer verified that documentation of the physical characteristics of the samples were recorded and consistent with the method. ",IF(OR(AND(B47="",H49="No"),AND(B47="No",H49="No")),"The reviwer or regulatory agency reviewer verified documentation of the physical characteristics of the samples were either not recorded or not consistent with the method. ",IF(AND(B47="Yes",H49=""),"",IF(AND(B47="Yes",H49="No"),"The reviewer or regulatroy agency reviewer verified that documentation of the physical characteristics of the samples were either not recorded or inconsistent with the method. ",IF(AND(B47="No",H49=""),"","The reviewer or the regulatory agency reviewer indicated documentation of the physical characteristics of the samples is not applicable for this test. ")))))),"")</f>
        <v/>
      </c>
    </row>
    <row r="50" spans="1:16" ht="14.25" x14ac:dyDescent="0.2">
      <c r="A50" s="46"/>
      <c r="B50" s="37"/>
      <c r="C50" s="37"/>
      <c r="D50" s="37"/>
      <c r="E50" s="37"/>
      <c r="F50" s="37"/>
      <c r="G50" s="39" t="s">
        <v>71</v>
      </c>
      <c r="H50" s="35"/>
      <c r="I50" s="40">
        <v>3</v>
      </c>
      <c r="J50" s="40">
        <v>9</v>
      </c>
      <c r="K50" s="40">
        <v>-9</v>
      </c>
      <c r="L50" s="40">
        <v>0</v>
      </c>
      <c r="M50" s="40">
        <f>IF(F47=0,IF(OR(H50="No",H50=""),0,IF(AND(F47=0,H50="Yes"),I50+J50,0)),IF(AND(F47=C47,H50="Yes"),I50,IF(H50="No",K50,0)))</f>
        <v>0</v>
      </c>
      <c r="N50" s="30"/>
      <c r="P50" s="5" t="str">
        <f>IF(OR(ISNUMBER('[1]WebFIRE TEMPLATE'!AE6),ISNUMBER('[1]WebFIRE TEMPLATE'!AE7),ISNUMBER('[1]WebFIRE TEMPLATE'!AE8)),IF(AND(B47="",H50=""),"",IF(OR(AND(B47="",H50="Yes"),AND(B47="Yes",H50="Yes"),AND(B47="No",H50="Yes")),"The regulatory agency reviewer verified that sample hold times were within method requirements. ",IF(OR(AND(B47="",H50="No"),AND(B47="No",H50="No")),"The reviwer or regulatory agency reviewer verified sample hold times were either not recorded or not consistent with the method. ",IF(AND(B47="Yes",H50=""),"",IF(AND(B47="Yes",H50="No"),"The reviewer or regulatroy agency reviewer verified that sample hold times were either not recorded or inconsistent with the method. ",IF(AND(B47="No",H50=""),"","The reviewer or the regulatory agency reviewer indicated sample hold times were not applicable for this test. ")))))),"")</f>
        <v/>
      </c>
    </row>
    <row r="51" spans="1:16" ht="28.5" x14ac:dyDescent="0.2">
      <c r="A51" s="46"/>
      <c r="B51" s="37"/>
      <c r="C51" s="37"/>
      <c r="D51" s="37"/>
      <c r="E51" s="37"/>
      <c r="F51" s="37"/>
      <c r="G51" s="39" t="s">
        <v>72</v>
      </c>
      <c r="H51" s="35"/>
      <c r="I51" s="40">
        <v>2</v>
      </c>
      <c r="J51" s="40">
        <v>6</v>
      </c>
      <c r="K51" s="40">
        <v>-6</v>
      </c>
      <c r="L51" s="41"/>
      <c r="M51" s="40">
        <f>IF(F47=0,IF(OR(H51="No",H51=""),0,IF(AND(F47=0,H51="Yes"),I51+J51,0)),IF(AND(F47=C47,H51="Yes"),I51,IF(H51="No",K51,0)))</f>
        <v>0</v>
      </c>
      <c r="N51" s="30"/>
      <c r="P51" s="5" t="str">
        <f>IF(OR(ISNUMBER('[1]WebFIRE TEMPLATE'!AE6),ISNUMBER('[1]WebFIRE TEMPLATE'!AE7),ISNUMBER('[1]WebFIRE TEMPLATE'!AE8)),IF(AND(B47="",H51=""),"",IF(OR(AND(B47="",H51="Yes"),AND(B47="Yes",H51="Yes"),AND(B47="No",H51="Yes")),"The regulatory agency reviewer verified that the laboratory report documented the analytical procedures and techniques. ",IF(OR(AND(B47="",H51="No"),AND(B47="No",H51="No")),"The reviwer or regulatory agency reviewer verified that the laboratory report did not document the analytical procedures and techniques or the procedures were not consistent with the method. ",IF(AND(B47="Yes",H51=""),"",IF(AND(B47="Yes",H51="No"),"The reviewer or regulatroy agency reviewer verified that the laboratory report did not document the analytical procedures and techniques or the procedures were inconsistent with the method. ",IF(AND(B47="No",H51=""),"","The reviewer or the regulatory agency reviewer indicated the documentation of laboratory analytical procedures and techniques were not applicable for this test. ")))))),"")</f>
        <v/>
      </c>
    </row>
    <row r="52" spans="1:16" ht="14.25" x14ac:dyDescent="0.2">
      <c r="A52" s="46"/>
      <c r="B52" s="37"/>
      <c r="C52" s="37"/>
      <c r="D52" s="37"/>
      <c r="E52" s="37"/>
      <c r="F52" s="37"/>
      <c r="G52" s="39" t="s">
        <v>73</v>
      </c>
      <c r="H52" s="35"/>
      <c r="I52" s="40">
        <v>5</v>
      </c>
      <c r="J52" s="40">
        <v>15</v>
      </c>
      <c r="K52" s="40">
        <v>-15</v>
      </c>
      <c r="L52" s="41"/>
      <c r="M52" s="40">
        <f>IF(F47=0,IF(OR(H52="No",H52=""),0,IF(AND(F47=0,H52="Yes"),I52+J52,0)),IF(AND(F47=C47,H52="Yes"),I52,IF(H52="No",K52,0)))</f>
        <v>0</v>
      </c>
      <c r="N52" s="30"/>
      <c r="P52" s="5" t="str">
        <f>IF(OR(ISNUMBER('[1]WebFIRE TEMPLATE'!AE6),ISNUMBER('[1]WebFIRE TEMPLATE'!AE7),ISNUMBER('[1]WebFIRE TEMPLATE'!AE8)),IF(AND(B47="",H52=""),"",IF(OR(AND(B47="",H52="Yes"),AND(B47="Yes",H52="Yes"),AND(B47="No",H52="Yes")),"The regulatory agency reviewer verified that the laboratory QA requirements were documented and followed. ",IF(OR(AND(B47="",H52="No"),AND(B47="No",H52="No")),"The reviwer or regulatory agency reviewer verified that laboratory QA requirements were not documented or not followed. ",IF(AND(B47="Yes",H52=""),"",IF(AND(B47="Yes",H52="No"),"The reviewer or regulatroy agency reviewer verified laboratory QA requirements were not documented or not followed. ",IF(AND(B47="No",H52=""),"","The reviewer or the regulatory agency reviewer indicated that documenting laboratory QA requirements are not applicable for this test. ")))))),"")</f>
        <v/>
      </c>
    </row>
    <row r="53" spans="1:16" ht="28.5" x14ac:dyDescent="0.2">
      <c r="A53" s="46"/>
      <c r="B53" s="37"/>
      <c r="C53" s="37"/>
      <c r="D53" s="37"/>
      <c r="E53" s="37"/>
      <c r="F53" s="37"/>
      <c r="G53" s="39" t="s">
        <v>74</v>
      </c>
      <c r="H53" s="35"/>
      <c r="I53" s="40">
        <v>4</v>
      </c>
      <c r="J53" s="40">
        <v>12</v>
      </c>
      <c r="K53" s="40">
        <v>-12</v>
      </c>
      <c r="L53" s="40">
        <v>0</v>
      </c>
      <c r="M53" s="40">
        <f>IF(F47=0,IF(OR(H53="No",H53=""),0,IF(AND(F47=0,H53="Yes"),I53+J53,0)),IF(AND(F47=C47,H53="Yes"),I53,IF(H53="No",K53,0)))</f>
        <v>0</v>
      </c>
      <c r="N53" s="30"/>
      <c r="P53" s="5" t="str">
        <f>IF(OR(ISNUMBER('[1]WebFIRE TEMPLATE'!AE6),ISNUMBER('[1]WebFIRE TEMPLATE'!AE7),ISNUMBER('[1]WebFIRE TEMPLATE'!AE8)),IF(AND(B47="",H53=""),"",IF(OR(AND(B47="",H53="Yes"),AND(B47="Yes",H53="Yes"),AND(B47="No",H53="Yes")),"The regulatory agency reviewer verified that analytical standards required by the method were documented. ",IF(OR(AND(B47="",H53="No"),AND(B47="No",H53="No")),"The reviwer or regulatory agency reviewer verified that analytical standards required by the method were not documented or not followed. ",IF(AND(B47="Yes",H53=""),"",IF(AND(B47="Yes",H53="No"),"The reviewer or regulatroy agency reviewer verified that analytical standards required by the method were not documented or not followed. ",IF(AND(B47="No",H53=""),"","The reviewer or the regulatory agency reviewer indicated that documentation od analytical standards are not applicable for this test. ")))))),"")</f>
        <v/>
      </c>
    </row>
    <row r="54" spans="1:16" ht="28.5" x14ac:dyDescent="0.2">
      <c r="A54" s="46"/>
      <c r="B54" s="37"/>
      <c r="C54" s="37"/>
      <c r="D54" s="37"/>
      <c r="E54" s="37"/>
      <c r="F54" s="37"/>
      <c r="G54" s="39" t="s">
        <v>75</v>
      </c>
      <c r="H54" s="35"/>
      <c r="I54" s="40">
        <v>4</v>
      </c>
      <c r="J54" s="40">
        <v>12</v>
      </c>
      <c r="K54" s="40">
        <v>-12</v>
      </c>
      <c r="L54" s="40">
        <v>0</v>
      </c>
      <c r="M54" s="40">
        <f>IF(F47=0,IF(OR(H54="No",H54=""),0,IF(AND(F47=0,H54="Yes"),I54+J54,0)),IF(AND(F47=C47,H54="Yes"),I54,IF(H54="No",K54,0)))</f>
        <v>0</v>
      </c>
      <c r="N54" s="30"/>
      <c r="P54" s="5" t="str">
        <f>IF(OR(ISNUMBER('[1]WebFIRE TEMPLATE'!AE6),ISNUMBER('[1]WebFIRE TEMPLATE'!AE7),ISNUMBER('[1]WebFIRE TEMPLATE'!AE8)),IF(AND(B47="",H54=""),"",IF(OR(AND(B47="",H54="Yes"),AND(B47="Yes",H54="Yes"),AND(B47="No",H54="Yes")),"The regulatory agency reviewer verified that required laboratory duplicates were within acceptable limits. ",IF(OR(AND(B47="",H54="No"),AND(B47="No",H54="No")),"The reviwer or regulatory agency reviewer verified that required laboratory duplicates were not within acceptable limits. ",IF(AND(B47="Yes",H54=""),"",IF(AND(B47="Yes",H54="No"),"The reviewer or regulatroy agency reviewer verified that required laboratory duplicates were not within acceptable limits. ",IF(AND(B47="No",H54=""),"","The reviewer or the regulatory agency reviewer indicated that analysis of laboratory duplicates is not applicable for this test. ")))))),"")</f>
        <v/>
      </c>
    </row>
    <row r="55" spans="1:16" ht="28.5" x14ac:dyDescent="0.2">
      <c r="A55" s="46"/>
      <c r="B55" s="37"/>
      <c r="C55" s="37"/>
      <c r="D55" s="37"/>
      <c r="E55" s="37"/>
      <c r="F55" s="37"/>
      <c r="G55" s="39" t="s">
        <v>76</v>
      </c>
      <c r="H55" s="35"/>
      <c r="I55" s="40">
        <v>4</v>
      </c>
      <c r="J55" s="40">
        <v>12</v>
      </c>
      <c r="K55" s="40">
        <v>-12</v>
      </c>
      <c r="L55" s="40">
        <v>0</v>
      </c>
      <c r="M55" s="40">
        <f>IF(F47=0,IF(OR(H55="No",H55=""),0,IF(AND(F47=0,H55="Yes"),I55+J55,0)),IF(AND(F47=C47,H55="Yes"),I55,IF(H55="No",K55,0)))</f>
        <v>0</v>
      </c>
      <c r="N55" s="30"/>
      <c r="P55" s="5" t="str">
        <f>IF(OR(ISNUMBER('[1]WebFIRE TEMPLATE'!AE6),ISNUMBER('[1]WebFIRE TEMPLATE'!AE7),ISNUMBER('[1]WebFIRE TEMPLATE'!AE8)),IF(AND(B47="",H55=""),"",IF(OR(AND(B47="",H55="Yes"),AND(B47="Yes",H55="Yes"),AND(B47="No",H55="Yes")),"The regulatory agency reviewer verified that required spike recoveries were within method requirements. ",IF(OR(AND(B47="",H55="No"),AND(B47="No",H55="No")),"The reviwer or regulatory agency reviewer verified that required spike recoveries were not within method requirements. ",IF(AND(B47="Yes",H55=""),"",IF(AND(B47="Yes",H55="No"),"The reviewer or regulatroy agency reviewer verified that required spike recoveries were not within method requirements. ",IF(AND(B47="No",H55=""),"","The reviewer or the regulatory agency reviewer indicated that assessment of spike recoveries is not applicable for this test. ")))))),"")</f>
        <v/>
      </c>
    </row>
    <row r="56" spans="1:16" ht="14.25" x14ac:dyDescent="0.2">
      <c r="A56" s="46"/>
      <c r="B56" s="37"/>
      <c r="C56" s="37"/>
      <c r="D56" s="37"/>
      <c r="E56" s="37"/>
      <c r="F56" s="37"/>
      <c r="G56" s="39" t="s">
        <v>77</v>
      </c>
      <c r="H56" s="35"/>
      <c r="I56" s="40">
        <v>4</v>
      </c>
      <c r="J56" s="40">
        <v>12</v>
      </c>
      <c r="K56" s="40">
        <v>-12</v>
      </c>
      <c r="L56" s="40">
        <v>0</v>
      </c>
      <c r="M56" s="40">
        <f>IF(F47=0,IF(OR(H56="No",H56=""),0,IF(AND(F47=0,H56="Yes"),I56+J56,0)),IF(AND(F47=C47,H56="Yes"),I56,IF(H56="No",K56,0)))</f>
        <v>0</v>
      </c>
      <c r="N56" s="30"/>
      <c r="P56" s="5" t="str">
        <f>IF(OR(ISNUMBER('[1]WebFIRE TEMPLATE'!AE6),ISNUMBER('[1]WebFIRE TEMPLATE'!AE7),ISNUMBER('[1]WebFIRE TEMPLATE'!AE8)),IF(AND(B47="",H56=""),"",IF(OR(AND(B47="",H56="Yes"),AND(B47="Yes",H56="Yes"),AND(B47="No",H56="Yes")),"The regulatory agency reviewer verified that required method-specified analytical blanks analyzed and acceptable. ",IF(OR(AND(B47="",H56="No"),AND(B47="No",H56="No")),"The reviwer or regulatory agency reviewer verified that method-specified analytical blanks were either not analyzed or not acceptable. ",IF(AND(B47="Yes",H56=""),"",IF(AND(B47="Yes",H56="No"),"The reviewer or regulatroy agency reviewer verified that method-specified analytical blanks were not analyzed or were not within acceptable requirements. ",IF(AND(B47="No",H56=""),"","The reviewer or the regulatory agency reviewer indicated that analytical blanks analysis is not applicable for this test. ")))))),"")</f>
        <v/>
      </c>
    </row>
    <row r="57" spans="1:16" ht="42.75" x14ac:dyDescent="0.2">
      <c r="A57" s="46"/>
      <c r="B57" s="37"/>
      <c r="C57" s="37"/>
      <c r="D57" s="37"/>
      <c r="E57" s="37"/>
      <c r="F57" s="37"/>
      <c r="G57" s="39" t="s">
        <v>78</v>
      </c>
      <c r="H57" s="35"/>
      <c r="I57" s="40">
        <v>0</v>
      </c>
      <c r="J57" s="40">
        <v>15</v>
      </c>
      <c r="K57" s="40">
        <v>-15</v>
      </c>
      <c r="L57" s="40">
        <v>0</v>
      </c>
      <c r="M57" s="40">
        <f>IF(F47=0,IF(OR(H57="No",H57=""),0,IF(AND(F47=0,H57="Yes"),I57+J57,0)),IF(AND(F47=C47,H57="Yes"),I57,IF(H57="No",K57,0)))</f>
        <v>0</v>
      </c>
      <c r="N57" s="30"/>
      <c r="P57" s="5" t="str">
        <f>IF(OR(ISNUMBER('[1]WebFIRE TEMPLATE'!AE6),ISNUMBER('[1]WebFIRE TEMPLATE'!AE7),ISNUMBER('[1]WebFIRE TEMPLATE'!AE8)),IF(AND(B47="",H57=""),"",IF(OR(AND(B47="",H57="Yes"),AND(B47="Yes",H57="Yes"),AND(B47="No",H57="Yes")),"The regulatory agency reviewer verified that either no problems occurred during analysis, or there is sufficient documentation to conclude that the problems did not adversely affect the sample results. ",IF(OR(AND(B47="",H57="No"),AND(B47="No",H57="No")),"The reviwer or regulatory agency reviewer verified that problems occurred during analysis, there is either insufficient documentation to conclude that the problems did not adversely affect the sample results or that the result may not be acceptable. ",IF(AND(B47="Yes",H57=""),"",IF(AND(B47="Yes",H57="No"),"The reviewer or regulatroy agency reviewer verified that problems occurred during analysis. Insufficient documentation exists to conclude that the problems did not adversely affect the sample results or the results are not within acceptable requirements. ",IF(AND(B47="No",H57=""),"","The reviewer or the regulatory agency reviewer indicated that the existence of problems during analysis is not applicable for this test. ")))))),"")</f>
        <v/>
      </c>
    </row>
    <row r="58" spans="1:16" ht="28.5" x14ac:dyDescent="0.2">
      <c r="A58" s="46"/>
      <c r="B58" s="37"/>
      <c r="C58" s="37"/>
      <c r="D58" s="37"/>
      <c r="E58" s="37"/>
      <c r="F58" s="37"/>
      <c r="G58" s="39" t="s">
        <v>79</v>
      </c>
      <c r="H58" s="35"/>
      <c r="I58" s="40">
        <v>2</v>
      </c>
      <c r="J58" s="40">
        <v>6</v>
      </c>
      <c r="K58" s="40">
        <v>-6</v>
      </c>
      <c r="L58" s="41"/>
      <c r="M58" s="40">
        <f>IF(F47=0,IF(OR(H58="No",H58=""),0,IF(AND(F47=0,H58="Yes"),I58+J58,0)),IF(AND(F47=C47,H58="Yes"),I58,IF(H58="No",K58,0)))</f>
        <v>0</v>
      </c>
      <c r="N58" s="30"/>
      <c r="P58" s="5" t="str">
        <f>IF(OR(ISNUMBER('[1]WebFIRE TEMPLATE'!AE6),ISNUMBER('[1]WebFIRE TEMPLATE'!AE7),ISNUMBER('[1]WebFIRE TEMPLATE'!AE8)),IF(AND(B47="",H58=""),"",IF(OR(AND(B47="",H58="Yes"),AND(B47="Yes",H58="Yes"),AND(B47="No",H58="Yes")),"The regulatory agency reviewer verified that the analytical detection limit was specified in the test report and is acceptable. ",IF(OR(AND(B47="",H58="No"),AND(B47="No",H58="No")),"The reviwer or regulatory agency reviewer verified that the analytical detection limit was not specified in the test report or was not acceptable. ",IF(AND(B47="Yes",H58=""),"",IF(AND(B47="Yes",H58="No"),"The reviewer or regulatroy agency reviewer verified that the analytical detection limit was not specified in the test report or were not within acceptable requirements. ",IF(AND(B47="No",H58=""),"","The reviewer or the regulatory agency reviewer indicated that the specification of the analytical detection limit is not applicable for this test. ")))))),"")</f>
        <v/>
      </c>
    </row>
    <row r="59" spans="1:16" ht="28.5" x14ac:dyDescent="0.2">
      <c r="A59" s="46"/>
      <c r="B59" s="37"/>
      <c r="C59" s="37"/>
      <c r="D59" s="37"/>
      <c r="E59" s="37"/>
      <c r="F59" s="37"/>
      <c r="G59" s="39" t="s">
        <v>80</v>
      </c>
      <c r="H59" s="35"/>
      <c r="I59" s="40">
        <v>2</v>
      </c>
      <c r="J59" s="40">
        <v>6</v>
      </c>
      <c r="K59" s="40">
        <v>-6</v>
      </c>
      <c r="L59" s="40">
        <v>0</v>
      </c>
      <c r="M59" s="40">
        <f>IF(F47=0,IF(OR(H59="No",H59=""),0,IF(AND(F47=0,H59="Yes"),I59+J59,0)),IF(AND(F47=C47,H59="Yes"),I59,IF(H59="No",K59,0)))</f>
        <v>0</v>
      </c>
      <c r="N59" s="30"/>
      <c r="P59" s="5" t="str">
        <f>IF(OR(ISNUMBER('[1]WebFIRE TEMPLATE'!AE6),ISNUMBER('[1]WebFIRE TEMPLATE'!AE7),ISNUMBER('[1]WebFIRE TEMPLATE'!AE8)),IF(AND(B47="",H59=""),"",IF(OR(AND(B47="",H59="Yes"),AND(B47="Yes",H59="Yes"),AND(B47="No",H59="Yes")),"The regulatory agency reviewer verified that the analytical detection limit was adequate for the purposes of this test. ",IF(OR(AND(B47="",H59="No"),AND(B47="No",H59="No")),"The reviwer or regulatory agency reviewer verified that the analytical detection limit was not adequate for the purposes of this test. ",IF(AND(B47="Yes",H59=""),"",IF(AND(B47="Yes",H59="No"),"The reviewer or regulatroy agency reviewer verified that the analytical detection limit was not adequate for the purposes of this test. ",IF(AND(B47="No",H59=""),"","The reviewer or the regulatory agency reviewer indicated that for this test, the adequacy of the analytical detection limit is not applicable. ")))))),"")</f>
        <v/>
      </c>
    </row>
    <row r="60" spans="1:16" ht="42.75" x14ac:dyDescent="0.2">
      <c r="A60" s="50" t="s">
        <v>81</v>
      </c>
      <c r="B60" s="35"/>
      <c r="C60" s="36">
        <v>12</v>
      </c>
      <c r="D60" s="36">
        <v>0</v>
      </c>
      <c r="E60" s="37"/>
      <c r="F60" s="38">
        <f t="shared" ref="F60" si="5">IF(B60="Yes",C60,D60)</f>
        <v>0</v>
      </c>
      <c r="G60" s="39" t="s">
        <v>82</v>
      </c>
      <c r="H60" s="35"/>
      <c r="I60" s="40">
        <v>4</v>
      </c>
      <c r="J60" s="40">
        <v>12</v>
      </c>
      <c r="K60" s="40">
        <v>-12</v>
      </c>
      <c r="L60" s="41"/>
      <c r="M60" s="40">
        <f>IF(F60=0,IF(OR(H60="No",H60=""),0,IF(AND(F60=0,H60="Yes"),I60+J60,0)),IF(AND(F60=C60,H60="Yes"),I60,IF(H60="No",K60,0)))</f>
        <v>0</v>
      </c>
      <c r="N60" s="30"/>
      <c r="P60" s="5" t="str">
        <f>IF(OR(ISNUMBER('[1]WebFIRE TEMPLATE'!AE6),ISNUMBER('[1]WebFIRE TEMPLATE'!AE7),ISNUMBER('[1]WebFIRE TEMPLATE'!AE8)),IF(AND(B60="",H60=""),"",IF(OR(AND(B60="",H60="Yes"),AND(B60="Yes",H60="Yes"),AND(B60="No",H60="Yes")),"The regulatory agency reviewer verified that Chain of Custody forms were present and acceptable. ",IF(OR(AND(B60="",H60="No"),AND(B60="No",H60="No")),"The reviwer or regulatory agency reviewer verified that Chain of Custody forms were not present and/or were not acceptable. ",IF(AND(B60="Yes",H60=""),"The reviewer indicated that Chain of Custody forms were present but did not assess their acceptability. ",IF(AND(B60="Yes",H60="No"),"The reviewer or regulatroy agency reviewer verified that Chain of Custody forms were present but were not acceptable. ",IF(AND(B60="No",H60=""),"The reviewer indicated that Chain of Custody forms were not present. ","The reviewer or the regulatory agency reviewer indicated that Chain of Custody forms are not applicable for this test. ")))))),"")</f>
        <v/>
      </c>
    </row>
    <row r="61" spans="1:16" ht="18.75" x14ac:dyDescent="0.2">
      <c r="A61" s="86"/>
      <c r="B61" s="86"/>
      <c r="C61" s="86"/>
      <c r="D61" s="86"/>
      <c r="E61" s="86"/>
      <c r="F61" s="86"/>
      <c r="G61" s="86"/>
      <c r="H61" s="86"/>
      <c r="I61" s="86"/>
      <c r="J61" s="86"/>
      <c r="K61" s="86"/>
      <c r="L61" s="86"/>
      <c r="M61" s="86"/>
      <c r="N61" s="22"/>
    </row>
    <row r="62" spans="1:16" ht="18.75" x14ac:dyDescent="0.2">
      <c r="A62" s="73" t="s">
        <v>38</v>
      </c>
      <c r="B62" s="48"/>
      <c r="C62" s="26"/>
      <c r="D62" s="26"/>
      <c r="E62" s="26"/>
      <c r="F62" s="26"/>
      <c r="G62" s="49"/>
      <c r="H62" s="49"/>
      <c r="I62" s="26"/>
      <c r="J62" s="26"/>
      <c r="K62" s="26"/>
      <c r="L62" s="26"/>
      <c r="M62" s="26"/>
      <c r="N62" s="32"/>
    </row>
    <row r="63" spans="1:16" ht="28.5" x14ac:dyDescent="0.2">
      <c r="A63" s="34" t="s">
        <v>83</v>
      </c>
      <c r="B63" s="35" t="s">
        <v>128</v>
      </c>
      <c r="C63" s="36">
        <v>3</v>
      </c>
      <c r="D63" s="36">
        <v>0</v>
      </c>
      <c r="E63" s="37"/>
      <c r="F63" s="38">
        <f t="shared" ref="F63:F64" si="6">IF(B63="Yes",C63,D63)</f>
        <v>3</v>
      </c>
      <c r="G63" s="34" t="s">
        <v>84</v>
      </c>
      <c r="H63" s="51"/>
      <c r="I63" s="38">
        <v>1</v>
      </c>
      <c r="J63" s="38">
        <v>3</v>
      </c>
      <c r="K63" s="38">
        <v>-3</v>
      </c>
      <c r="L63" s="37"/>
      <c r="M63" s="38">
        <f t="shared" ref="M63:M73" si="7">IF(F63=0,IF(OR(H63="No",H63=""),0,IF(AND(F63=0,H63="Yes"),I63+J63,0)),IF(AND(F63=C63,H63="Yes"),I63,IF(H63="No",K63,0)))</f>
        <v>0</v>
      </c>
      <c r="N63" s="52"/>
      <c r="P63" s="5" t="str">
        <f>IF(OR(ISNUMBER('[1]WebFIRE TEMPLATE'!AE6),ISNUMBER('[1]WebFIRE TEMPLATE'!AE7),ISNUMBER('[1]WebFIRE TEMPLATE'!AE8)),IF(AND(B63="",H63=""),"",IF(OR(AND(B63="",H63="Yes"),AND(B63="Yes",H63="Yes"),AND(B63="No",H63="Yes")),"The regulatory agency reviewer verified that a complete description of the sampling system was provided and was acceptable. ",IF(OR(AND(B63="",H63="No"),AND(B63="No",H63="No")),"The reviwer or regulatory agency reviewer verified that a complete description of the sampling system was not present and/or was not acceptable. ",IF(AND(B63="Yes",H63=""),"The reviewer indicated that a complete description of the sampling system was provided but did not assess the acceptability. ",IF(AND(B63="Yes",H63="No"),"The reviewer or regulatroy agency reviewer verified that a complete description of the sampling system was provided but was not acceptable. ",IF(AND(B63="No",H63=""),"The reviewer indicated that a complete description of the sampling system was not present. ","The reviewer or the regulatory agency reviewer indicated that a complete description of the sampling system is not applicable for this test. ")))))),"")</f>
        <v/>
      </c>
    </row>
    <row r="64" spans="1:16" ht="28.5" x14ac:dyDescent="0.2">
      <c r="A64" s="53" t="s">
        <v>85</v>
      </c>
      <c r="B64" s="35" t="s">
        <v>130</v>
      </c>
      <c r="C64" s="36">
        <v>27</v>
      </c>
      <c r="D64" s="36">
        <v>0</v>
      </c>
      <c r="E64" s="37"/>
      <c r="F64" s="38">
        <f t="shared" si="6"/>
        <v>0</v>
      </c>
      <c r="G64" s="34" t="s">
        <v>86</v>
      </c>
      <c r="H64" s="51"/>
      <c r="I64" s="38">
        <v>4</v>
      </c>
      <c r="J64" s="38">
        <v>12</v>
      </c>
      <c r="K64" s="38">
        <v>-12</v>
      </c>
      <c r="L64" s="37"/>
      <c r="M64" s="38">
        <f t="shared" si="7"/>
        <v>0</v>
      </c>
      <c r="N64" s="52"/>
      <c r="P64" s="5" t="str">
        <f>IF(OR(ISNUMBER('[1]WebFIRE TEMPLATE'!AE6),ISNUMBER('[1]WebFIRE TEMPLATE'!AE7),ISNUMBER('[1]WebFIRE TEMPLATE'!AE8)),IF(AND(B64="",H64=""),"",IF(OR(AND(B64="",H64="Yes"),AND(B64="Yes",H64="Yes"),AND(B64="No",H64="Yes")),"The regulatory agency reviewer verified that the calibration standards met method criteria. ",IF(OR(AND(B64="",H64="No"),AND(B64="No",H64="No")),"The reviwer or regulatory agency reviewer verified that a calibration standards did not meet method criteria and were not acceptable. ",IF(AND(B64="Yes",H64=""),"The reviewer indicated that the calibration standards were present but did not assess the acceptability. ",IF(AND(B64="Yes",H64="No"),"The reviewer or regulatroy agency reviewer verified that calibration standards were provided but was not acceptable. ",IF(AND(B64="No",H64=""),"The reviewer indicated that calibration standards were not present. ","The reviewer or the regulatory agency reviewer indicated that the documentation of calibration standards is not applicable for this test. ")))))),"")</f>
        <v/>
      </c>
    </row>
    <row r="65" spans="1:17" ht="14.25" x14ac:dyDescent="0.2">
      <c r="A65" s="46"/>
      <c r="B65" s="37"/>
      <c r="C65" s="37"/>
      <c r="D65" s="37"/>
      <c r="E65" s="37"/>
      <c r="F65" s="37"/>
      <c r="G65" s="34" t="s">
        <v>87</v>
      </c>
      <c r="H65" s="51"/>
      <c r="I65" s="38">
        <v>5</v>
      </c>
      <c r="J65" s="38">
        <v>15</v>
      </c>
      <c r="K65" s="38">
        <v>-15</v>
      </c>
      <c r="L65" s="37"/>
      <c r="M65" s="38">
        <f>IF(F64=0,IF(OR(H65="No",H65=""),0,IF(AND(F64=0,H65="Yes"),I65+J65,0)),IF(AND(F64=C64,H65="Yes"),I65,IF(H65="No",K65,0)))</f>
        <v>0</v>
      </c>
      <c r="N65" s="52"/>
      <c r="P65" s="5" t="str">
        <f>IF(OR(ISNUMBER('[1]WebFIRE TEMPLATE'!AE6),ISNUMBER('[1]WebFIRE TEMPLATE'!AE7),ISNUMBER('[1]WebFIRE TEMPLATE'!AE8)),IF(AND(B64="",H65=""),"",IF(OR(AND(B64="",H65="Yes"),AND(B64="Yes",H65="Yes"),AND(B64="No",H65="Yes")),"The regulatory agency reviewer verified that a complete description of the sampling system was provided and was acceptable. ",IF(OR(AND(B64="",H65="No"),AND(B64="No",H65="No")),"The reviwer or regulatory agency reviewer verified that a complete description of the sampling system was not present and/or was not acceptable. ",IF(AND(B64="Yes",H65=""),"",IF(AND(B64="Yes",H65="No"),"The reviewer or regulatroy agency reviewer verified that a complete description of the sampling system was provided but was not acceptable. ",IF(AND(B64="No",H65=""),"","The reviewer or the regulatory agency reviewer indicated that a complete description of the sampling system is not applicable for this test. ")))))),"")</f>
        <v/>
      </c>
    </row>
    <row r="66" spans="1:17" ht="14.25" x14ac:dyDescent="0.2">
      <c r="A66" s="34" t="s">
        <v>88</v>
      </c>
      <c r="B66" s="35" t="s">
        <v>130</v>
      </c>
      <c r="C66" s="36">
        <v>9</v>
      </c>
      <c r="D66" s="36">
        <v>0</v>
      </c>
      <c r="E66" s="37"/>
      <c r="F66" s="38">
        <f t="shared" ref="F66:F70" si="8">IF(B66="Yes",C66,D66)</f>
        <v>0</v>
      </c>
      <c r="G66" s="34" t="s">
        <v>89</v>
      </c>
      <c r="H66" s="51"/>
      <c r="I66" s="38">
        <v>3</v>
      </c>
      <c r="J66" s="38">
        <v>9</v>
      </c>
      <c r="K66" s="38">
        <v>-9</v>
      </c>
      <c r="L66" s="38">
        <v>0</v>
      </c>
      <c r="M66" s="38">
        <f t="shared" si="7"/>
        <v>0</v>
      </c>
      <c r="N66" s="52"/>
      <c r="P66" s="5" t="str">
        <f>IF(OR(ISNUMBER('[1]WebFIRE TEMPLATE'!AE6),ISNUMBER('[1]WebFIRE TEMPLATE'!AE7),ISNUMBER('[1]WebFIRE TEMPLATE'!AE8)),IF(AND(B66="",H66=""),"",IF(OR(AND(B66="",H66="Yes"),AND(B66="Yes",H66="Yes"),AND(B66="No",H66="Yes")),"The regulatory agency reviewer verified that interference checks were documented and met method requirements. ",IF(OR(AND(B66="",H66="No"),AND(B66="No",H66="No")),"The reviwer or regulatory agency reviewer verified that interference checks were not present and/or was not acceptable. ",IF(AND(B66="Yes",H66=""),"The reviewer indicated that interference checks were provided but did not assess the acceptability. ",IF(AND(B66="Yes",H66="No"),"The reviewer or regulatroy agency reviewer verified that interference checks were documented but did not meet method requirements. ",IF(AND(B66="No",H66=""),"The reviewer indicated that interference checks were not present. ","The reviewer or the regulatory agency reviewer indicated that interference checks are not applicable for this test. ")))))),"")</f>
        <v/>
      </c>
    </row>
    <row r="67" spans="1:17" ht="14.25" x14ac:dyDescent="0.2">
      <c r="A67" s="50" t="s">
        <v>90</v>
      </c>
      <c r="B67" s="35" t="s">
        <v>130</v>
      </c>
      <c r="C67" s="36">
        <v>12</v>
      </c>
      <c r="D67" s="36">
        <v>0</v>
      </c>
      <c r="E67" s="37"/>
      <c r="F67" s="38">
        <f t="shared" si="8"/>
        <v>0</v>
      </c>
      <c r="G67" s="50" t="s">
        <v>91</v>
      </c>
      <c r="H67" s="51"/>
      <c r="I67" s="38">
        <v>4</v>
      </c>
      <c r="J67" s="38">
        <v>12</v>
      </c>
      <c r="K67" s="38">
        <v>-12</v>
      </c>
      <c r="L67" s="37"/>
      <c r="M67" s="38">
        <f t="shared" si="7"/>
        <v>0</v>
      </c>
      <c r="N67" s="54"/>
      <c r="P67" s="5" t="str">
        <f>IF(OR(ISNUMBER('[1]WebFIRE TEMPLATE'!AE6),ISNUMBER('[1]WebFIRE TEMPLATE'!AE7),ISNUMBER('[1]WebFIRE TEMPLATE'!AE8)),IF(AND(B67="",H67=""),"",IF(OR(AND(B67="",H67="Yes"),AND(B67="Yes",H67="Yes"),AND(B67="No",H67="Yes")),"The regulatory agency reviewer verified that response time tests were documented. ",IF(OR(AND(B67="",H67="No"),AND(B67="No",H67="No")),"The reviwer or regulatory agency reviewer verified that response time tests were not present and/or was not acceptable. ",IF(AND(B67="Yes",H67=""),"The reviewer indicated that response time tests were provided but did not assess the acceptability. ",IF(AND(B67="Yes",H67="No"),"The reviewer or regulatroy agency reviewer verified that response time test were documented but did not meet method requirements. ",IF(AND(B67="No",H67=""),"The reviewer indicated that response time tests were not present. ","The reviewer or the regulatory agency reviewer indicated that response time tests are not applicable for this test. ")))))),"")</f>
        <v/>
      </c>
    </row>
    <row r="68" spans="1:17" ht="14.25" x14ac:dyDescent="0.2">
      <c r="A68" s="50" t="s">
        <v>92</v>
      </c>
      <c r="B68" s="35" t="s">
        <v>128</v>
      </c>
      <c r="C68" s="36">
        <v>12</v>
      </c>
      <c r="D68" s="36">
        <v>0</v>
      </c>
      <c r="E68" s="37"/>
      <c r="F68" s="38">
        <f t="shared" si="8"/>
        <v>12</v>
      </c>
      <c r="G68" s="50" t="s">
        <v>93</v>
      </c>
      <c r="H68" s="51"/>
      <c r="I68" s="38">
        <v>4</v>
      </c>
      <c r="J68" s="38">
        <v>12</v>
      </c>
      <c r="K68" s="38">
        <v>-12</v>
      </c>
      <c r="L68" s="37"/>
      <c r="M68" s="38">
        <f t="shared" si="7"/>
        <v>0</v>
      </c>
      <c r="N68" s="52" t="s">
        <v>147</v>
      </c>
      <c r="P68" s="5" t="str">
        <f>IF(OR(ISNUMBER('[1]WebFIRE TEMPLATE'!AE6),ISNUMBER('[1]WebFIRE TEMPLATE'!AE7),ISNUMBER('[1]WebFIRE TEMPLATE'!AE8)),IF(AND(B68="",H68=""),"",IF(OR(AND(B68="",H68="Yes"),AND(B68="Yes",H68="Yes"),AND(B68="No",H68="Yes")),"The regulatory agency reviewer verified that calibration error tests were present and met method requirements. ",IF(OR(AND(B68="",H68="No"),AND(B68="No",H68="No")),"The reviwer or regulatory agency reviewer verified that calibration error tests were not present and/or were not acceptable. ",IF(AND(B68="Yes",H68=""),"The reviewer indicated that calibration error tests were provided but did not assess the acceptability. ",IF(AND(B68="Yes",H68="No"),"The reviewer or regulatroy agency reviewer verified that calibration error tests were documented but did not meet method requirements. ",IF(AND(B68="No",H68=""),"The reviewer indicated that calibration error tests were not present. ","The reviewer or the regulatory agency reviewer indicated that calibration error tests are not applicable for this test. ")))))),"")</f>
        <v/>
      </c>
    </row>
    <row r="69" spans="1:17" ht="28.5" x14ac:dyDescent="0.2">
      <c r="A69" s="50" t="s">
        <v>94</v>
      </c>
      <c r="B69" s="35" t="s">
        <v>128</v>
      </c>
      <c r="C69" s="36">
        <v>9</v>
      </c>
      <c r="D69" s="36">
        <v>0</v>
      </c>
      <c r="E69" s="37"/>
      <c r="F69" s="38">
        <f t="shared" si="8"/>
        <v>9</v>
      </c>
      <c r="G69" s="34" t="s">
        <v>95</v>
      </c>
      <c r="H69" s="51"/>
      <c r="I69" s="38">
        <v>3</v>
      </c>
      <c r="J69" s="38">
        <v>9</v>
      </c>
      <c r="K69" s="38">
        <v>-9</v>
      </c>
      <c r="L69" s="37"/>
      <c r="M69" s="38">
        <f t="shared" si="7"/>
        <v>0</v>
      </c>
      <c r="N69" s="52" t="s">
        <v>148</v>
      </c>
      <c r="P69" s="5" t="str">
        <f>IF(OR(ISNUMBER('[1]WebFIRE TEMPLATE'!AE6),ISNUMBER('[1]WebFIRE TEMPLATE'!AE7),ISNUMBER('[1]WebFIRE TEMPLATE'!AE8)),IF(AND(B69="",H69=""),"",IF(OR(AND(B69="",H69="Yes"),AND(B69="Yes",H69="Yes"),AND(B69="No",H69="Yes")),"The regulatory agency reviewer verified that documentation of drift tests performed after each run were present and met method requirements. ",IF(OR(AND(B69="",H69="No"),AND(B69="No",H69="No")),"The reviwer or regulatory agency reviewer verified that either documentation of drift tests performed after each run was not present and/or was not acceptable. ",IF(AND(B69="Yes",H69=""),"The reviewer indicated that drift tests performed after each run were provided but did not assess their acceptability. ",IF(AND(B69="Yes",H69="No"),"The reviewer or regulatroy agency reviewer verified that drift tests performed after each run were documented but did not meet method requirements. ",IF(AND(B69="No",H69=""),"The reviewer indicated that drift tests performed after each run were not present. ","The reviewer or the regulatory agency reviewer indicated that drift tests performed after each run are not applicable for this test. ")))))),"")</f>
        <v/>
      </c>
    </row>
    <row r="70" spans="1:17" ht="57.75" customHeight="1" x14ac:dyDescent="0.2">
      <c r="A70" s="50" t="s">
        <v>96</v>
      </c>
      <c r="B70" s="35" t="s">
        <v>130</v>
      </c>
      <c r="C70" s="36">
        <v>24</v>
      </c>
      <c r="D70" s="36">
        <v>0</v>
      </c>
      <c r="E70" s="37"/>
      <c r="F70" s="38">
        <f t="shared" si="8"/>
        <v>0</v>
      </c>
      <c r="G70" s="34" t="s">
        <v>97</v>
      </c>
      <c r="H70" s="51"/>
      <c r="I70" s="38">
        <v>8</v>
      </c>
      <c r="J70" s="38">
        <v>24</v>
      </c>
      <c r="K70" s="38">
        <v>-120</v>
      </c>
      <c r="L70" s="37"/>
      <c r="M70" s="38">
        <f t="shared" si="7"/>
        <v>0</v>
      </c>
      <c r="N70" s="54"/>
      <c r="P70" s="5" t="str">
        <f>IF(OR(ISNUMBER('[1]WebFIRE TEMPLATE'!AE6),ISNUMBER('[1]WebFIRE TEMPLATE'!AE7),ISNUMBER('[1]WebFIRE TEMPLATE'!AE8)),IF(AND(B70="",H70=""),"",IF(OR(AND(B70="",H70="Yes"),AND(B70="Yes",H70="Yes"),AND(B70="No",H70="Yes")),"The regulatory agency reviewer verified that system bias checks were documented and met method requirements. ",IF(OR(AND(B70="",H70="No"),AND(B70="No",H70="No")),"The reviwer or regulatory agency reviewer verified that either documentation of system bias checks were not present and/or were not acceptable. ",IF(AND(B70="Yes",H70=""),"The reviewer indicated that documentation of system bias checks were provided but did not assess their acceptability. ",IF(AND(B70="Yes",H70="No"),"The reviewer or regulatroy agency reviewer verified that system bias checks were documented but did not meet method requirements. ",IF(AND(B70="No",H70=""),"The reviewer indicated that documentation of system bias checks were not present. ","The reviewer or the regulatory agency reviewer indicated that system bias checks are not applicable for this test. ")))))),"")</f>
        <v/>
      </c>
      <c r="Q70" s="4"/>
    </row>
    <row r="71" spans="1:17" ht="14.25" x14ac:dyDescent="0.2">
      <c r="A71" s="50" t="s">
        <v>98</v>
      </c>
      <c r="B71" s="35"/>
      <c r="C71" s="36">
        <v>12</v>
      </c>
      <c r="D71" s="36">
        <v>0</v>
      </c>
      <c r="E71" s="36">
        <v>0</v>
      </c>
      <c r="F71" s="38">
        <f>IF(B71="Yes",C71,(IF(B71="No",D71,E71)))</f>
        <v>0</v>
      </c>
      <c r="G71" s="34" t="s">
        <v>99</v>
      </c>
      <c r="H71" s="51"/>
      <c r="I71" s="38">
        <v>4</v>
      </c>
      <c r="J71" s="38">
        <v>12</v>
      </c>
      <c r="K71" s="38">
        <v>-12</v>
      </c>
      <c r="L71" s="38">
        <v>0</v>
      </c>
      <c r="M71" s="38">
        <f t="shared" si="7"/>
        <v>0</v>
      </c>
      <c r="N71" s="52"/>
      <c r="P71" s="5" t="str">
        <f>IF(OR(ISNUMBER('[1]WebFIRE TEMPLATE'!AE6),ISNUMBER('[1]WebFIRE TEMPLATE'!AE7),ISNUMBER('[1]WebFIRE TEMPLATE'!AE8)),IF(AND(B71="",H71=""),"",IF(OR(AND(B71="",H71="Yes"),AND(B71="Yes",H71="Yes"),AND(B71="No",H71="Yes")),"The regulatory agency reviewer verified that the NOX converter efficiency test was documented and met method requirements. ",IF(OR(AND(B71="",H71="No"),AND(B71="No",H71="No")),"The reviwer or regulatory agency reviewer verified that either documentation of the NOX converter efficiency test was not present and/or was not acceptable. ",IF(AND(B71="Yes",H71=""),"The reviewer indicated that documentation of the NOX converter was provided but did not assess their acceptability. ",IF(AND(B71="Yes",H71="No"),"The reviewer or regulatroy agency reviewer verified that the NOX converter efficiency test was documented but did not meet method requirements. ",IF(AND(B71="No",H71=""),"The reviewer indicated that documentation of the NOX converter efficiency test was not present. ","The reviewer or the regulatory agency reviewer indicated that a NOX converter efficiency test is not applicable for this test. ")))))),"")</f>
        <v/>
      </c>
    </row>
    <row r="72" spans="1:17" ht="121.5" customHeight="1" x14ac:dyDescent="0.2">
      <c r="A72" s="50" t="s">
        <v>100</v>
      </c>
      <c r="B72" s="35" t="s">
        <v>130</v>
      </c>
      <c r="C72" s="36">
        <v>15</v>
      </c>
      <c r="D72" s="36">
        <v>0</v>
      </c>
      <c r="E72" s="37"/>
      <c r="F72" s="38">
        <f t="shared" ref="F72:F73" si="9">IF(B72="Yes",C72,D72)</f>
        <v>0</v>
      </c>
      <c r="G72" s="34" t="s">
        <v>101</v>
      </c>
      <c r="H72" s="51"/>
      <c r="I72" s="38">
        <v>5</v>
      </c>
      <c r="J72" s="38">
        <v>15</v>
      </c>
      <c r="K72" s="38">
        <v>-15</v>
      </c>
      <c r="L72" s="37"/>
      <c r="M72" s="38">
        <f t="shared" si="7"/>
        <v>0</v>
      </c>
      <c r="N72" s="52"/>
      <c r="P72" s="5" t="str">
        <f>IF(OR(ISNUMBER('[1]WebFIRE TEMPLATE'!AE6),ISNUMBER('[1]WebFIRE TEMPLATE'!AE7),ISNUMBER('[1]WebFIRE TEMPLATE'!AE8)),IF(AND(B72="",H72=""),"",IF(OR(AND(B72="",H72="Yes"),AND(B72="Yes",H72="Yes"),AND(B72="No",H72="Yes")),"The regulatory agency reviewer verified that a stratification assessment was documented and met method requirements. ",IF(OR(AND(B72="",H72="No"),AND(B72="No",H72="No")),"The reviwer or regulatory agency reviewer verified that either documentation of a stratification assessment was not present and/or was not acceptable. ",IF(AND(B72="Yes",H72=""),"The reviewer indicated that documentation of a stratification assessment was provided but did not assess its acceptability. ",IF(AND(B72="Yes",H72="No"),"The reviewer or regulatroy agency reviewer verified that a stratification assessment was documented but did not meet method requirements. ",IF(AND(B72="No",H72=""),"The reviewer indicated that documentation of a stratification assessment was not present. ","The reviewer or the regulatory agency reviewer indicated that a stratification assessment is not applicable for this test. ")))))),"")</f>
        <v/>
      </c>
    </row>
    <row r="73" spans="1:17" ht="32.25" customHeight="1" x14ac:dyDescent="0.2">
      <c r="A73" s="34" t="s">
        <v>102</v>
      </c>
      <c r="B73" s="35" t="s">
        <v>128</v>
      </c>
      <c r="C73" s="36">
        <v>54</v>
      </c>
      <c r="D73" s="36">
        <v>0</v>
      </c>
      <c r="E73" s="37"/>
      <c r="F73" s="38">
        <f t="shared" si="9"/>
        <v>54</v>
      </c>
      <c r="G73" s="34" t="s">
        <v>103</v>
      </c>
      <c r="H73" s="51"/>
      <c r="I73" s="38">
        <v>3</v>
      </c>
      <c r="J73" s="38">
        <v>9</v>
      </c>
      <c r="K73" s="38">
        <v>-9</v>
      </c>
      <c r="L73" s="37"/>
      <c r="M73" s="38">
        <f t="shared" si="7"/>
        <v>0</v>
      </c>
      <c r="N73" s="52"/>
      <c r="P73" s="5" t="str">
        <f>IF(OR(ISNUMBER('[1]WebFIRE TEMPLATE'!AE6),ISNUMBER('[1]WebFIRE TEMPLATE'!AE7),ISNUMBER('[1]WebFIRE TEMPLATE'!AE8)),IF(AND(B73="",H73=""),"",IF(OR(AND(B73="",H73="Yes"),AND(B73="Yes",H73="Yes"),AND(B73="No",H73="Yes")),"The regulatory agency reviewer verified that the duration of each sample run was within method criteria. ",IF(OR(AND(B71="",H71="No"),AND(B71="No",H71="No")),"The reviwer or regulatory agency reviewer verified that either documentation of the duration of each sample run was not present and/or was not acceptable. ",IF(AND(B71="Yes",H71=""),"The reviewer indicated that raw sampling data was provided but did not assess its acceptability. ",IF(AND(B71="Yes",H71="No"),"The reviewer or regulatroy agency reviewer verified that the duration of each sample run was documented but did not meet method requirements. ",IF(AND(B71="No",H71=""),"The reviewer indicated that documentation of the raw samplng data was not present. ","The reviewer or the regulatory agency reviewer indicated that the duration of each sample run is not applicable for this test. ")))))),"")</f>
        <v/>
      </c>
    </row>
    <row r="74" spans="1:17" ht="42.75" x14ac:dyDescent="0.2">
      <c r="A74" s="46"/>
      <c r="B74" s="37"/>
      <c r="C74" s="37"/>
      <c r="D74" s="37"/>
      <c r="E74" s="37"/>
      <c r="F74" s="37"/>
      <c r="G74" s="34" t="s">
        <v>104</v>
      </c>
      <c r="H74" s="51"/>
      <c r="I74" s="38">
        <v>4</v>
      </c>
      <c r="J74" s="38">
        <v>12</v>
      </c>
      <c r="K74" s="38">
        <v>-12</v>
      </c>
      <c r="L74" s="37"/>
      <c r="M74" s="38">
        <f>IF(F73=0,IF(OR(H74="No",H74=""),0,IF(AND(F73=0,H74="Yes"),I74+J74,0)),IF(AND(F73=C73,H74="Yes"),I74,IF(H74="No",K74,0)))</f>
        <v>0</v>
      </c>
      <c r="N74" s="52"/>
      <c r="P74" s="5" t="str">
        <f>IF(OR(ISNUMBER('[1]WebFIRE TEMPLATE'!AE6),ISNUMBER('[1]WebFIRE TEMPLATE'!AE7),ISNUMBER('[1]WebFIRE TEMPLATE'!AE8)),IF(AND(B73="",H74=""),"",IF(OR(AND(B73="",H74="Yes"),AND(B73="Yes",H74="Yes"),AND(B73="No",H74="Yes")),"The regulatory agency reviewer verified that an appropriate traverse was performed or an appropriate sampling point was used during sample collection. ",IF(OR(AND(B73="",H74="No"),AND(B73="No",H74="No")),"The reviwer or regulatory agency reviewer verified that either documentation of the sample point location was not present and/or was not acceptable. ",IF(AND(B73="Yes",H74=""),"",IF(AND(B73="Yes",H74="No"),"The reviewer or regulatroy agency reviewer verified that documentation of a traverse was performed or a single sampling point was used during sample collection but did not meet method requirements. ",IF(AND(B73="No",H74=""),"The reviewer indicated that documentation of a traverse or a single sampling point was used during sample collection was not present. ","The reviewer or the regulatory agency reviewer indicated that the duration of each sample run is not applicable for this test. ")))))),"")</f>
        <v/>
      </c>
    </row>
    <row r="75" spans="1:17" ht="28.5" x14ac:dyDescent="0.2">
      <c r="A75" s="46"/>
      <c r="B75" s="37"/>
      <c r="C75" s="37"/>
      <c r="D75" s="37"/>
      <c r="E75" s="37"/>
      <c r="F75" s="37"/>
      <c r="G75" s="52" t="s">
        <v>105</v>
      </c>
      <c r="H75" s="51"/>
      <c r="I75" s="38">
        <v>3</v>
      </c>
      <c r="J75" s="38">
        <v>9</v>
      </c>
      <c r="K75" s="38">
        <v>-9</v>
      </c>
      <c r="L75" s="37"/>
      <c r="M75" s="38">
        <f>IF(F73=0,IF(OR(H75="No",H75=""),0,IF(AND(F73=0,H75="Yes"),I75+J75,0)),IF(AND(F73=C73,H75="Yes"),I75,IF(H75="No",K75,0)))</f>
        <v>0</v>
      </c>
      <c r="N75" s="52"/>
      <c r="P75" s="5" t="str">
        <f>IF(OR(ISNUMBER('[1]WebFIRE TEMPLATE'!AE6),ISNUMBER('[1]WebFIRE TEMPLATE'!AE7),ISNUMBER('[1]WebFIRE TEMPLATE'!AE8)),IF(AND(B73="",H75=""),"",IF(OR(AND(B73="",H75="Yes"),AND(B73="Yes",H75="Yes"),AND(B73="No",H75="Yes")),"The regulatory agency reviewer verified that sample times at each point were uniform and  met the method requirements. ",IF(OR(AND(B73="",H75="No"),AND(B73="No",H75="No")),"The reviwer or regulatory agency reviewer verified that either documentation of the sample times at each point was not present and/or was not acceptable. ",IF(AND(B73="Yes",H75=""),"",IF(AND(B73="Yes",H75="No"),"The reviewer or regulatroy agency reviewer verified that documentation of sample times at each point were provided but did not meet method requirements. ",IF(AND(B73="No",H75=""),"The reviewer indicated that documentation of sample times at each point during sample collection was not present. ","The reviewer or the regulatory agency reviewer indicated that uniform sample times at each point is not applicable for this test. ")))))),"")</f>
        <v/>
      </c>
    </row>
    <row r="76" spans="1:17" ht="28.5" x14ac:dyDescent="0.2">
      <c r="A76" s="46"/>
      <c r="B76" s="37"/>
      <c r="C76" s="37"/>
      <c r="D76" s="37"/>
      <c r="E76" s="37"/>
      <c r="F76" s="37"/>
      <c r="G76" s="52" t="s">
        <v>106</v>
      </c>
      <c r="H76" s="51"/>
      <c r="I76" s="38">
        <v>4</v>
      </c>
      <c r="J76" s="38">
        <v>12</v>
      </c>
      <c r="K76" s="38">
        <v>-12</v>
      </c>
      <c r="L76" s="37"/>
      <c r="M76" s="38">
        <f>IF(F73=0,IF(OR(H76="No",H76=""),0,IF(AND(F73=0,H76="Yes"),I76+J76,0)),IF(AND(F73=C73,H76="Yes"),I76,IF(H76="No",K76,0)))</f>
        <v>0</v>
      </c>
      <c r="N76" s="52"/>
      <c r="P76" s="5" t="str">
        <f>IF(OR(ISNUMBER('[1]WebFIRE TEMPLATE'!AE6),ISNUMBER('[1]WebFIRE TEMPLATE'!AE7),ISNUMBER('[1]WebFIRE TEMPLATE'!AE8)),IF(AND(B73="",H76=""),"",IF(OR(AND(B73="",H76="Yes"),AND(B73="Yes",H76="Yes"),AND(B73="No",H76="Yes")),"The regulatory agency reviewer verified that there is documentation that sample lines were heated sufficiently to prevent potential adverse data quality issues. ",IF(OR(AND(B73="",H76="No"),AND(B73="No",H76="No")),"The reviwer or regulatory agency reviewer verified that either documentation that sample lines were heated sufficiently to prevent potential adverse data quality issues was not present and/or sample line conditions were not acceptable. ",IF(AND(B73="Yes",H76=""),"",IF(AND(B73="Yes",H76="No"),"The reviewer or regulatroy agency reviewer verified that documentation of sample lines heating to prevent potential adverse data quality issues was present but documentation did not indicate that sample line conditioning met method requirements. ",IF(AND(B73="No",H76=""),"The reviewer indicated that documentation of sample line heating to prevent potential adverse data quality issues was not present. ","The reviewer or the regulatory agency reviewer indicated that sample line heating to prevent potential adverse data quality issues is not applicable for this test. ")))))),"")</f>
        <v/>
      </c>
    </row>
    <row r="77" spans="1:17" ht="14.25" x14ac:dyDescent="0.2">
      <c r="A77" s="46"/>
      <c r="B77" s="37"/>
      <c r="C77" s="37"/>
      <c r="D77" s="37"/>
      <c r="E77" s="37"/>
      <c r="F77" s="37"/>
      <c r="G77" s="52" t="s">
        <v>107</v>
      </c>
      <c r="H77" s="51"/>
      <c r="I77" s="38">
        <v>4</v>
      </c>
      <c r="J77" s="38">
        <v>12</v>
      </c>
      <c r="K77" s="38">
        <v>-12</v>
      </c>
      <c r="L77" s="37"/>
      <c r="M77" s="38">
        <f>IF(F73=0,IF(OR(H77="No",H77=""),0,IF(AND(F73=0,H77="Yes"),I77+J77,0)),IF(AND(F73=C73,H77="Yes"),I77,IF(H77="No",K77,0)))</f>
        <v>0</v>
      </c>
      <c r="N77" s="52"/>
      <c r="P77" s="5" t="str">
        <f>IF(OR(ISNUMBER('[1]WebFIRE TEMPLATE'!AE6),ISNUMBER('[1]WebFIRE TEMPLATE'!AE7),ISNUMBER('[1]WebFIRE TEMPLATE'!AE8)),IF(AND(B73="",H77=""),"",IF(OR(AND(B73="",H77="Yes"),AND(B73="Yes",H77="Yes"),AND(B73="No",H77="Yes")),"The regulatory agency reviewer verified that all data required by the method was recorded. ",IF(OR(AND(B73="",H77="No"),AND(B73="No",H77="No")),"The reviwer or regulatory agency reviewer verified that either documentation that all data required by the method recorded was not present and/or not all data recorded were acceptable. ",IF(AND(B73="Yes",H77=""),"",IF(AND(B73="Yes",H77="No"),"The reviewer or regulatroy agency reviewer verified that documentation of the recording of all data required by the method was present but the information documented did not meet method requirements. ",IF(AND(B73="No",H77=""),"The reviewer indicated that documentation of all data required by the method recorded was not present. ","The reviewer or the regulatory agency reviewer indicated that all data required by the method recorded is not applicable for this test. ")))))),"")</f>
        <v/>
      </c>
    </row>
    <row r="78" spans="1:17" ht="34.5" hidden="1" customHeight="1" x14ac:dyDescent="0.2">
      <c r="B78" s="55"/>
      <c r="E78" s="5"/>
      <c r="F78" s="3"/>
      <c r="G78" s="33"/>
      <c r="H78" s="56"/>
      <c r="M78" s="3"/>
    </row>
    <row r="79" spans="1:17" ht="34.5" hidden="1" customHeight="1" x14ac:dyDescent="0.25">
      <c r="A79" s="88" t="s">
        <v>108</v>
      </c>
      <c r="B79" s="88"/>
      <c r="C79" s="88"/>
      <c r="D79" s="88"/>
      <c r="E79" s="88"/>
      <c r="F79" s="88"/>
      <c r="G79" s="33"/>
      <c r="H79" s="57"/>
      <c r="M79" s="3"/>
    </row>
    <row r="80" spans="1:17" ht="50.25" hidden="1" customHeight="1" x14ac:dyDescent="0.25">
      <c r="A80" s="74"/>
      <c r="B80" s="74"/>
      <c r="C80" s="74"/>
      <c r="D80" s="59"/>
      <c r="E80" s="59" t="s">
        <v>109</v>
      </c>
      <c r="F80" s="59" t="s">
        <v>110</v>
      </c>
      <c r="G80" s="33"/>
      <c r="H80" s="57"/>
      <c r="I80" s="89" t="s">
        <v>109</v>
      </c>
      <c r="J80" s="90"/>
      <c r="K80" s="60"/>
      <c r="L80" s="60"/>
      <c r="M80" s="61" t="s">
        <v>110</v>
      </c>
    </row>
    <row r="81" spans="1:15" x14ac:dyDescent="0.2">
      <c r="B81" s="57"/>
      <c r="D81" s="62" t="s">
        <v>111</v>
      </c>
      <c r="E81" s="3">
        <f>SUM(C14:C15,C17:C19,C24,C25)+IF(H16="N/A",L16,0)+IF(H25="N/A",L25-J25,0)</f>
        <v>87</v>
      </c>
      <c r="F81" s="3">
        <f>SUM(F14:F15,F17:F19,F24,F25)+IF(AND(B15="Yes",H16="N/A"),L16,0)+IF(AND(B25="Yes",H25="N/A"),L25-J25,0)</f>
        <v>63</v>
      </c>
      <c r="H81" s="62" t="s">
        <v>112</v>
      </c>
      <c r="I81" s="4">
        <f>SUM(I13:I15,I17:I24)+IF(AND(B15="Yes",H16="N/A"),L16,I16)+IF(AND(B25="Yes",H25="N/A"),L25,I25)</f>
        <v>30</v>
      </c>
      <c r="J81" s="3">
        <f>SUM(J14:J15,J17:J23,C24,C25)+IF(H16="N/A",L16,0)+IF(H25="N/A",L25-J25,0)</f>
        <v>87</v>
      </c>
      <c r="M81" s="3">
        <f>SUM(M13:M25)</f>
        <v>0</v>
      </c>
    </row>
    <row r="82" spans="1:15" x14ac:dyDescent="0.2">
      <c r="B82" s="57"/>
      <c r="D82" s="62" t="s">
        <v>113</v>
      </c>
      <c r="E82" s="3">
        <f>SUM(C28,C34:C36,C42,C47,C60)+IF(H40="N/A",L40-J40,0)+IF(H43="N/A",L43-J43,0)+IF(H44="N/A",L44-J44,0)+IF(H48="N/A",L48-J48,0)+IF(H50="N/A",L50-J50,0)+IF(H53="N/A",L53-J53,0)+IF(H54="N/A",L54-J54)+IF(H55="N/A",L55-J55,0)+IF(H56="N/A",L56-J56,0)+IF(H57="N/A",L57-J57,0)+IF(H59="N/A",L59-J59,0)</f>
        <v>378</v>
      </c>
      <c r="F82" s="3">
        <f>SUM(F28,F34:F36,F42,F47,F60)+IF(AND(B36="Yes",H40="N/A"),L40-J40,0)+IF(AND(B42="Yes",H43="N/A"),L43-J43,0)+IF(AND(B42="Yes",H44="N/A"),L44-J44,0)+IF(AND(B47="Yes",H48="N/A"),L48-J48,0)+IF(AND(B47="Yes",H50="N/A"),L50-J50,0)+IF(AND(B47="Yes",H53="N/A"),L53-J53,0)+IF(AND(B47="Yes",H54="N/A"),L54-J54,0)+IF(AND(B47="Yes",H55="N/A"),L55-J55,0)+IF(AND(B47="Yes",H56="N/A"),L56-J56,0)+IF(AND(B47="Yes",H57="N/A"),L57-J57,0)+IF(AND(B47="Yes",H59="N/A"),L59-J59,0)</f>
        <v>0</v>
      </c>
      <c r="H82" s="62" t="s">
        <v>114</v>
      </c>
      <c r="I82" s="4">
        <f>SUM(I28:I39,I41:I42,I45,I47,I49,I51:I52,I58,I60)+IF(H40="N/A",0,I40)+IF(H43="N/A",0,I43)+IF(H44="N/A",0,I44)+IF(H48="N/A",0,I48)+IF(H50="N/A",0,I50)+IF(H53="N/A",0,I53)+IF(H54="N/A",0,I54)+IF(H55="N/A",0,I55)+IF(H56="N/A",0,I56)+IF(H57="N/A",0,I57)+IF(H59="N/A",0,I59)</f>
        <v>118</v>
      </c>
      <c r="J82" s="3">
        <f>SUM(J28:J45,J47:J60)-IF(H40="N/A",J40,0)-IF(H43="N/A",J43,0)-IF(H44="N/A",J44,0)-IF(H48="N/A",J48,0)-IF(H50="N/A",J50,0)-IF(H53="N/A",J53,0)-IF(H54="N/A",J54)-IF(H55="N/A",J55,0)-IF(H56="N/A",J56,0)-IF(H57="N/A",J57,0)-IF(H59="N/A",J59,0)</f>
        <v>378</v>
      </c>
      <c r="M82" s="3">
        <f>SUM(M28:M45,M47:M60)</f>
        <v>0</v>
      </c>
    </row>
    <row r="83" spans="1:15" x14ac:dyDescent="0.2">
      <c r="B83" s="57"/>
      <c r="D83" s="63" t="s">
        <v>115</v>
      </c>
      <c r="E83" s="3">
        <f>SUM(C63:C64,C66:C73)+IF(H66="N/A",L66-J66,0)+IF(H71="N/A",L71-J71,0)</f>
        <v>177</v>
      </c>
      <c r="F83" s="3">
        <f>SUM(F63:F64,F66:F73)+IF(H66="N/A",L66-J66,0)+IF(H71="N/A",L71-J71,0)</f>
        <v>78</v>
      </c>
      <c r="G83" s="4"/>
      <c r="H83" s="63" t="s">
        <v>116</v>
      </c>
      <c r="I83" s="4">
        <f>SUM(I63:I65,I67:I70,I72:I77)+IF(AND(B66="Yes",H66="N/A"),L66,I66)+IF(AND(B71="Yes",H71="N/A"),L71,I71)</f>
        <v>59</v>
      </c>
      <c r="J83" s="3">
        <f>SUM(J63:J65,J67:J70,J72:J77)+IF(AND(B66="Yes",H66="N/A"),L66,J66)+IF(AND(B71="Yes",H71="N/A"),L71,J71)</f>
        <v>177</v>
      </c>
      <c r="M83" s="3">
        <f>SUM(M63:M77)</f>
        <v>0</v>
      </c>
    </row>
    <row r="84" spans="1:15" x14ac:dyDescent="0.2">
      <c r="B84" s="57"/>
      <c r="G84" s="5" t="s">
        <v>117</v>
      </c>
      <c r="H84" s="57"/>
      <c r="N84" s="5"/>
    </row>
    <row r="85" spans="1:15" ht="60" x14ac:dyDescent="0.2">
      <c r="B85" s="64" t="s">
        <v>118</v>
      </c>
      <c r="C85" s="65" t="s">
        <v>119</v>
      </c>
      <c r="E85" s="66" t="s">
        <v>120</v>
      </c>
      <c r="F85" s="67" t="s">
        <v>121</v>
      </c>
      <c r="H85" s="2" t="s">
        <v>122</v>
      </c>
      <c r="I85" s="2" t="s">
        <v>123</v>
      </c>
      <c r="J85" s="2"/>
      <c r="L85" s="68" t="s">
        <v>120</v>
      </c>
      <c r="M85" s="69" t="s">
        <v>124</v>
      </c>
      <c r="N85" s="5"/>
    </row>
    <row r="86" spans="1:15" x14ac:dyDescent="0.2">
      <c r="A86" s="62" t="s">
        <v>125</v>
      </c>
      <c r="B86" s="2">
        <v>75</v>
      </c>
      <c r="C86" s="3">
        <f>SUM(C14:C15,C17:C19,C24,C25,C28,C34:C36,C42,C47,C60)+IF(H16="N/A",L16-J16,0)+IF(H25="N/A",L25-J25,0)+IF(H40="N/A",L40-J40,0)+IF(H43="N/A",L43-J43,0)+IF(H44="N/A",L44-J44,0)+IF(H48="N/A",L48-J48,0)+IF(H50="N/A",L50-J50,0)+IF(H53="N/A",L53-J53,0)+IF(H54="N/A",L54-J54)+IF(H55="N/A",L55-J55,0)+IF(H56="N/A",L56-J56,0)+IF(H57="N/A",L57-J57,0)+IF(H59="N/A",L59-J59,0)</f>
        <v>465</v>
      </c>
      <c r="D86" s="3"/>
      <c r="E86" s="2">
        <f>IF(F86&gt;0,ROUND(((100*F86/J86)+F12+F46),0),0)</f>
        <v>0</v>
      </c>
      <c r="F86" s="2">
        <f>IF(AND(B28="",B34="",B35="",B36="",B42="",B47="",B60=""),0,SUM(F81,F82))</f>
        <v>0</v>
      </c>
      <c r="G86" s="62" t="s">
        <v>125</v>
      </c>
      <c r="H86" s="2">
        <v>25</v>
      </c>
      <c r="I86" s="3">
        <f>I81+I82</f>
        <v>148</v>
      </c>
      <c r="J86" s="4">
        <f>I81+I82+J81+J82</f>
        <v>613</v>
      </c>
      <c r="L86" s="2">
        <f>IF(M86=0,0,ROUND(((100*M86/J86)+M12+M46),0))</f>
        <v>0</v>
      </c>
      <c r="M86" s="2">
        <f>IF(AND(H28="",H29="",H30="",H31="",H32="",H33="",H34="",H35="",H36="",H37="",H38="",H39="",H40="",H41="",H42="",H43="",H44="",H45="",H47="",H48="",H49="",H50="",H51="",H52="",H53="",H54="",H55="",H56="",H57="",H58="",H59="",H60=""),0,SUM(M81,M82))</f>
        <v>0</v>
      </c>
    </row>
    <row r="87" spans="1:15" x14ac:dyDescent="0.2">
      <c r="A87" s="62" t="s">
        <v>126</v>
      </c>
      <c r="B87" s="2">
        <v>75</v>
      </c>
      <c r="C87" s="3">
        <f>SUM(C14:C15,C17:C19,C24,C25,C63:C64,C66:C73)+IF(H16="N/A",L16,0)+IF(H25="N/A",L25-J25,0)+IF(H66="N/A",L66-J66,0)+IF(H71="N/A",L71-J71,0)</f>
        <v>264</v>
      </c>
      <c r="D87" s="3"/>
      <c r="E87" s="2">
        <f>IF(F87&gt;0,ROUND(((100*F87/J87)+F12),0),0)</f>
        <v>40</v>
      </c>
      <c r="F87" s="2">
        <f>IF(AND(B63="",B64="",B66="",B67="",B68="",B69="",B70="",B71="",B72="",B73=""),0,SUM(F81,F83))</f>
        <v>141</v>
      </c>
      <c r="G87" s="62" t="s">
        <v>126</v>
      </c>
      <c r="H87" s="2">
        <v>25</v>
      </c>
      <c r="I87" s="2">
        <f>I81+I83</f>
        <v>89</v>
      </c>
      <c r="J87" s="4">
        <f>I81+I83+J81+J83</f>
        <v>353</v>
      </c>
      <c r="L87" s="2">
        <f>IF(M87=0,0,ROUND(((100*M87/J87)+M12),0))</f>
        <v>0</v>
      </c>
      <c r="M87" s="2">
        <f>IF(AND(H63="",H64="",H65="",H66="",H67="",H68="",H69="",H70="",H71="",H72="",H73="",H74="",H75="",H76="",H77=""),0,SUM(M81,M83))</f>
        <v>0</v>
      </c>
    </row>
    <row r="88" spans="1:15" x14ac:dyDescent="0.2">
      <c r="E88" s="70"/>
    </row>
    <row r="91" spans="1:15" x14ac:dyDescent="0.2">
      <c r="F91" s="5"/>
      <c r="H91" s="3" t="s">
        <v>127</v>
      </c>
    </row>
    <row r="92" spans="1:15" x14ac:dyDescent="0.2">
      <c r="G92" s="62" t="s">
        <v>125</v>
      </c>
      <c r="H92" s="2">
        <f>IF(E86+L86&lt;0,0,IF(E86+L86&gt;100,100,E86+L86))</f>
        <v>0</v>
      </c>
    </row>
    <row r="93" spans="1:15" x14ac:dyDescent="0.2">
      <c r="G93" s="62" t="s">
        <v>126</v>
      </c>
      <c r="H93" s="2">
        <f>IF((E87+L87)&lt;0,0,IF(E87+L87&gt;100,100,E87+L87))</f>
        <v>40</v>
      </c>
    </row>
    <row r="94" spans="1:15" x14ac:dyDescent="0.2">
      <c r="O94" s="2"/>
    </row>
    <row r="95" spans="1:15" x14ac:dyDescent="0.2">
      <c r="C95" s="71"/>
      <c r="F95" s="71"/>
      <c r="I95" s="2"/>
      <c r="J95" s="2"/>
    </row>
    <row r="96" spans="1:15" x14ac:dyDescent="0.2">
      <c r="C96" s="71"/>
    </row>
  </sheetData>
  <mergeCells count="11">
    <mergeCell ref="A11:M11"/>
    <mergeCell ref="A26:M26"/>
    <mergeCell ref="A61:M61"/>
    <mergeCell ref="A79:F79"/>
    <mergeCell ref="I80:J80"/>
    <mergeCell ref="A7:G7"/>
    <mergeCell ref="B1:G1"/>
    <mergeCell ref="B2:G2"/>
    <mergeCell ref="B3:G3"/>
    <mergeCell ref="B4:G4"/>
    <mergeCell ref="B5:G5"/>
  </mergeCells>
  <dataValidations disablePrompts="1" count="3">
    <dataValidation type="list" allowBlank="1" showInputMessage="1" showErrorMessage="1" sqref="H13:H25 H63:H77 H28:H60">
      <formula1>$J$9:$L$9</formula1>
    </dataValidation>
    <dataValidation type="list" allowBlank="1" showInputMessage="1" showErrorMessage="1" sqref="H78 H12">
      <formula1>$I$9:$L$9</formula1>
    </dataValidation>
    <dataValidation type="list" allowBlank="1" showInputMessage="1" showErrorMessage="1" sqref="B60 B42 B34:B36 B63:B64 B46:B47 B17:B19 B28 B24:B25 B12 B14:B15 B66:B73">
      <formula1>$C$10:$D$10</formula1>
    </dataValidation>
  </dataValidations>
  <pageMargins left="0.7" right="0.7" top="0.75" bottom="0.75" header="0.3" footer="0.3"/>
  <pageSetup orientation="portrait" r:id="rId1"/>
  <headerFooter>
    <oddHeader>&amp;CDRAFT - Do not quote or cite</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FHR AU</vt:lpstr>
      <vt:lpstr>FHR LOU</vt:lpstr>
      <vt:lpstr>MPC Detroit</vt:lpstr>
      <vt:lpstr>MPC TX</vt:lpstr>
      <vt:lpstr>INEOS</vt:lpstr>
      <vt:lpstr>Shell</vt:lpstr>
      <vt:lpstr>TCEQ</vt:lpstr>
      <vt:lpstr>BP</vt:lpstr>
      <vt:lpstr>'MPC Detroit'!Print_Area</vt:lpstr>
      <vt:lpstr>'MPC TX'!Print_Area</vt:lpstr>
      <vt:lpstr>Shell!Print_Area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Gerri Garwood</dc:creator>
  <cp:lastModifiedBy>Gerri Garwood</cp:lastModifiedBy>
  <dcterms:created xsi:type="dcterms:W3CDTF">2014-07-24T16:06:31Z</dcterms:created>
  <dcterms:modified xsi:type="dcterms:W3CDTF">2014-08-19T16:50:35Z</dcterms:modified>
</cp:coreProperties>
</file>