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MYERS\Documents\Desktop_Files\EPA_Data Systems\Problem assess\Arcadis\"/>
    </mc:Choice>
  </mc:AlternateContent>
  <bookViews>
    <workbookView xWindow="90" yWindow="90" windowWidth="19770" windowHeight="10050" tabRatio="943" firstSheet="11" activeTab="14"/>
  </bookViews>
  <sheets>
    <sheet name="TSPB1A (2)" sheetId="55" r:id="rId1"/>
    <sheet name="TSPB1A" sheetId="47" r:id="rId2"/>
    <sheet name="LBSHG" sheetId="50" r:id="rId3"/>
    <sheet name="CEMS" sheetId="20" r:id="rId4"/>
    <sheet name="CEMS Run 001" sheetId="6" r:id="rId5"/>
    <sheet name="CEMS Run 002" sheetId="7" r:id="rId6"/>
    <sheet name="CEMS Run 003" sheetId="16" r:id="rId7"/>
    <sheet name="TSP HG-ISO Run1" sheetId="12" r:id="rId8"/>
    <sheet name="TSP HG-ISO Run2" sheetId="11" r:id="rId9"/>
    <sheet name="TSP HG-ISO Run3" sheetId="15" r:id="rId10"/>
    <sheet name="TSP HG- stack cond" sheetId="14" r:id="rId11"/>
    <sheet name="lbmmbtu Hg Coal" sheetId="54" r:id="rId12"/>
    <sheet name="Data Sheet 1" sheetId="56" r:id="rId13"/>
    <sheet name="Data Sheet 2" sheetId="57" r:id="rId14"/>
    <sheet name="Data Sheet 3" sheetId="58" r:id="rId15"/>
    <sheet name="Data Sheet 4" sheetId="59" r:id="rId16"/>
    <sheet name="Data Sheet 5" sheetId="60" r:id="rId17"/>
    <sheet name="Data Sheet 6" sheetId="61" r:id="rId18"/>
    <sheet name="Data Sheet 7" sheetId="62" r:id="rId19"/>
    <sheet name="Data Sheet 8" sheetId="63" r:id="rId20"/>
    <sheet name="Data Sheet 9" sheetId="64" r:id="rId21"/>
    <sheet name="HeaderExport" sheetId="65" r:id="rId22"/>
  </sheets>
  <externalReferences>
    <externalReference r:id="rId23"/>
  </externalReferences>
  <definedNames>
    <definedName name="\a" localSheetId="2">#REF!</definedName>
    <definedName name="\a" localSheetId="8">'TSP HG-ISO Run2'!$AU$6</definedName>
    <definedName name="\a" localSheetId="9">'TSP HG-ISO Run3'!$AU$6</definedName>
    <definedName name="\a" localSheetId="0">#REF!</definedName>
    <definedName name="\a">#REF!</definedName>
    <definedName name="\k" localSheetId="2">#REF!</definedName>
    <definedName name="\k" localSheetId="8">'TSP HG-ISO Run2'!$AU$8</definedName>
    <definedName name="\k" localSheetId="9">'TSP HG-ISO Run3'!$AU$8</definedName>
    <definedName name="\k" localSheetId="0">#REF!</definedName>
    <definedName name="\k">#REF!</definedName>
    <definedName name="\l" localSheetId="2">#REF!</definedName>
    <definedName name="\l" localSheetId="8">'TSP HG-ISO Run2'!$AU$4</definedName>
    <definedName name="\l" localSheetId="9">'TSP HG-ISO Run3'!$AU$4</definedName>
    <definedName name="\l" localSheetId="0">#REF!</definedName>
    <definedName name="\l">#REF!</definedName>
    <definedName name="\p" localSheetId="2">#REF!</definedName>
    <definedName name="\p" localSheetId="8">'TSP HG-ISO Run2'!$AU$1</definedName>
    <definedName name="\p" localSheetId="9">'TSP HG-ISO Run3'!$AU$1</definedName>
    <definedName name="\p" localSheetId="1">TSPB1A!$M$9</definedName>
    <definedName name="\p" localSheetId="0">'TSPB1A (2)'!$M$9</definedName>
    <definedName name="\p">#REF!</definedName>
    <definedName name="_Regression_Int" localSheetId="2" hidden="1">1</definedName>
    <definedName name="_Regression_Int" localSheetId="1" hidden="1">1</definedName>
    <definedName name="_Regression_Int" localSheetId="0" hidden="1">1</definedName>
    <definedName name="_Regression_Int">1</definedName>
    <definedName name="address" localSheetId="13">#REF!</definedName>
    <definedName name="address" localSheetId="14">#REF!</definedName>
    <definedName name="address" localSheetId="15">#REF!</definedName>
    <definedName name="address" localSheetId="16">#REF!</definedName>
    <definedName name="address" localSheetId="17">#REF!</definedName>
    <definedName name="address" localSheetId="18">#REF!</definedName>
    <definedName name="address" localSheetId="19">#REF!</definedName>
    <definedName name="address" localSheetId="20">#REF!</definedName>
    <definedName name="address" localSheetId="21">#REF!</definedName>
    <definedName name="address">#REF!</definedName>
    <definedName name="address2" localSheetId="13">#REF!</definedName>
    <definedName name="address2" localSheetId="14">#REF!</definedName>
    <definedName name="address2" localSheetId="15">#REF!</definedName>
    <definedName name="address2" localSheetId="16">#REF!</definedName>
    <definedName name="address2" localSheetId="17">#REF!</definedName>
    <definedName name="address2" localSheetId="18">#REF!</definedName>
    <definedName name="address2" localSheetId="19">#REF!</definedName>
    <definedName name="address2" localSheetId="20">#REF!</definedName>
    <definedName name="address2">#REF!</definedName>
    <definedName name="As" localSheetId="13">#REF!</definedName>
    <definedName name="As" localSheetId="14">#REF!</definedName>
    <definedName name="As" localSheetId="15">#REF!</definedName>
    <definedName name="As" localSheetId="16">#REF!</definedName>
    <definedName name="As" localSheetId="17">#REF!</definedName>
    <definedName name="As" localSheetId="18">#REF!</definedName>
    <definedName name="As" localSheetId="19">#REF!</definedName>
    <definedName name="As" localSheetId="20">#REF!</definedName>
    <definedName name="As">#REF!</definedName>
    <definedName name="asx" localSheetId="13">#REF!</definedName>
    <definedName name="asx" localSheetId="14">#REF!</definedName>
    <definedName name="asx" localSheetId="15">#REF!</definedName>
    <definedName name="asx" localSheetId="16">#REF!</definedName>
    <definedName name="asx" localSheetId="17">#REF!</definedName>
    <definedName name="asx" localSheetId="18">#REF!</definedName>
    <definedName name="asx" localSheetId="19">#REF!</definedName>
    <definedName name="asx" localSheetId="20">#REF!</definedName>
    <definedName name="asx">#REF!</definedName>
    <definedName name="Bw" localSheetId="13">#REF!</definedName>
    <definedName name="Bw" localSheetId="14">#REF!</definedName>
    <definedName name="Bw" localSheetId="15">#REF!</definedName>
    <definedName name="Bw" localSheetId="16">#REF!</definedName>
    <definedName name="Bw" localSheetId="17">#REF!</definedName>
    <definedName name="Bw" localSheetId="18">#REF!</definedName>
    <definedName name="Bw" localSheetId="19">#REF!</definedName>
    <definedName name="Bw" localSheetId="20">#REF!</definedName>
    <definedName name="Bw">#REF!</definedName>
    <definedName name="Bwmea" localSheetId="13">#REF!</definedName>
    <definedName name="Bwmea" localSheetId="14">#REF!</definedName>
    <definedName name="Bwmea" localSheetId="15">#REF!</definedName>
    <definedName name="Bwmea" localSheetId="16">#REF!</definedName>
    <definedName name="Bwmea" localSheetId="17">#REF!</definedName>
    <definedName name="Bwmea" localSheetId="18">#REF!</definedName>
    <definedName name="Bwmea" localSheetId="19">#REF!</definedName>
    <definedName name="Bwmea" localSheetId="20">#REF!</definedName>
    <definedName name="Bwmea">#REF!</definedName>
    <definedName name="Bws" localSheetId="13">#REF!</definedName>
    <definedName name="Bws" localSheetId="14">#REF!</definedName>
    <definedName name="Bws" localSheetId="15">#REF!</definedName>
    <definedName name="Bws" localSheetId="16">#REF!</definedName>
    <definedName name="Bws" localSheetId="17">#REF!</definedName>
    <definedName name="Bws" localSheetId="18">#REF!</definedName>
    <definedName name="Bws" localSheetId="19">#REF!</definedName>
    <definedName name="Bws" localSheetId="20">#REF!</definedName>
    <definedName name="Bws">#REF!</definedName>
    <definedName name="Bwsat" localSheetId="13">#REF!</definedName>
    <definedName name="Bwsat" localSheetId="14">#REF!</definedName>
    <definedName name="Bwsat" localSheetId="15">#REF!</definedName>
    <definedName name="Bwsat" localSheetId="16">#REF!</definedName>
    <definedName name="Bwsat" localSheetId="17">#REF!</definedName>
    <definedName name="Bwsat" localSheetId="18">#REF!</definedName>
    <definedName name="Bwsat" localSheetId="19">#REF!</definedName>
    <definedName name="Bwsat" localSheetId="20">#REF!</definedName>
    <definedName name="Bwsat">#REF!</definedName>
    <definedName name="Calculation" localSheetId="13">#REF!</definedName>
    <definedName name="Calculation" localSheetId="14">#REF!</definedName>
    <definedName name="Calculation" localSheetId="15">#REF!</definedName>
    <definedName name="Calculation" localSheetId="16">#REF!</definedName>
    <definedName name="Calculation" localSheetId="17">#REF!</definedName>
    <definedName name="Calculation" localSheetId="18">#REF!</definedName>
    <definedName name="Calculation" localSheetId="19">#REF!</definedName>
    <definedName name="Calculation" localSheetId="20">#REF!</definedName>
    <definedName name="Calculation">#REF!</definedName>
    <definedName name="cemsflo1" localSheetId="2">#REF!</definedName>
    <definedName name="cemsflo1" localSheetId="0">#REF!</definedName>
    <definedName name="cemsflo1">#REF!</definedName>
    <definedName name="CEMSflo3" localSheetId="2">#REF!</definedName>
    <definedName name="CEMSflo3" localSheetId="0">#REF!</definedName>
    <definedName name="CEMSflo3">#REF!</definedName>
    <definedName name="Cp" localSheetId="13">#REF!</definedName>
    <definedName name="Cp" localSheetId="14">#REF!</definedName>
    <definedName name="Cp" localSheetId="15">#REF!</definedName>
    <definedName name="Cp" localSheetId="16">#REF!</definedName>
    <definedName name="Cp" localSheetId="17">#REF!</definedName>
    <definedName name="Cp" localSheetId="18">#REF!</definedName>
    <definedName name="Cp" localSheetId="19">#REF!</definedName>
    <definedName name="Cp" localSheetId="20">#REF!</definedName>
    <definedName name="Cp">#REF!</definedName>
    <definedName name="Datasheet" localSheetId="13">#REF!</definedName>
    <definedName name="Datasheet" localSheetId="14">#REF!</definedName>
    <definedName name="Datasheet" localSheetId="15">#REF!</definedName>
    <definedName name="Datasheet" localSheetId="16">#REF!</definedName>
    <definedName name="Datasheet" localSheetId="17">#REF!</definedName>
    <definedName name="Datasheet" localSheetId="18">#REF!</definedName>
    <definedName name="Datasheet" localSheetId="19">#REF!</definedName>
    <definedName name="Datasheet" localSheetId="20">#REF!</definedName>
    <definedName name="Datasheet">#REF!</definedName>
    <definedName name="DHA" localSheetId="13">#REF!</definedName>
    <definedName name="DHA" localSheetId="14">#REF!</definedName>
    <definedName name="DHA" localSheetId="15">#REF!</definedName>
    <definedName name="DHA" localSheetId="16">#REF!</definedName>
    <definedName name="DHA" localSheetId="17">#REF!</definedName>
    <definedName name="DHA" localSheetId="18">#REF!</definedName>
    <definedName name="DHA" localSheetId="19">#REF!</definedName>
    <definedName name="DHA" localSheetId="20">#REF!</definedName>
    <definedName name="DHA">#REF!</definedName>
    <definedName name="Dn" localSheetId="13">#REF!</definedName>
    <definedName name="Dn" localSheetId="14">#REF!</definedName>
    <definedName name="Dn" localSheetId="15">#REF!</definedName>
    <definedName name="Dn" localSheetId="16">#REF!</definedName>
    <definedName name="Dn" localSheetId="17">#REF!</definedName>
    <definedName name="Dn" localSheetId="18">#REF!</definedName>
    <definedName name="Dn" localSheetId="19">#REF!</definedName>
    <definedName name="Dn" localSheetId="20">#REF!</definedName>
    <definedName name="Dn">#REF!</definedName>
    <definedName name="DPa" localSheetId="13">#REF!</definedName>
    <definedName name="DPa" localSheetId="14">#REF!</definedName>
    <definedName name="DPa" localSheetId="15">#REF!</definedName>
    <definedName name="DPa" localSheetId="16">#REF!</definedName>
    <definedName name="DPa" localSheetId="17">#REF!</definedName>
    <definedName name="DPa" localSheetId="18">#REF!</definedName>
    <definedName name="DPa" localSheetId="19">#REF!</definedName>
    <definedName name="DPa" localSheetId="20">#REF!</definedName>
    <definedName name="DPa">#REF!</definedName>
    <definedName name="Md" localSheetId="13">#REF!</definedName>
    <definedName name="Md" localSheetId="14">#REF!</definedName>
    <definedName name="Md" localSheetId="15">#REF!</definedName>
    <definedName name="Md" localSheetId="16">#REF!</definedName>
    <definedName name="Md" localSheetId="17">#REF!</definedName>
    <definedName name="Md" localSheetId="18">#REF!</definedName>
    <definedName name="Md" localSheetId="19">#REF!</definedName>
    <definedName name="Md" localSheetId="20">#REF!</definedName>
    <definedName name="Md">#REF!</definedName>
    <definedName name="Ms" localSheetId="13">#REF!</definedName>
    <definedName name="Ms" localSheetId="14">#REF!</definedName>
    <definedName name="Ms" localSheetId="15">#REF!</definedName>
    <definedName name="Ms" localSheetId="16">#REF!</definedName>
    <definedName name="Ms" localSheetId="17">#REF!</definedName>
    <definedName name="Ms" localSheetId="18">#REF!</definedName>
    <definedName name="Ms" localSheetId="19">#REF!</definedName>
    <definedName name="Ms" localSheetId="20">#REF!</definedName>
    <definedName name="Ms">#REF!</definedName>
    <definedName name="P" localSheetId="2">'[1]VOST VOL-BENZ'!#REF!</definedName>
    <definedName name="P" localSheetId="0">#REF!</definedName>
    <definedName name="P">#REF!</definedName>
    <definedName name="Pb" localSheetId="13">#REF!</definedName>
    <definedName name="Pb" localSheetId="14">#REF!</definedName>
    <definedName name="Pb" localSheetId="15">#REF!</definedName>
    <definedName name="Pb" localSheetId="16">#REF!</definedName>
    <definedName name="Pb" localSheetId="17">#REF!</definedName>
    <definedName name="Pb" localSheetId="18">#REF!</definedName>
    <definedName name="Pb" localSheetId="19">#REF!</definedName>
    <definedName name="Pb" localSheetId="20">#REF!</definedName>
    <definedName name="Pb">#REF!</definedName>
    <definedName name="PointHeaders">HeaderExport!$A$1:$BG$10</definedName>
    <definedName name="POST">#N/A</definedName>
    <definedName name="_xlnm.Print_Area" localSheetId="3">CEMS!$A$1:$I$51</definedName>
    <definedName name="_xlnm.Print_Area" localSheetId="12">'Data Sheet 1'!$A$2:$R$71</definedName>
    <definedName name="_xlnm.Print_Area" localSheetId="13">'Data Sheet 2'!$A$2:$R$71</definedName>
    <definedName name="_xlnm.Print_Area" localSheetId="14">'Data Sheet 3'!$A$2:$R$71</definedName>
    <definedName name="_xlnm.Print_Area" localSheetId="15">'Data Sheet 4'!$A$2:$R$71</definedName>
    <definedName name="_xlnm.Print_Area" localSheetId="16">'Data Sheet 5'!$A$2:$R$71</definedName>
    <definedName name="_xlnm.Print_Area" localSheetId="17">'Data Sheet 6'!$A$2:$R$71</definedName>
    <definedName name="_xlnm.Print_Area" localSheetId="18">'Data Sheet 7'!$A$2:$R$71</definedName>
    <definedName name="_xlnm.Print_Area" localSheetId="19">'Data Sheet 8'!$A$2:$R$71</definedName>
    <definedName name="_xlnm.Print_Area" localSheetId="20">'Data Sheet 9'!$A$2:$R$71</definedName>
    <definedName name="_xlnm.Print_Area" localSheetId="2">LBSHG!$A$1:$L$66</definedName>
    <definedName name="_xlnm.Print_Area" localSheetId="7">'TSP HG-ISO Run1'!$A$1:$M$62</definedName>
    <definedName name="_xlnm.Print_Area" localSheetId="8">'TSP HG-ISO Run2'!$A$1:$M$62</definedName>
    <definedName name="_xlnm.Print_Area" localSheetId="9">'TSP HG-ISO Run3'!$A$1:$M$62</definedName>
    <definedName name="_xlnm.Print_Area" localSheetId="1">TSPB1A!$A:$H</definedName>
    <definedName name="_xlnm.Print_Area" localSheetId="0">'TSPB1A (2)'!$A:$H</definedName>
    <definedName name="_xlnm.Print_Area">#REF!</definedName>
    <definedName name="Print_Area_MI" localSheetId="2">LBSHG!$A$2:$I$67</definedName>
    <definedName name="Print_Area_MI" localSheetId="8">'TSP HG-ISO Run2'!$A$1:$N$51</definedName>
    <definedName name="Print_Area_MI" localSheetId="9">'TSP HG-ISO Run3'!$A$1:$N$51</definedName>
    <definedName name="Print_Area_MI" localSheetId="1">TSPB1A!$A$1:$F$55</definedName>
    <definedName name="Print_Area_MI" localSheetId="0">'TSPB1A (2)'!$A$1:$F$58</definedName>
    <definedName name="Print_Area_MI">#REF!</definedName>
    <definedName name="_xlnm.Print_Titles" localSheetId="4">'CEMS Run 001'!$7:$7</definedName>
    <definedName name="_xlnm.Print_Titles" localSheetId="5">'CEMS Run 002'!$7:$7</definedName>
    <definedName name="_xlnm.Print_Titles" localSheetId="6">'CEMS Run 003'!$7:$7</definedName>
    <definedName name="Psg" localSheetId="13">#REF!</definedName>
    <definedName name="Psg" localSheetId="14">#REF!</definedName>
    <definedName name="Psg" localSheetId="15">#REF!</definedName>
    <definedName name="Psg" localSheetId="16">#REF!</definedName>
    <definedName name="Psg" localSheetId="17">#REF!</definedName>
    <definedName name="Psg" localSheetId="18">#REF!</definedName>
    <definedName name="Psg" localSheetId="19">#REF!</definedName>
    <definedName name="Psg" localSheetId="20">#REF!</definedName>
    <definedName name="Psg">#REF!</definedName>
    <definedName name="Run1PointData">'Data Sheet 1'!$B$24:$R$71</definedName>
    <definedName name="Run2PointData">'Data Sheet 2'!$B$24:$R$71</definedName>
    <definedName name="Run3PointData">'Data Sheet 3'!$B$24:$R$71</definedName>
    <definedName name="Run4PointData">'Data Sheet 4'!$B$24:$R$71</definedName>
    <definedName name="Run5PointData">'Data Sheet 5'!$B$24:$R$71</definedName>
    <definedName name="Run6PointData">'Data Sheet 6'!$B$24:$R$71</definedName>
    <definedName name="Run7PointData">'Data Sheet 7'!$B$24:$R$71</definedName>
    <definedName name="Run8PointData">'Data Sheet 8'!$B$24:$R$71</definedName>
    <definedName name="Run9PointData">'Data Sheet 9'!$B$24:$R$71</definedName>
    <definedName name="Tm" localSheetId="13">#REF!</definedName>
    <definedName name="Tm" localSheetId="14">#REF!</definedName>
    <definedName name="Tm" localSheetId="15">#REF!</definedName>
    <definedName name="Tm" localSheetId="16">#REF!</definedName>
    <definedName name="Tm" localSheetId="17">#REF!</definedName>
    <definedName name="Tm" localSheetId="18">#REF!</definedName>
    <definedName name="Tm" localSheetId="19">#REF!</definedName>
    <definedName name="Tm" localSheetId="20">#REF!</definedName>
    <definedName name="Tm">#REF!</definedName>
    <definedName name="Tse" localSheetId="13">#REF!</definedName>
    <definedName name="Tse" localSheetId="14">#REF!</definedName>
    <definedName name="Tse" localSheetId="15">#REF!</definedName>
    <definedName name="Tse" localSheetId="16">#REF!</definedName>
    <definedName name="Tse" localSheetId="17">#REF!</definedName>
    <definedName name="Tse" localSheetId="18">#REF!</definedName>
    <definedName name="Tse" localSheetId="19">#REF!</definedName>
    <definedName name="Tse" localSheetId="20">#REF!</definedName>
    <definedName name="Tse">#REF!</definedName>
    <definedName name="Y" localSheetId="13">#REF!</definedName>
    <definedName name="Y" localSheetId="14">#REF!</definedName>
    <definedName name="Y" localSheetId="15">#REF!</definedName>
    <definedName name="Y" localSheetId="16">#REF!</definedName>
    <definedName name="Y" localSheetId="17">#REF!</definedName>
    <definedName name="Y" localSheetId="18">#REF!</definedName>
    <definedName name="Y" localSheetId="19">#REF!</definedName>
    <definedName name="Y" localSheetId="20">#REF!</definedName>
    <definedName name="Y">#REF!</definedName>
  </definedNames>
  <calcPr calcId="152511"/>
</workbook>
</file>

<file path=xl/calcChain.xml><?xml version="1.0" encoding="utf-8"?>
<calcChain xmlns="http://schemas.openxmlformats.org/spreadsheetml/2006/main">
  <c r="D5" i="58" l="1"/>
  <c r="D5" i="57"/>
  <c r="D6" i="57"/>
  <c r="D6" i="58"/>
  <c r="H17" i="58"/>
  <c r="H15" i="58"/>
  <c r="M20" i="58"/>
  <c r="M19" i="58"/>
  <c r="M18" i="58"/>
  <c r="M17" i="58"/>
  <c r="M16" i="58"/>
  <c r="M15" i="58"/>
  <c r="M14" i="58"/>
  <c r="L20" i="58"/>
  <c r="L19" i="58"/>
  <c r="L18" i="58"/>
  <c r="L17" i="58"/>
  <c r="L16" i="58"/>
  <c r="L15" i="58"/>
  <c r="L14" i="58"/>
  <c r="I12" i="58"/>
  <c r="I11" i="58"/>
  <c r="I9" i="58"/>
  <c r="G25" i="58"/>
  <c r="J25" i="58"/>
  <c r="O25" i="58"/>
  <c r="P25" i="58" s="1"/>
  <c r="G26" i="58"/>
  <c r="J26" i="58"/>
  <c r="O26" i="58"/>
  <c r="P26" i="58"/>
  <c r="G27" i="58"/>
  <c r="J27" i="58"/>
  <c r="O27" i="58"/>
  <c r="P27" i="58" s="1"/>
  <c r="G28" i="58"/>
  <c r="J28" i="58"/>
  <c r="O28" i="58"/>
  <c r="P28" i="58"/>
  <c r="G29" i="58"/>
  <c r="J29" i="58"/>
  <c r="O29" i="58"/>
  <c r="P29" i="58" s="1"/>
  <c r="G30" i="58"/>
  <c r="J30" i="58"/>
  <c r="O30" i="58"/>
  <c r="P30" i="58"/>
  <c r="G31" i="58"/>
  <c r="J31" i="58"/>
  <c r="O31" i="58"/>
  <c r="P31" i="58" s="1"/>
  <c r="G32" i="58"/>
  <c r="J32" i="58"/>
  <c r="O32" i="58"/>
  <c r="P32" i="58"/>
  <c r="G33" i="58"/>
  <c r="J33" i="58"/>
  <c r="O33" i="58"/>
  <c r="P33" i="58" s="1"/>
  <c r="G34" i="58"/>
  <c r="J34" i="58"/>
  <c r="O34" i="58"/>
  <c r="P34" i="58"/>
  <c r="G35" i="58"/>
  <c r="J35" i="58"/>
  <c r="O35" i="58"/>
  <c r="P35" i="58" s="1"/>
  <c r="G36" i="58"/>
  <c r="J36" i="58"/>
  <c r="O36" i="58"/>
  <c r="P36" i="58"/>
  <c r="G37" i="58"/>
  <c r="J37" i="58"/>
  <c r="O37" i="58"/>
  <c r="P37" i="58" s="1"/>
  <c r="G38" i="58"/>
  <c r="J38" i="58"/>
  <c r="O38" i="58"/>
  <c r="P38" i="58"/>
  <c r="G39" i="58"/>
  <c r="J39" i="58"/>
  <c r="O39" i="58"/>
  <c r="P39" i="58" s="1"/>
  <c r="G40" i="58"/>
  <c r="J40" i="58"/>
  <c r="O40" i="58"/>
  <c r="P40" i="58"/>
  <c r="G41" i="58"/>
  <c r="J41" i="58"/>
  <c r="O41" i="58"/>
  <c r="P41" i="58" s="1"/>
  <c r="G42" i="58"/>
  <c r="J42" i="58"/>
  <c r="O42" i="58"/>
  <c r="P42" i="58"/>
  <c r="G43" i="58"/>
  <c r="J43" i="58"/>
  <c r="O43" i="58"/>
  <c r="P43" i="58"/>
  <c r="G44" i="58"/>
  <c r="J44" i="58"/>
  <c r="O44" i="58"/>
  <c r="P44" i="58" s="1"/>
  <c r="G45" i="58"/>
  <c r="J45" i="58"/>
  <c r="O45" i="58"/>
  <c r="P45" i="58"/>
  <c r="G46" i="58"/>
  <c r="J46" i="58"/>
  <c r="O46" i="58"/>
  <c r="P46" i="58" s="1"/>
  <c r="G47" i="58"/>
  <c r="J47" i="58"/>
  <c r="O47" i="58"/>
  <c r="P47" i="58" s="1"/>
  <c r="O24" i="58"/>
  <c r="P24" i="58" s="1"/>
  <c r="J24" i="58"/>
  <c r="G24" i="58"/>
  <c r="F48" i="58"/>
  <c r="F24" i="58"/>
  <c r="F48" i="57"/>
  <c r="P26" i="57"/>
  <c r="P28" i="57"/>
  <c r="P30" i="57"/>
  <c r="P32" i="57"/>
  <c r="P34" i="57"/>
  <c r="P36" i="57"/>
  <c r="P38" i="57"/>
  <c r="P40" i="57"/>
  <c r="P42" i="57"/>
  <c r="P44" i="57"/>
  <c r="P46" i="57"/>
  <c r="O25" i="57"/>
  <c r="P25" i="57" s="1"/>
  <c r="O26" i="57"/>
  <c r="O27" i="57"/>
  <c r="P27" i="57" s="1"/>
  <c r="O28" i="57"/>
  <c r="O29" i="57"/>
  <c r="P29" i="57" s="1"/>
  <c r="O30" i="57"/>
  <c r="O31" i="57"/>
  <c r="P31" i="57" s="1"/>
  <c r="O32" i="57"/>
  <c r="O33" i="57"/>
  <c r="P33" i="57" s="1"/>
  <c r="O34" i="57"/>
  <c r="O35" i="57"/>
  <c r="P35" i="57" s="1"/>
  <c r="O36" i="57"/>
  <c r="O37" i="57"/>
  <c r="P37" i="57" s="1"/>
  <c r="O38" i="57"/>
  <c r="O39" i="57"/>
  <c r="P39" i="57" s="1"/>
  <c r="O40" i="57"/>
  <c r="O41" i="57"/>
  <c r="P41" i="57" s="1"/>
  <c r="O42" i="57"/>
  <c r="O43" i="57"/>
  <c r="P43" i="57" s="1"/>
  <c r="O44" i="57"/>
  <c r="O45" i="57"/>
  <c r="P45" i="57" s="1"/>
  <c r="O46" i="57"/>
  <c r="O47" i="57"/>
  <c r="P47" i="57" s="1"/>
  <c r="J25" i="57"/>
  <c r="J26" i="57"/>
  <c r="J27" i="57"/>
  <c r="J28" i="57"/>
  <c r="J29" i="57"/>
  <c r="J30" i="57"/>
  <c r="J31" i="57"/>
  <c r="J32" i="57"/>
  <c r="J33" i="57"/>
  <c r="J34" i="57"/>
  <c r="J35" i="57"/>
  <c r="J36" i="57"/>
  <c r="J37" i="57"/>
  <c r="J38" i="57"/>
  <c r="J39" i="57"/>
  <c r="J40" i="57"/>
  <c r="J41" i="57"/>
  <c r="J42" i="57"/>
  <c r="J43" i="57"/>
  <c r="J44" i="57"/>
  <c r="J45" i="57"/>
  <c r="J46" i="57"/>
  <c r="J47" i="57"/>
  <c r="G25" i="57"/>
  <c r="G26" i="57"/>
  <c r="G27" i="57"/>
  <c r="G28" i="57"/>
  <c r="G29" i="57"/>
  <c r="G30" i="57"/>
  <c r="G31" i="57"/>
  <c r="G32" i="57"/>
  <c r="G33" i="57"/>
  <c r="G34" i="57"/>
  <c r="G35" i="57"/>
  <c r="G36" i="57"/>
  <c r="G37" i="57"/>
  <c r="G38" i="57"/>
  <c r="G39" i="57"/>
  <c r="G40" i="57"/>
  <c r="G41" i="57"/>
  <c r="G42" i="57"/>
  <c r="G43" i="57"/>
  <c r="G44" i="57"/>
  <c r="G45" i="57"/>
  <c r="G46" i="57"/>
  <c r="G47" i="57"/>
  <c r="G24" i="57"/>
  <c r="D26" i="58"/>
  <c r="D27" i="58" s="1"/>
  <c r="C26" i="58"/>
  <c r="B26" i="58"/>
  <c r="B27" i="58" s="1"/>
  <c r="B28" i="58" s="1"/>
  <c r="B29" i="58" s="1"/>
  <c r="B30" i="58" s="1"/>
  <c r="B31" i="58" s="1"/>
  <c r="B32" i="58" s="1"/>
  <c r="B33" i="58" s="1"/>
  <c r="B34" i="58" s="1"/>
  <c r="B35" i="58" s="1"/>
  <c r="B36" i="58" s="1"/>
  <c r="B37" i="58" s="1"/>
  <c r="B38" i="58" s="1"/>
  <c r="B39" i="58" s="1"/>
  <c r="B40" i="58" s="1"/>
  <c r="B41" i="58" s="1"/>
  <c r="B42" i="58" s="1"/>
  <c r="B43" i="58" s="1"/>
  <c r="B44" i="58" s="1"/>
  <c r="B45" i="58" s="1"/>
  <c r="B46" i="58" s="1"/>
  <c r="B47" i="58" s="1"/>
  <c r="C25" i="58"/>
  <c r="D26" i="57"/>
  <c r="D27" i="57" s="1"/>
  <c r="C26" i="57"/>
  <c r="B26" i="57"/>
  <c r="B27" i="57" s="1"/>
  <c r="B28" i="57" s="1"/>
  <c r="B29" i="57" s="1"/>
  <c r="B30" i="57" s="1"/>
  <c r="B31" i="57" s="1"/>
  <c r="B32" i="57" s="1"/>
  <c r="B33" i="57" s="1"/>
  <c r="B34" i="57" s="1"/>
  <c r="B35" i="57" s="1"/>
  <c r="B36" i="57" s="1"/>
  <c r="B37" i="57" s="1"/>
  <c r="B38" i="57" s="1"/>
  <c r="B39" i="57" s="1"/>
  <c r="B40" i="57" s="1"/>
  <c r="B41" i="57" s="1"/>
  <c r="B42" i="57" s="1"/>
  <c r="B43" i="57" s="1"/>
  <c r="B44" i="57" s="1"/>
  <c r="B45" i="57" s="1"/>
  <c r="B46" i="57" s="1"/>
  <c r="B47" i="57" s="1"/>
  <c r="C25" i="57"/>
  <c r="O24" i="57"/>
  <c r="P24" i="57" s="1"/>
  <c r="J24" i="57"/>
  <c r="F24" i="57"/>
  <c r="H17" i="57"/>
  <c r="H15" i="57"/>
  <c r="I12" i="57"/>
  <c r="I11" i="57"/>
  <c r="M20" i="57"/>
  <c r="M19" i="57"/>
  <c r="M18" i="57"/>
  <c r="M17" i="57"/>
  <c r="M16" i="57"/>
  <c r="M15" i="57"/>
  <c r="M14" i="57"/>
  <c r="L20" i="57"/>
  <c r="L19" i="57"/>
  <c r="L18" i="57"/>
  <c r="L17" i="57"/>
  <c r="L16" i="57"/>
  <c r="L14" i="57"/>
  <c r="L15" i="57"/>
  <c r="I9" i="57"/>
  <c r="D28" i="58" l="1"/>
  <c r="C28" i="58"/>
  <c r="C27" i="58"/>
  <c r="D28" i="57"/>
  <c r="C28" i="57"/>
  <c r="C27" i="57"/>
  <c r="F48" i="56"/>
  <c r="C25" i="56"/>
  <c r="D29" i="58" l="1"/>
  <c r="C29" i="58"/>
  <c r="D29" i="57"/>
  <c r="C29" i="57"/>
  <c r="G25" i="56"/>
  <c r="J25" i="56"/>
  <c r="O25" i="56"/>
  <c r="P25" i="56" s="1"/>
  <c r="B26" i="56"/>
  <c r="B27" i="56" s="1"/>
  <c r="B28" i="56" s="1"/>
  <c r="B29" i="56" s="1"/>
  <c r="B30" i="56" s="1"/>
  <c r="B31" i="56" s="1"/>
  <c r="B32" i="56" s="1"/>
  <c r="B33" i="56" s="1"/>
  <c r="B34" i="56" s="1"/>
  <c r="B35" i="56" s="1"/>
  <c r="B36" i="56" s="1"/>
  <c r="B37" i="56" s="1"/>
  <c r="B38" i="56" s="1"/>
  <c r="B39" i="56" s="1"/>
  <c r="B40" i="56" s="1"/>
  <c r="B41" i="56" s="1"/>
  <c r="B42" i="56" s="1"/>
  <c r="B43" i="56" s="1"/>
  <c r="B44" i="56" s="1"/>
  <c r="B45" i="56" s="1"/>
  <c r="B46" i="56" s="1"/>
  <c r="B47" i="56" s="1"/>
  <c r="C26" i="56"/>
  <c r="D26" i="56"/>
  <c r="C27" i="56" s="1"/>
  <c r="G26" i="56"/>
  <c r="J26" i="56"/>
  <c r="O26" i="56"/>
  <c r="P26" i="56" s="1"/>
  <c r="G27" i="56"/>
  <c r="J27" i="56"/>
  <c r="O27" i="56"/>
  <c r="P27" i="56" s="1"/>
  <c r="G28" i="56"/>
  <c r="J28" i="56"/>
  <c r="O28" i="56"/>
  <c r="P28" i="56" s="1"/>
  <c r="G29" i="56"/>
  <c r="J29" i="56"/>
  <c r="O29" i="56"/>
  <c r="P29" i="56" s="1"/>
  <c r="G30" i="56"/>
  <c r="J30" i="56"/>
  <c r="O30" i="56"/>
  <c r="P30" i="56" s="1"/>
  <c r="G31" i="56"/>
  <c r="J31" i="56"/>
  <c r="O31" i="56"/>
  <c r="P31" i="56" s="1"/>
  <c r="G32" i="56"/>
  <c r="J32" i="56"/>
  <c r="O32" i="56"/>
  <c r="P32" i="56" s="1"/>
  <c r="G33" i="56"/>
  <c r="J33" i="56"/>
  <c r="O33" i="56"/>
  <c r="P33" i="56"/>
  <c r="G34" i="56"/>
  <c r="J34" i="56"/>
  <c r="O34" i="56"/>
  <c r="P34" i="56" s="1"/>
  <c r="G35" i="56"/>
  <c r="J35" i="56"/>
  <c r="O35" i="56"/>
  <c r="P35" i="56" s="1"/>
  <c r="G36" i="56"/>
  <c r="J36" i="56"/>
  <c r="O36" i="56"/>
  <c r="P36" i="56" s="1"/>
  <c r="G37" i="56"/>
  <c r="J37" i="56"/>
  <c r="O37" i="56"/>
  <c r="P37" i="56" s="1"/>
  <c r="G38" i="56"/>
  <c r="J38" i="56"/>
  <c r="O38" i="56"/>
  <c r="P38" i="56" s="1"/>
  <c r="G39" i="56"/>
  <c r="J39" i="56"/>
  <c r="O39" i="56"/>
  <c r="P39" i="56" s="1"/>
  <c r="G40" i="56"/>
  <c r="J40" i="56"/>
  <c r="O40" i="56"/>
  <c r="P40" i="56" s="1"/>
  <c r="G41" i="56"/>
  <c r="J41" i="56"/>
  <c r="O41" i="56"/>
  <c r="P41" i="56"/>
  <c r="G42" i="56"/>
  <c r="J42" i="56"/>
  <c r="O42" i="56"/>
  <c r="P42" i="56" s="1"/>
  <c r="G43" i="56"/>
  <c r="J43" i="56"/>
  <c r="O43" i="56"/>
  <c r="P43" i="56" s="1"/>
  <c r="G44" i="56"/>
  <c r="J44" i="56"/>
  <c r="O44" i="56"/>
  <c r="P44" i="56" s="1"/>
  <c r="G45" i="56"/>
  <c r="J45" i="56"/>
  <c r="O45" i="56"/>
  <c r="P45" i="56" s="1"/>
  <c r="G46" i="56"/>
  <c r="J46" i="56"/>
  <c r="O46" i="56"/>
  <c r="P46" i="56" s="1"/>
  <c r="G47" i="56"/>
  <c r="J47" i="56"/>
  <c r="O47" i="56"/>
  <c r="P47" i="56" s="1"/>
  <c r="P24" i="56"/>
  <c r="O24" i="56"/>
  <c r="J24" i="56"/>
  <c r="G24" i="56"/>
  <c r="F24" i="56"/>
  <c r="M20" i="56"/>
  <c r="BE2" i="65" s="1"/>
  <c r="M19" i="56"/>
  <c r="M18" i="56"/>
  <c r="BC2" i="65" s="1"/>
  <c r="M17" i="56"/>
  <c r="M16" i="56"/>
  <c r="M15" i="56"/>
  <c r="AZ2" i="65" s="1"/>
  <c r="M14" i="56"/>
  <c r="AY2" i="65"/>
  <c r="L20" i="56"/>
  <c r="L19" i="56"/>
  <c r="AW2" i="65" s="1"/>
  <c r="L18" i="56"/>
  <c r="AV2" i="65" s="1"/>
  <c r="L17" i="56"/>
  <c r="AU2" i="65" s="1"/>
  <c r="L16" i="56"/>
  <c r="L15" i="56"/>
  <c r="AS2" i="65" s="1"/>
  <c r="L14" i="56"/>
  <c r="AR2" i="65" s="1"/>
  <c r="H17" i="56"/>
  <c r="F2" i="65" s="1"/>
  <c r="H15" i="56"/>
  <c r="I12" i="56"/>
  <c r="I11" i="56"/>
  <c r="I9" i="56"/>
  <c r="U2" i="65" s="1"/>
  <c r="G6" i="56"/>
  <c r="I4" i="56"/>
  <c r="D2" i="65" s="1"/>
  <c r="D6" i="56"/>
  <c r="B2" i="65" s="1"/>
  <c r="D5" i="56"/>
  <c r="A2" i="65" s="1"/>
  <c r="D4" i="56"/>
  <c r="C2" i="56"/>
  <c r="C2" i="58" s="1"/>
  <c r="C2" i="65"/>
  <c r="E2" i="65"/>
  <c r="G2" i="65"/>
  <c r="H2" i="65"/>
  <c r="I2" i="65"/>
  <c r="J2" i="65"/>
  <c r="K2" i="65"/>
  <c r="L2" i="65"/>
  <c r="M2" i="65"/>
  <c r="N2" i="65"/>
  <c r="O2" i="65"/>
  <c r="P2" i="65"/>
  <c r="R2" i="65"/>
  <c r="S2" i="65"/>
  <c r="V2" i="65"/>
  <c r="W2" i="65"/>
  <c r="X2" i="65"/>
  <c r="AA2" i="65"/>
  <c r="AB2" i="65"/>
  <c r="AD2" i="65"/>
  <c r="AE2" i="65"/>
  <c r="AF2" i="65"/>
  <c r="AG2" i="65"/>
  <c r="AI2" i="65"/>
  <c r="AJ2" i="65"/>
  <c r="AL2" i="65"/>
  <c r="AM2" i="65"/>
  <c r="AO2" i="65"/>
  <c r="AP2" i="65"/>
  <c r="AT2" i="65"/>
  <c r="AX2" i="65"/>
  <c r="BA2" i="65"/>
  <c r="BB2" i="65"/>
  <c r="BD2" i="65"/>
  <c r="BF2" i="65"/>
  <c r="BG2" i="65"/>
  <c r="A3" i="65"/>
  <c r="B3" i="65"/>
  <c r="E3" i="65"/>
  <c r="F3" i="65"/>
  <c r="G3" i="65"/>
  <c r="H3" i="65"/>
  <c r="I3" i="65"/>
  <c r="J3" i="65"/>
  <c r="K3" i="65"/>
  <c r="L3" i="65"/>
  <c r="M3" i="65"/>
  <c r="N3" i="65"/>
  <c r="O3" i="65"/>
  <c r="P3" i="65"/>
  <c r="R3" i="65"/>
  <c r="S3" i="65"/>
  <c r="U3" i="65"/>
  <c r="V3" i="65"/>
  <c r="W3" i="65"/>
  <c r="X3" i="65"/>
  <c r="AA3" i="65"/>
  <c r="AB3" i="65"/>
  <c r="AD3" i="65"/>
  <c r="AE3" i="65"/>
  <c r="AF3" i="65"/>
  <c r="AG3" i="65"/>
  <c r="AI3" i="65"/>
  <c r="AJ3" i="65"/>
  <c r="AL3" i="65"/>
  <c r="AM3" i="65"/>
  <c r="AO3" i="65"/>
  <c r="AR3" i="65"/>
  <c r="AS3" i="65"/>
  <c r="AT3" i="65"/>
  <c r="AU3" i="65"/>
  <c r="AV3" i="65"/>
  <c r="AW3" i="65"/>
  <c r="AX3" i="65"/>
  <c r="AY3" i="65"/>
  <c r="AZ3" i="65"/>
  <c r="BA3" i="65"/>
  <c r="BB3" i="65"/>
  <c r="BC3" i="65"/>
  <c r="BD3" i="65"/>
  <c r="BE3" i="65"/>
  <c r="BF3" i="65"/>
  <c r="BG3" i="65"/>
  <c r="A4" i="65"/>
  <c r="B4" i="65"/>
  <c r="E4" i="65"/>
  <c r="F4" i="65"/>
  <c r="G4" i="65"/>
  <c r="H4" i="65"/>
  <c r="I4" i="65"/>
  <c r="J4" i="65"/>
  <c r="K4" i="65"/>
  <c r="L4" i="65"/>
  <c r="M4" i="65"/>
  <c r="N4" i="65"/>
  <c r="O4" i="65"/>
  <c r="P4" i="65"/>
  <c r="R4" i="65"/>
  <c r="S4" i="65"/>
  <c r="U4" i="65"/>
  <c r="V4" i="65"/>
  <c r="W4" i="65"/>
  <c r="X4" i="65"/>
  <c r="AA4" i="65"/>
  <c r="AB4" i="65"/>
  <c r="AD4" i="65"/>
  <c r="AE4" i="65"/>
  <c r="AF4" i="65"/>
  <c r="AG4" i="65"/>
  <c r="AI4" i="65"/>
  <c r="AJ4" i="65"/>
  <c r="AL4" i="65"/>
  <c r="AM4" i="65"/>
  <c r="AO4" i="65"/>
  <c r="AR4" i="65"/>
  <c r="AS4" i="65"/>
  <c r="AT4" i="65"/>
  <c r="AU4" i="65"/>
  <c r="AV4" i="65"/>
  <c r="AW4" i="65"/>
  <c r="AX4" i="65"/>
  <c r="AY4" i="65"/>
  <c r="AZ4" i="65"/>
  <c r="BA4" i="65"/>
  <c r="BB4" i="65"/>
  <c r="BC4" i="65"/>
  <c r="BD4" i="65"/>
  <c r="BE4" i="65"/>
  <c r="BF4" i="65"/>
  <c r="BG4" i="65"/>
  <c r="A5" i="65"/>
  <c r="B5" i="65"/>
  <c r="E5" i="65"/>
  <c r="F5" i="65"/>
  <c r="G5" i="65"/>
  <c r="H5" i="65"/>
  <c r="I5" i="65"/>
  <c r="J5" i="65"/>
  <c r="K5" i="65"/>
  <c r="L5" i="65"/>
  <c r="M5" i="65"/>
  <c r="N5" i="65"/>
  <c r="O5" i="65"/>
  <c r="P5" i="65"/>
  <c r="R5" i="65"/>
  <c r="S5" i="65"/>
  <c r="U5" i="65"/>
  <c r="V5" i="65"/>
  <c r="W5" i="65"/>
  <c r="X5" i="65"/>
  <c r="Y5" i="65"/>
  <c r="Z5" i="65"/>
  <c r="AA5" i="65"/>
  <c r="AB5" i="65"/>
  <c r="AD5" i="65"/>
  <c r="AE5" i="65"/>
  <c r="AF5" i="65"/>
  <c r="AG5" i="65"/>
  <c r="AI5" i="65"/>
  <c r="AJ5" i="65"/>
  <c r="AL5" i="65"/>
  <c r="AM5" i="65"/>
  <c r="AO5" i="65"/>
  <c r="AR5" i="65"/>
  <c r="AS5" i="65"/>
  <c r="AT5" i="65"/>
  <c r="AU5" i="65"/>
  <c r="AV5" i="65"/>
  <c r="AW5" i="65"/>
  <c r="AX5" i="65"/>
  <c r="AY5" i="65"/>
  <c r="AZ5" i="65"/>
  <c r="BA5" i="65"/>
  <c r="BB5" i="65"/>
  <c r="BC5" i="65"/>
  <c r="BD5" i="65"/>
  <c r="BE5" i="65"/>
  <c r="BF5" i="65"/>
  <c r="BG5" i="65"/>
  <c r="A6" i="65"/>
  <c r="B6" i="65"/>
  <c r="E6" i="65"/>
  <c r="F6" i="65"/>
  <c r="G6" i="65"/>
  <c r="H6" i="65"/>
  <c r="I6" i="65"/>
  <c r="J6" i="65"/>
  <c r="K6" i="65"/>
  <c r="L6" i="65"/>
  <c r="M6" i="65"/>
  <c r="N6" i="65"/>
  <c r="O6" i="65"/>
  <c r="P6" i="65"/>
  <c r="R6" i="65"/>
  <c r="S6" i="65"/>
  <c r="U6" i="65"/>
  <c r="V6" i="65"/>
  <c r="W6" i="65"/>
  <c r="X6" i="65"/>
  <c r="Y6" i="65"/>
  <c r="Z6" i="65"/>
  <c r="AA6" i="65"/>
  <c r="AB6" i="65"/>
  <c r="AD6" i="65"/>
  <c r="AE6" i="65"/>
  <c r="AF6" i="65"/>
  <c r="AG6" i="65"/>
  <c r="AI6" i="65"/>
  <c r="AJ6" i="65"/>
  <c r="AL6" i="65"/>
  <c r="AM6" i="65"/>
  <c r="AO6" i="65"/>
  <c r="AR6" i="65"/>
  <c r="AS6" i="65"/>
  <c r="AT6" i="65"/>
  <c r="AU6" i="65"/>
  <c r="AV6" i="65"/>
  <c r="AW6" i="65"/>
  <c r="AX6" i="65"/>
  <c r="AY6" i="65"/>
  <c r="AZ6" i="65"/>
  <c r="BA6" i="65"/>
  <c r="BB6" i="65"/>
  <c r="BC6" i="65"/>
  <c r="BD6" i="65"/>
  <c r="BE6" i="65"/>
  <c r="BF6" i="65"/>
  <c r="BG6" i="65"/>
  <c r="A7" i="65"/>
  <c r="B7" i="65"/>
  <c r="E7" i="65"/>
  <c r="F7" i="65"/>
  <c r="G7" i="65"/>
  <c r="H7" i="65"/>
  <c r="I7" i="65"/>
  <c r="J7" i="65"/>
  <c r="K7" i="65"/>
  <c r="L7" i="65"/>
  <c r="M7" i="65"/>
  <c r="N7" i="65"/>
  <c r="O7" i="65"/>
  <c r="P7" i="65"/>
  <c r="R7" i="65"/>
  <c r="S7" i="65"/>
  <c r="U7" i="65"/>
  <c r="V7" i="65"/>
  <c r="W7" i="65"/>
  <c r="X7" i="65"/>
  <c r="Y7" i="65"/>
  <c r="Z7" i="65"/>
  <c r="AA7" i="65"/>
  <c r="AB7" i="65"/>
  <c r="AD7" i="65"/>
  <c r="AE7" i="65"/>
  <c r="AF7" i="65"/>
  <c r="AG7" i="65"/>
  <c r="AI7" i="65"/>
  <c r="AJ7" i="65"/>
  <c r="AL7" i="65"/>
  <c r="AM7" i="65"/>
  <c r="AO7" i="65"/>
  <c r="AR7" i="65"/>
  <c r="AS7" i="65"/>
  <c r="AT7" i="65"/>
  <c r="AU7" i="65"/>
  <c r="AV7" i="65"/>
  <c r="AW7" i="65"/>
  <c r="AX7" i="65"/>
  <c r="AY7" i="65"/>
  <c r="AZ7" i="65"/>
  <c r="BA7" i="65"/>
  <c r="BB7" i="65"/>
  <c r="BC7" i="65"/>
  <c r="BD7" i="65"/>
  <c r="BE7" i="65"/>
  <c r="BF7" i="65"/>
  <c r="BG7" i="65"/>
  <c r="A8" i="65"/>
  <c r="B8" i="65"/>
  <c r="E8" i="65"/>
  <c r="F8" i="65"/>
  <c r="G8" i="65"/>
  <c r="H8" i="65"/>
  <c r="I8" i="65"/>
  <c r="J8" i="65"/>
  <c r="K8" i="65"/>
  <c r="L8" i="65"/>
  <c r="M8" i="65"/>
  <c r="N8" i="65"/>
  <c r="O8" i="65"/>
  <c r="P8" i="65"/>
  <c r="R8" i="65"/>
  <c r="S8" i="65"/>
  <c r="U8" i="65"/>
  <c r="V8" i="65"/>
  <c r="W8" i="65"/>
  <c r="X8" i="65"/>
  <c r="Y8" i="65"/>
  <c r="Z8" i="65"/>
  <c r="AA8" i="65"/>
  <c r="AB8" i="65"/>
  <c r="AD8" i="65"/>
  <c r="AE8" i="65"/>
  <c r="AF8" i="65"/>
  <c r="AG8" i="65"/>
  <c r="AI8" i="65"/>
  <c r="AJ8" i="65"/>
  <c r="AL8" i="65"/>
  <c r="AM8" i="65"/>
  <c r="AO8" i="65"/>
  <c r="AR8" i="65"/>
  <c r="AS8" i="65"/>
  <c r="AT8" i="65"/>
  <c r="AU8" i="65"/>
  <c r="AV8" i="65"/>
  <c r="AW8" i="65"/>
  <c r="AX8" i="65"/>
  <c r="AY8" i="65"/>
  <c r="AZ8" i="65"/>
  <c r="BA8" i="65"/>
  <c r="BB8" i="65"/>
  <c r="BC8" i="65"/>
  <c r="BD8" i="65"/>
  <c r="BE8" i="65"/>
  <c r="BF8" i="65"/>
  <c r="BG8" i="65"/>
  <c r="A9" i="65"/>
  <c r="B9" i="65"/>
  <c r="C9" i="65"/>
  <c r="E9" i="65"/>
  <c r="F9" i="65"/>
  <c r="G9" i="65"/>
  <c r="H9" i="65"/>
  <c r="I9" i="65"/>
  <c r="J9" i="65"/>
  <c r="K9" i="65"/>
  <c r="L9" i="65"/>
  <c r="M9" i="65"/>
  <c r="N9" i="65"/>
  <c r="O9" i="65"/>
  <c r="P9" i="65"/>
  <c r="R9" i="65"/>
  <c r="S9" i="65"/>
  <c r="U9" i="65"/>
  <c r="V9" i="65"/>
  <c r="W9" i="65"/>
  <c r="X9" i="65"/>
  <c r="Y9" i="65"/>
  <c r="Z9" i="65"/>
  <c r="AA9" i="65"/>
  <c r="AB9" i="65"/>
  <c r="AD9" i="65"/>
  <c r="AE9" i="65"/>
  <c r="AF9" i="65"/>
  <c r="AG9" i="65"/>
  <c r="AI9" i="65"/>
  <c r="AJ9" i="65"/>
  <c r="AL9" i="65"/>
  <c r="AM9" i="65"/>
  <c r="AO9" i="65"/>
  <c r="AR9" i="65"/>
  <c r="AS9" i="65"/>
  <c r="AT9" i="65"/>
  <c r="AU9" i="65"/>
  <c r="AV9" i="65"/>
  <c r="AW9" i="65"/>
  <c r="AX9" i="65"/>
  <c r="AY9" i="65"/>
  <c r="AZ9" i="65"/>
  <c r="BA9" i="65"/>
  <c r="BB9" i="65"/>
  <c r="BC9" i="65"/>
  <c r="BD9" i="65"/>
  <c r="BE9" i="65"/>
  <c r="BF9" i="65"/>
  <c r="BG9" i="65"/>
  <c r="A10" i="65"/>
  <c r="B10" i="65"/>
  <c r="E10" i="65"/>
  <c r="F10" i="65"/>
  <c r="G10" i="65"/>
  <c r="H10" i="65"/>
  <c r="I10" i="65"/>
  <c r="J10" i="65"/>
  <c r="K10" i="65"/>
  <c r="L10" i="65"/>
  <c r="M10" i="65"/>
  <c r="N10" i="65"/>
  <c r="O10" i="65"/>
  <c r="P10" i="65"/>
  <c r="R10" i="65"/>
  <c r="S10" i="65"/>
  <c r="U10" i="65"/>
  <c r="V10" i="65"/>
  <c r="W10" i="65"/>
  <c r="X10" i="65"/>
  <c r="Y10" i="65"/>
  <c r="Z10" i="65"/>
  <c r="AA10" i="65"/>
  <c r="AB10" i="65"/>
  <c r="AD10" i="65"/>
  <c r="AE10" i="65"/>
  <c r="AF10" i="65"/>
  <c r="AG10" i="65"/>
  <c r="AI10" i="65"/>
  <c r="AJ10" i="65"/>
  <c r="AL10" i="65"/>
  <c r="AM10" i="65"/>
  <c r="AO10" i="65"/>
  <c r="AR10" i="65"/>
  <c r="AS10" i="65"/>
  <c r="AT10" i="65"/>
  <c r="AU10" i="65"/>
  <c r="AV10" i="65"/>
  <c r="AW10" i="65"/>
  <c r="AX10" i="65"/>
  <c r="AY10" i="65"/>
  <c r="AZ10" i="65"/>
  <c r="BA10" i="65"/>
  <c r="BB10" i="65"/>
  <c r="BC10" i="65"/>
  <c r="BD10" i="65"/>
  <c r="BE10" i="65"/>
  <c r="BF10" i="65"/>
  <c r="BG10" i="65"/>
  <c r="C2" i="64"/>
  <c r="D4" i="64"/>
  <c r="I4" i="64"/>
  <c r="D10" i="65" s="1"/>
  <c r="G5" i="64"/>
  <c r="AP10" i="65" s="1"/>
  <c r="G6" i="64"/>
  <c r="C10" i="65" s="1"/>
  <c r="Q20" i="64"/>
  <c r="T10" i="65" s="1"/>
  <c r="C2" i="63"/>
  <c r="D4" i="63"/>
  <c r="I4" i="63"/>
  <c r="D9" i="65" s="1"/>
  <c r="G5" i="63"/>
  <c r="AP9" i="65" s="1"/>
  <c r="G6" i="63"/>
  <c r="Q20" i="63"/>
  <c r="T9" i="65" s="1"/>
  <c r="C2" i="62"/>
  <c r="D4" i="62"/>
  <c r="I4" i="62"/>
  <c r="D8" i="65" s="1"/>
  <c r="G5" i="62"/>
  <c r="AP8" i="65" s="1"/>
  <c r="G6" i="62"/>
  <c r="C8" i="65" s="1"/>
  <c r="Q20" i="62"/>
  <c r="T8" i="65" s="1"/>
  <c r="C2" i="61"/>
  <c r="D4" i="61"/>
  <c r="I4" i="61"/>
  <c r="D7" i="65" s="1"/>
  <c r="G5" i="61"/>
  <c r="AP7" i="65" s="1"/>
  <c r="G6" i="61"/>
  <c r="C7" i="65" s="1"/>
  <c r="Q20" i="61"/>
  <c r="T7" i="65" s="1"/>
  <c r="C2" i="60"/>
  <c r="D4" i="60"/>
  <c r="I4" i="60"/>
  <c r="D6" i="65" s="1"/>
  <c r="G5" i="60"/>
  <c r="AP6" i="65" s="1"/>
  <c r="G6" i="60"/>
  <c r="C6" i="65" s="1"/>
  <c r="Q20" i="60"/>
  <c r="T6" i="65" s="1"/>
  <c r="C2" i="59"/>
  <c r="D4" i="59"/>
  <c r="I4" i="59"/>
  <c r="D5" i="65" s="1"/>
  <c r="G5" i="59"/>
  <c r="AP5" i="65" s="1"/>
  <c r="G6" i="59"/>
  <c r="C5" i="65" s="1"/>
  <c r="Q20" i="59"/>
  <c r="T5" i="65" s="1"/>
  <c r="D4" i="58"/>
  <c r="G5" i="58"/>
  <c r="AP4" i="65" s="1"/>
  <c r="G6" i="58"/>
  <c r="C4" i="65" s="1"/>
  <c r="Q20" i="58"/>
  <c r="T4" i="65" s="1"/>
  <c r="D4" i="57"/>
  <c r="G5" i="57"/>
  <c r="AP3" i="65" s="1"/>
  <c r="G6" i="57"/>
  <c r="C3" i="65" s="1"/>
  <c r="Q20" i="57"/>
  <c r="T3" i="65" s="1"/>
  <c r="I4" i="57" l="1"/>
  <c r="D3" i="65" s="1"/>
  <c r="C2" i="57"/>
  <c r="I4" i="58"/>
  <c r="D4" i="65" s="1"/>
  <c r="Q20" i="56"/>
  <c r="C30" i="58"/>
  <c r="D30" i="58"/>
  <c r="D30" i="57"/>
  <c r="C30" i="57"/>
  <c r="D27" i="56"/>
  <c r="T2" i="65"/>
  <c r="E47" i="55"/>
  <c r="F47" i="55"/>
  <c r="D47" i="55"/>
  <c r="F34" i="55"/>
  <c r="E34" i="55"/>
  <c r="D34" i="55"/>
  <c r="E17" i="55"/>
  <c r="F17" i="55" s="1"/>
  <c r="F9" i="55"/>
  <c r="E9" i="55"/>
  <c r="D9" i="55"/>
  <c r="F8" i="55"/>
  <c r="E8" i="55"/>
  <c r="D8" i="55"/>
  <c r="A5" i="55"/>
  <c r="B4" i="55"/>
  <c r="A3" i="55"/>
  <c r="D31" i="58" l="1"/>
  <c r="C31" i="58"/>
  <c r="D31" i="57"/>
  <c r="C31" i="57"/>
  <c r="D28" i="56"/>
  <c r="C28" i="56"/>
  <c r="D32" i="58" l="1"/>
  <c r="C32" i="58"/>
  <c r="D32" i="57"/>
  <c r="C32" i="57"/>
  <c r="C29" i="56"/>
  <c r="D29" i="56"/>
  <c r="B7" i="54"/>
  <c r="D33" i="58" l="1"/>
  <c r="C33" i="58"/>
  <c r="C33" i="57"/>
  <c r="D33" i="57"/>
  <c r="C30" i="56"/>
  <c r="D30" i="56"/>
  <c r="D34" i="58" l="1"/>
  <c r="C34" i="58"/>
  <c r="D34" i="57"/>
  <c r="C34" i="57"/>
  <c r="C31" i="56"/>
  <c r="D31" i="56"/>
  <c r="D35" i="58" l="1"/>
  <c r="C35" i="58"/>
  <c r="D35" i="57"/>
  <c r="C35" i="57"/>
  <c r="D32" i="56"/>
  <c r="C32" i="56"/>
  <c r="D36" i="58" l="1"/>
  <c r="C36" i="58"/>
  <c r="D36" i="57"/>
  <c r="C36" i="57"/>
  <c r="C33" i="56"/>
  <c r="D33" i="56"/>
  <c r="A5" i="50"/>
  <c r="A3" i="50"/>
  <c r="I10" i="50"/>
  <c r="G10" i="50"/>
  <c r="E10" i="50"/>
  <c r="I9" i="50"/>
  <c r="G9" i="50"/>
  <c r="E9" i="50"/>
  <c r="E48" i="50"/>
  <c r="G47" i="50"/>
  <c r="I47" i="50" s="1"/>
  <c r="I48" i="50" s="1"/>
  <c r="E41" i="50"/>
  <c r="G40" i="50"/>
  <c r="G41" i="50" s="1"/>
  <c r="E34" i="50"/>
  <c r="G33" i="50"/>
  <c r="G34" i="50" s="1"/>
  <c r="E27" i="50"/>
  <c r="G26" i="50"/>
  <c r="G27" i="50" s="1"/>
  <c r="I20" i="50"/>
  <c r="G20" i="50"/>
  <c r="E20" i="50"/>
  <c r="D37" i="58" l="1"/>
  <c r="C37" i="58"/>
  <c r="D37" i="57"/>
  <c r="C37" i="57"/>
  <c r="C34" i="56"/>
  <c r="D34" i="56"/>
  <c r="I26" i="50"/>
  <c r="I27" i="50" s="1"/>
  <c r="I40" i="50"/>
  <c r="I41" i="50" s="1"/>
  <c r="I33" i="50"/>
  <c r="I34" i="50" s="1"/>
  <c r="G48" i="50"/>
  <c r="C38" i="58" l="1"/>
  <c r="D38" i="58"/>
  <c r="D38" i="57"/>
  <c r="C38" i="57"/>
  <c r="C35" i="56"/>
  <c r="D35" i="56"/>
  <c r="D39" i="58" l="1"/>
  <c r="C39" i="58"/>
  <c r="D39" i="57"/>
  <c r="C39" i="57"/>
  <c r="D36" i="56"/>
  <c r="C36" i="56"/>
  <c r="E26" i="20"/>
  <c r="F26" i="20" s="1"/>
  <c r="E19" i="20"/>
  <c r="F19" i="20" s="1"/>
  <c r="E33" i="20"/>
  <c r="F33" i="20" s="1"/>
  <c r="B37" i="20"/>
  <c r="D40" i="58" l="1"/>
  <c r="C40" i="58"/>
  <c r="D40" i="57"/>
  <c r="C40" i="57"/>
  <c r="C37" i="56"/>
  <c r="D37" i="56"/>
  <c r="D41" i="58" l="1"/>
  <c r="C41" i="58"/>
  <c r="C41" i="57"/>
  <c r="D41" i="57"/>
  <c r="D38" i="56"/>
  <c r="C38" i="56"/>
  <c r="E17" i="47"/>
  <c r="F17" i="47" s="1"/>
  <c r="D42" i="58" l="1"/>
  <c r="C42" i="58"/>
  <c r="D42" i="57"/>
  <c r="C42" i="57"/>
  <c r="C39" i="56"/>
  <c r="D39" i="56"/>
  <c r="A5" i="47"/>
  <c r="B4" i="47"/>
  <c r="A3" i="47"/>
  <c r="F9" i="47"/>
  <c r="E9" i="47"/>
  <c r="D9" i="47"/>
  <c r="F8" i="47"/>
  <c r="E8" i="47"/>
  <c r="D8" i="47"/>
  <c r="F34" i="47"/>
  <c r="E34" i="47"/>
  <c r="D34" i="47"/>
  <c r="D43" i="58" l="1"/>
  <c r="C43" i="58"/>
  <c r="D43" i="57"/>
  <c r="C43" i="57"/>
  <c r="C40" i="56"/>
  <c r="D40" i="56"/>
  <c r="A5" i="20"/>
  <c r="B4" i="20"/>
  <c r="A3" i="20"/>
  <c r="E25" i="12"/>
  <c r="K45" i="15"/>
  <c r="K44" i="15"/>
  <c r="K43" i="15"/>
  <c r="K42" i="15"/>
  <c r="K41" i="15"/>
  <c r="K40" i="15"/>
  <c r="K39" i="15"/>
  <c r="K45" i="11"/>
  <c r="C129" i="7"/>
  <c r="E20" i="20" s="1"/>
  <c r="E21" i="20" s="1"/>
  <c r="D129" i="7"/>
  <c r="E27" i="20" s="1"/>
  <c r="E28" i="20" s="1"/>
  <c r="E19" i="11" s="1"/>
  <c r="H20" i="57" s="1"/>
  <c r="Y3" i="65" s="1"/>
  <c r="E129" i="7"/>
  <c r="E34" i="20" s="1"/>
  <c r="E35" i="20" s="1"/>
  <c r="E20" i="11" l="1"/>
  <c r="E38" i="20"/>
  <c r="E37" i="20"/>
  <c r="D44" i="58"/>
  <c r="C44" i="58"/>
  <c r="D44" i="57"/>
  <c r="C44" i="57"/>
  <c r="D41" i="56"/>
  <c r="C41" i="56"/>
  <c r="K44" i="11"/>
  <c r="I6" i="12"/>
  <c r="H24" i="56" s="1"/>
  <c r="I24" i="56" s="1"/>
  <c r="I6" i="11"/>
  <c r="H24" i="57" s="1"/>
  <c r="I24" i="57" s="1"/>
  <c r="I6" i="15"/>
  <c r="H24" i="58" s="1"/>
  <c r="I24" i="58" s="1"/>
  <c r="K43" i="12"/>
  <c r="G14" i="50" l="1"/>
  <c r="H19" i="57"/>
  <c r="Z3" i="65" s="1"/>
  <c r="E15" i="55"/>
  <c r="D45" i="58"/>
  <c r="C45" i="58"/>
  <c r="D45" i="57"/>
  <c r="C45" i="57"/>
  <c r="D42" i="56"/>
  <c r="C42" i="56"/>
  <c r="K45" i="12"/>
  <c r="E25" i="11"/>
  <c r="E25" i="15"/>
  <c r="I27" i="15"/>
  <c r="H45" i="58" s="1"/>
  <c r="I45" i="58" s="1"/>
  <c r="I28" i="15"/>
  <c r="H46" i="58" s="1"/>
  <c r="I46" i="58" s="1"/>
  <c r="I29" i="15"/>
  <c r="H47" i="58" s="1"/>
  <c r="I47" i="58" s="1"/>
  <c r="I27" i="11"/>
  <c r="H45" i="57" s="1"/>
  <c r="I45" i="57" s="1"/>
  <c r="I27" i="12"/>
  <c r="H45" i="56" s="1"/>
  <c r="I45" i="56" s="1"/>
  <c r="I28" i="12"/>
  <c r="H46" i="56" s="1"/>
  <c r="I46" i="56" s="1"/>
  <c r="E7" i="20"/>
  <c r="E36" i="12"/>
  <c r="K40" i="11"/>
  <c r="K41" i="11"/>
  <c r="E36" i="11"/>
  <c r="E36" i="15"/>
  <c r="F15" i="14"/>
  <c r="F13" i="14"/>
  <c r="E15" i="14"/>
  <c r="E13" i="14"/>
  <c r="D11" i="14"/>
  <c r="E11" i="14" s="1"/>
  <c r="D10" i="14"/>
  <c r="E10" i="14" s="1"/>
  <c r="F8" i="14"/>
  <c r="F7" i="14"/>
  <c r="E8" i="14"/>
  <c r="E7" i="14"/>
  <c r="I19" i="15"/>
  <c r="H37" i="58" s="1"/>
  <c r="I37" i="58" s="1"/>
  <c r="I19" i="11"/>
  <c r="H37" i="57" s="1"/>
  <c r="I37" i="57" s="1"/>
  <c r="I16" i="11"/>
  <c r="H34" i="57" s="1"/>
  <c r="I34" i="57" s="1"/>
  <c r="I16" i="15"/>
  <c r="H34" i="58" s="1"/>
  <c r="I34" i="58" s="1"/>
  <c r="I16" i="12"/>
  <c r="H34" i="56" s="1"/>
  <c r="I34" i="56" s="1"/>
  <c r="I7" i="11"/>
  <c r="H25" i="57" s="1"/>
  <c r="I25" i="57" s="1"/>
  <c r="I7" i="15"/>
  <c r="H25" i="58" s="1"/>
  <c r="I25" i="58" s="1"/>
  <c r="I7" i="12"/>
  <c r="H25" i="56" s="1"/>
  <c r="I25" i="56" s="1"/>
  <c r="E129" i="16"/>
  <c r="F34" i="20" s="1"/>
  <c r="F35" i="20" s="1"/>
  <c r="E15" i="15"/>
  <c r="I8" i="15"/>
  <c r="H26" i="58" s="1"/>
  <c r="I26" i="58" s="1"/>
  <c r="I9" i="15"/>
  <c r="H27" i="58" s="1"/>
  <c r="I27" i="58" s="1"/>
  <c r="I10" i="15"/>
  <c r="H28" i="58" s="1"/>
  <c r="I28" i="58" s="1"/>
  <c r="I11" i="15"/>
  <c r="H29" i="58" s="1"/>
  <c r="I29" i="58" s="1"/>
  <c r="I12" i="15"/>
  <c r="H30" i="58" s="1"/>
  <c r="I30" i="58" s="1"/>
  <c r="I13" i="15"/>
  <c r="H31" i="58" s="1"/>
  <c r="I31" i="58" s="1"/>
  <c r="I14" i="15"/>
  <c r="H32" i="58" s="1"/>
  <c r="I32" i="58" s="1"/>
  <c r="I15" i="15"/>
  <c r="H33" i="58" s="1"/>
  <c r="I33" i="58" s="1"/>
  <c r="I17" i="15"/>
  <c r="H35" i="58" s="1"/>
  <c r="I35" i="58" s="1"/>
  <c r="I18" i="15"/>
  <c r="H36" i="58" s="1"/>
  <c r="I36" i="58" s="1"/>
  <c r="I20" i="15"/>
  <c r="H38" i="58" s="1"/>
  <c r="I38" i="58" s="1"/>
  <c r="I21" i="15"/>
  <c r="H39" i="58" s="1"/>
  <c r="I39" i="58" s="1"/>
  <c r="I22" i="15"/>
  <c r="H40" i="58" s="1"/>
  <c r="I40" i="58" s="1"/>
  <c r="I23" i="15"/>
  <c r="H41" i="58" s="1"/>
  <c r="I41" i="58" s="1"/>
  <c r="I24" i="15"/>
  <c r="H42" i="58" s="1"/>
  <c r="I42" i="58" s="1"/>
  <c r="I25" i="15"/>
  <c r="H43" i="58" s="1"/>
  <c r="I43" i="58" s="1"/>
  <c r="I26" i="15"/>
  <c r="H44" i="58" s="1"/>
  <c r="I44" i="58" s="1"/>
  <c r="K6" i="15"/>
  <c r="K7" i="15"/>
  <c r="K8" i="15"/>
  <c r="K9" i="15"/>
  <c r="K10" i="15"/>
  <c r="K11" i="15"/>
  <c r="K12" i="15"/>
  <c r="K13" i="15"/>
  <c r="K14" i="15"/>
  <c r="K15" i="15"/>
  <c r="K16" i="15"/>
  <c r="K17" i="15"/>
  <c r="K18" i="15"/>
  <c r="K19" i="15"/>
  <c r="K20" i="15"/>
  <c r="K21" i="15"/>
  <c r="K22" i="15"/>
  <c r="K23" i="15"/>
  <c r="K24" i="15"/>
  <c r="K25" i="15"/>
  <c r="K26" i="15"/>
  <c r="K27" i="15"/>
  <c r="K28" i="15"/>
  <c r="K29" i="15"/>
  <c r="C129" i="16"/>
  <c r="F20" i="20" s="1"/>
  <c r="F21" i="20" s="1"/>
  <c r="M6" i="15"/>
  <c r="M7" i="15"/>
  <c r="M8" i="15"/>
  <c r="M9" i="15"/>
  <c r="M10" i="15"/>
  <c r="M11" i="15"/>
  <c r="M12" i="15"/>
  <c r="M13" i="15"/>
  <c r="M14" i="15"/>
  <c r="M15" i="15"/>
  <c r="M16" i="15"/>
  <c r="M17" i="15"/>
  <c r="M18" i="15"/>
  <c r="M19" i="15"/>
  <c r="M20" i="15"/>
  <c r="M21" i="15"/>
  <c r="M22" i="15"/>
  <c r="M23" i="15"/>
  <c r="M24" i="15"/>
  <c r="M25" i="15"/>
  <c r="M26" i="15"/>
  <c r="M27" i="15"/>
  <c r="M28" i="15"/>
  <c r="M29" i="15"/>
  <c r="L33" i="15"/>
  <c r="D129" i="16"/>
  <c r="F27" i="20" s="1"/>
  <c r="F28" i="20" s="1"/>
  <c r="M30" i="15"/>
  <c r="H33" i="15"/>
  <c r="E129" i="6"/>
  <c r="D34" i="20" s="1"/>
  <c r="D35" i="20" s="1"/>
  <c r="G35" i="20" s="1"/>
  <c r="D129" i="6"/>
  <c r="D27" i="20" s="1"/>
  <c r="D28" i="20" s="1"/>
  <c r="C129" i="6"/>
  <c r="D20" i="20" s="1"/>
  <c r="D21" i="20" s="1"/>
  <c r="K39" i="12"/>
  <c r="K40" i="12"/>
  <c r="K41" i="12"/>
  <c r="K42" i="12"/>
  <c r="I8" i="12"/>
  <c r="H26" i="56" s="1"/>
  <c r="I26" i="56" s="1"/>
  <c r="I9" i="12"/>
  <c r="H27" i="56" s="1"/>
  <c r="I27" i="56" s="1"/>
  <c r="I10" i="12"/>
  <c r="H28" i="56" s="1"/>
  <c r="I28" i="56" s="1"/>
  <c r="I11" i="12"/>
  <c r="H29" i="56" s="1"/>
  <c r="I29" i="56" s="1"/>
  <c r="I12" i="12"/>
  <c r="H30" i="56" s="1"/>
  <c r="I30" i="56" s="1"/>
  <c r="I13" i="12"/>
  <c r="H31" i="56" s="1"/>
  <c r="I31" i="56" s="1"/>
  <c r="I14" i="12"/>
  <c r="H32" i="56" s="1"/>
  <c r="I32" i="56" s="1"/>
  <c r="I15" i="12"/>
  <c r="H33" i="56" s="1"/>
  <c r="I33" i="56" s="1"/>
  <c r="I17" i="12"/>
  <c r="H35" i="56" s="1"/>
  <c r="I35" i="56" s="1"/>
  <c r="I18" i="12"/>
  <c r="H36" i="56" s="1"/>
  <c r="I36" i="56" s="1"/>
  <c r="I19" i="12"/>
  <c r="H37" i="56" s="1"/>
  <c r="I37" i="56" s="1"/>
  <c r="I20" i="12"/>
  <c r="H38" i="56" s="1"/>
  <c r="I38" i="56" s="1"/>
  <c r="I21" i="12"/>
  <c r="H39" i="56" s="1"/>
  <c r="I39" i="56" s="1"/>
  <c r="I22" i="12"/>
  <c r="H40" i="56" s="1"/>
  <c r="I40" i="56" s="1"/>
  <c r="I23" i="12"/>
  <c r="H41" i="56" s="1"/>
  <c r="I41" i="56" s="1"/>
  <c r="I24" i="12"/>
  <c r="H42" i="56" s="1"/>
  <c r="I42" i="56" s="1"/>
  <c r="I25" i="12"/>
  <c r="H43" i="56" s="1"/>
  <c r="I43" i="56" s="1"/>
  <c r="I26" i="12"/>
  <c r="H44" i="56" s="1"/>
  <c r="I44" i="56" s="1"/>
  <c r="I29" i="12"/>
  <c r="H47" i="56" s="1"/>
  <c r="I47" i="56" s="1"/>
  <c r="E15" i="12"/>
  <c r="K6" i="12"/>
  <c r="K7" i="12"/>
  <c r="K8" i="12"/>
  <c r="K9" i="12"/>
  <c r="K10" i="12"/>
  <c r="K11" i="12"/>
  <c r="K12" i="12"/>
  <c r="K13" i="12"/>
  <c r="K14" i="12"/>
  <c r="K15" i="12"/>
  <c r="K16" i="12"/>
  <c r="K17" i="12"/>
  <c r="K18" i="12"/>
  <c r="K19" i="12"/>
  <c r="K20" i="12"/>
  <c r="K21" i="12"/>
  <c r="K22" i="12"/>
  <c r="K23" i="12"/>
  <c r="K24" i="12"/>
  <c r="K25" i="12"/>
  <c r="K26" i="12"/>
  <c r="K27" i="12"/>
  <c r="K28" i="12"/>
  <c r="K29" i="12"/>
  <c r="M6" i="12"/>
  <c r="M7" i="12"/>
  <c r="M8" i="12"/>
  <c r="M9" i="12"/>
  <c r="M10" i="12"/>
  <c r="M11" i="12"/>
  <c r="M12" i="12"/>
  <c r="M13" i="12"/>
  <c r="M14" i="12"/>
  <c r="M15" i="12"/>
  <c r="M16" i="12"/>
  <c r="M17" i="12"/>
  <c r="M18" i="12"/>
  <c r="M19" i="12"/>
  <c r="M20" i="12"/>
  <c r="M21" i="12"/>
  <c r="M22" i="12"/>
  <c r="M23" i="12"/>
  <c r="M24" i="12"/>
  <c r="M25" i="12"/>
  <c r="M26" i="12"/>
  <c r="M27" i="12"/>
  <c r="M28" i="12"/>
  <c r="M29" i="12"/>
  <c r="L33" i="12"/>
  <c r="D14" i="14" s="1"/>
  <c r="E15" i="11"/>
  <c r="I8" i="11"/>
  <c r="H26" i="57" s="1"/>
  <c r="I26" i="57" s="1"/>
  <c r="I9" i="11"/>
  <c r="H27" i="57" s="1"/>
  <c r="I27" i="57" s="1"/>
  <c r="I10" i="11"/>
  <c r="H28" i="57" s="1"/>
  <c r="I28" i="57" s="1"/>
  <c r="I11" i="11"/>
  <c r="H29" i="57" s="1"/>
  <c r="I29" i="57" s="1"/>
  <c r="I12" i="11"/>
  <c r="H30" i="57" s="1"/>
  <c r="I30" i="57" s="1"/>
  <c r="I13" i="11"/>
  <c r="H31" i="57" s="1"/>
  <c r="I31" i="57" s="1"/>
  <c r="I14" i="11"/>
  <c r="H32" i="57" s="1"/>
  <c r="I32" i="57" s="1"/>
  <c r="I15" i="11"/>
  <c r="H33" i="57" s="1"/>
  <c r="I33" i="57" s="1"/>
  <c r="I17" i="11"/>
  <c r="H35" i="57" s="1"/>
  <c r="I35" i="57" s="1"/>
  <c r="I18" i="11"/>
  <c r="H36" i="57" s="1"/>
  <c r="I36" i="57" s="1"/>
  <c r="I20" i="11"/>
  <c r="H38" i="57" s="1"/>
  <c r="I38" i="57" s="1"/>
  <c r="I21" i="11"/>
  <c r="H39" i="57" s="1"/>
  <c r="I39" i="57" s="1"/>
  <c r="I22" i="11"/>
  <c r="H40" i="57" s="1"/>
  <c r="I40" i="57" s="1"/>
  <c r="I23" i="11"/>
  <c r="H41" i="57" s="1"/>
  <c r="I41" i="57" s="1"/>
  <c r="I24" i="11"/>
  <c r="H42" i="57" s="1"/>
  <c r="I42" i="57" s="1"/>
  <c r="I25" i="11"/>
  <c r="H43" i="57" s="1"/>
  <c r="I43" i="57" s="1"/>
  <c r="I26" i="11"/>
  <c r="H44" i="57" s="1"/>
  <c r="I44" i="57" s="1"/>
  <c r="I28" i="11"/>
  <c r="H46" i="57" s="1"/>
  <c r="I46" i="57" s="1"/>
  <c r="I29" i="11"/>
  <c r="H47" i="57" s="1"/>
  <c r="I47" i="57" s="1"/>
  <c r="K6" i="11"/>
  <c r="K7" i="11"/>
  <c r="K8" i="11"/>
  <c r="K9" i="11"/>
  <c r="K10" i="11"/>
  <c r="K11" i="11"/>
  <c r="K12" i="11"/>
  <c r="K13" i="11"/>
  <c r="K14" i="11"/>
  <c r="K15" i="11"/>
  <c r="K16" i="11"/>
  <c r="K17" i="11"/>
  <c r="K18" i="11"/>
  <c r="K19" i="11"/>
  <c r="K20" i="11"/>
  <c r="K21" i="11"/>
  <c r="K22" i="11"/>
  <c r="K23" i="11"/>
  <c r="K24" i="11"/>
  <c r="K25" i="11"/>
  <c r="K26" i="11"/>
  <c r="K27" i="11"/>
  <c r="K28" i="11"/>
  <c r="K29" i="11"/>
  <c r="K39" i="11"/>
  <c r="K42" i="11"/>
  <c r="M6" i="11"/>
  <c r="M7" i="11"/>
  <c r="M8" i="11"/>
  <c r="M9" i="11"/>
  <c r="M10" i="11"/>
  <c r="M11" i="11"/>
  <c r="M12" i="11"/>
  <c r="M13" i="11"/>
  <c r="M14" i="11"/>
  <c r="M15" i="11"/>
  <c r="M16" i="11"/>
  <c r="M17" i="11"/>
  <c r="M18" i="11"/>
  <c r="M19" i="11"/>
  <c r="M20" i="11"/>
  <c r="M21" i="11"/>
  <c r="M22" i="11"/>
  <c r="M23" i="11"/>
  <c r="M24" i="11"/>
  <c r="M25" i="11"/>
  <c r="M26" i="11"/>
  <c r="M27" i="11"/>
  <c r="M28" i="11"/>
  <c r="M29" i="11"/>
  <c r="L33" i="11"/>
  <c r="K44" i="12"/>
  <c r="H33" i="12"/>
  <c r="K43" i="11"/>
  <c r="M30" i="11"/>
  <c r="H33" i="11"/>
  <c r="D15" i="14"/>
  <c r="D13" i="14"/>
  <c r="D8" i="14"/>
  <c r="D7" i="14"/>
  <c r="E19" i="12" l="1"/>
  <c r="H20" i="56"/>
  <c r="Y2" i="65" s="1"/>
  <c r="F38" i="20"/>
  <c r="F37" i="20"/>
  <c r="H19" i="56"/>
  <c r="Z2" i="65" s="1"/>
  <c r="D38" i="20"/>
  <c r="G38" i="20" s="1"/>
  <c r="D37" i="20"/>
  <c r="G37" i="20" s="1"/>
  <c r="E20" i="12"/>
  <c r="C46" i="58"/>
  <c r="D46" i="58"/>
  <c r="D46" i="57"/>
  <c r="C46" i="57"/>
  <c r="D43" i="56"/>
  <c r="C43" i="56"/>
  <c r="E19" i="15"/>
  <c r="H20" i="58" s="1"/>
  <c r="Y4" i="65" s="1"/>
  <c r="G28" i="20"/>
  <c r="G21" i="20"/>
  <c r="E20" i="15"/>
  <c r="K46" i="11"/>
  <c r="E16" i="11" s="1"/>
  <c r="E32" i="11" s="1"/>
  <c r="F14" i="14"/>
  <c r="K46" i="12"/>
  <c r="E16" i="12" s="1"/>
  <c r="E32" i="12" s="1"/>
  <c r="K33" i="12"/>
  <c r="F11" i="14"/>
  <c r="M33" i="15"/>
  <c r="F10" i="14"/>
  <c r="K33" i="11"/>
  <c r="M33" i="12"/>
  <c r="K33" i="15"/>
  <c r="I33" i="15"/>
  <c r="M33" i="11"/>
  <c r="I33" i="11"/>
  <c r="I33" i="12"/>
  <c r="E31" i="12" s="1"/>
  <c r="D14" i="55" s="1"/>
  <c r="E14" i="14"/>
  <c r="D43" i="55" l="1"/>
  <c r="I14" i="50"/>
  <c r="H19" i="58"/>
  <c r="Z4" i="65" s="1"/>
  <c r="F15" i="55"/>
  <c r="E33" i="12"/>
  <c r="D13" i="55" s="1"/>
  <c r="D42" i="55" s="1"/>
  <c r="E14" i="50"/>
  <c r="D15" i="55"/>
  <c r="D45" i="55" s="1"/>
  <c r="D47" i="58"/>
  <c r="C47" i="58"/>
  <c r="D47" i="57"/>
  <c r="C47" i="57"/>
  <c r="C44" i="56"/>
  <c r="D44" i="56"/>
  <c r="E34" i="12"/>
  <c r="D15" i="47"/>
  <c r="E34" i="11"/>
  <c r="E15" i="47"/>
  <c r="E31" i="11"/>
  <c r="K46" i="15"/>
  <c r="E16" i="15" s="1"/>
  <c r="E32" i="15" s="1"/>
  <c r="E31" i="15"/>
  <c r="E12" i="50"/>
  <c r="D18" i="14"/>
  <c r="E18" i="14"/>
  <c r="I12" i="50" l="1"/>
  <c r="I56" i="50" s="1"/>
  <c r="I57" i="50" s="1"/>
  <c r="F14" i="55"/>
  <c r="G12" i="50"/>
  <c r="E14" i="55"/>
  <c r="D48" i="55"/>
  <c r="D45" i="56"/>
  <c r="C45" i="56"/>
  <c r="G56" i="50"/>
  <c r="G57" i="50" s="1"/>
  <c r="G58" i="50"/>
  <c r="I58" i="50"/>
  <c r="E56" i="50"/>
  <c r="E58" i="50"/>
  <c r="D19" i="14"/>
  <c r="D20" i="14" s="1"/>
  <c r="D14" i="47"/>
  <c r="D43" i="47" s="1"/>
  <c r="E40" i="15"/>
  <c r="F14" i="47"/>
  <c r="E33" i="11"/>
  <c r="E14" i="47"/>
  <c r="E45" i="47" s="1"/>
  <c r="E19" i="14"/>
  <c r="E20" i="14" s="1"/>
  <c r="F15" i="47"/>
  <c r="E40" i="11"/>
  <c r="F18" i="14"/>
  <c r="E33" i="15"/>
  <c r="E40" i="12"/>
  <c r="F13" i="47" l="1"/>
  <c r="F13" i="55"/>
  <c r="F42" i="55" s="1"/>
  <c r="E43" i="55"/>
  <c r="E45" i="55"/>
  <c r="F43" i="55"/>
  <c r="E16" i="14"/>
  <c r="E13" i="55"/>
  <c r="E42" i="55" s="1"/>
  <c r="F45" i="55"/>
  <c r="F48" i="55" s="1"/>
  <c r="C46" i="56"/>
  <c r="D46" i="56"/>
  <c r="K58" i="50"/>
  <c r="K56" i="50"/>
  <c r="E57" i="50"/>
  <c r="K57" i="50" s="1"/>
  <c r="D16" i="14"/>
  <c r="D13" i="47"/>
  <c r="D42" i="47" s="1"/>
  <c r="F43" i="47"/>
  <c r="F42" i="47"/>
  <c r="E43" i="47"/>
  <c r="E35" i="12"/>
  <c r="E38" i="12" s="1"/>
  <c r="E11" i="20"/>
  <c r="E13" i="47"/>
  <c r="E42" i="47" s="1"/>
  <c r="D45" i="47"/>
  <c r="E35" i="11"/>
  <c r="E38" i="11" s="1"/>
  <c r="E22" i="14" s="1"/>
  <c r="F45" i="47"/>
  <c r="D11" i="20"/>
  <c r="F11" i="20"/>
  <c r="F19" i="14"/>
  <c r="F20" i="14" s="1"/>
  <c r="E34" i="15"/>
  <c r="E35" i="15" s="1"/>
  <c r="E38" i="15" s="1"/>
  <c r="F16" i="14"/>
  <c r="G45" i="47" l="1"/>
  <c r="E48" i="55"/>
  <c r="G48" i="55" s="1"/>
  <c r="G45" i="55"/>
  <c r="D47" i="56"/>
  <c r="C47" i="56"/>
  <c r="E42" i="12"/>
  <c r="D23" i="14" s="1"/>
  <c r="E39" i="12"/>
  <c r="E43" i="12" s="1"/>
  <c r="E44" i="12" s="1"/>
  <c r="D12" i="55" s="1"/>
  <c r="D44" i="55" s="1"/>
  <c r="E39" i="11"/>
  <c r="E43" i="11" s="1"/>
  <c r="E24" i="14" s="1"/>
  <c r="E42" i="11"/>
  <c r="E23" i="14" s="1"/>
  <c r="D22" i="14"/>
  <c r="F22" i="14"/>
  <c r="E42" i="15"/>
  <c r="E39" i="15"/>
  <c r="E43" i="15" s="1"/>
  <c r="E44" i="11" l="1"/>
  <c r="E45" i="11"/>
  <c r="E45" i="12"/>
  <c r="F23" i="14"/>
  <c r="E45" i="15"/>
  <c r="F24" i="14"/>
  <c r="E44" i="15"/>
  <c r="I13" i="50" l="1"/>
  <c r="F12" i="55"/>
  <c r="F44" i="55" s="1"/>
  <c r="G44" i="55" s="1"/>
  <c r="G13" i="50"/>
  <c r="E12" i="55"/>
  <c r="E44" i="55" s="1"/>
  <c r="I49" i="50"/>
  <c r="I50" i="50" s="1"/>
  <c r="I21" i="50"/>
  <c r="I35" i="50"/>
  <c r="I36" i="50" s="1"/>
  <c r="I28" i="50"/>
  <c r="I29" i="50" s="1"/>
  <c r="I42" i="50"/>
  <c r="I43" i="50" s="1"/>
  <c r="G42" i="50"/>
  <c r="G43" i="50" s="1"/>
  <c r="G35" i="50"/>
  <c r="G36" i="50" s="1"/>
  <c r="G21" i="50"/>
  <c r="G28" i="50"/>
  <c r="G29" i="50" s="1"/>
  <c r="G49" i="50"/>
  <c r="G50" i="50" s="1"/>
  <c r="E25" i="14"/>
  <c r="E10" i="20"/>
  <c r="E36" i="20" s="1"/>
  <c r="E12" i="47"/>
  <c r="E44" i="47" s="1"/>
  <c r="D24" i="14"/>
  <c r="E13" i="50"/>
  <c r="F12" i="47"/>
  <c r="F44" i="47" s="1"/>
  <c r="F10" i="20"/>
  <c r="F36" i="20" s="1"/>
  <c r="F25" i="14"/>
  <c r="G22" i="50" l="1"/>
  <c r="G55" i="50" s="1"/>
  <c r="G54" i="50"/>
  <c r="E28" i="50"/>
  <c r="E29" i="50" s="1"/>
  <c r="E49" i="50"/>
  <c r="E50" i="50" s="1"/>
  <c r="E21" i="50"/>
  <c r="E42" i="50"/>
  <c r="E43" i="50" s="1"/>
  <c r="E35" i="50"/>
  <c r="E36" i="50" s="1"/>
  <c r="I22" i="50"/>
  <c r="I55" i="50" s="1"/>
  <c r="I54" i="50"/>
  <c r="D12" i="47"/>
  <c r="D10" i="20"/>
  <c r="D36" i="20" s="1"/>
  <c r="G36" i="20" s="1"/>
  <c r="D25" i="14"/>
  <c r="E22" i="50" l="1"/>
  <c r="E55" i="50" s="1"/>
  <c r="K55" i="50" s="1"/>
  <c r="E54" i="50"/>
  <c r="K54" i="50" s="1"/>
  <c r="D44" i="47"/>
  <c r="G44" i="47" s="1"/>
</calcChain>
</file>

<file path=xl/comments1.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 OR enter a value in the "Impinger Water Weight" cell.</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2.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3.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4.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 xml:space="preserve">Temperature of the filter box or compartment, degrees F.
</t>
        </r>
      </text>
    </comment>
    <comment ref="N22" authorId="0" shapeId="0">
      <text>
        <r>
          <rPr>
            <i/>
            <sz val="12"/>
            <color indexed="81"/>
            <rFont val="Tahoma"/>
            <family val="2"/>
          </rPr>
          <t>Enter the final impinger or condenser exit temperature in degrees Fahrenheit.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 xml:space="preserve">Orifice pressure setting required for sampling isokinetically, inches water
</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5.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6.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7.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8.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comments9.xml><?xml version="1.0" encoding="utf-8"?>
<comments xmlns="http://schemas.openxmlformats.org/spreadsheetml/2006/main">
  <authors>
    <author>DEDerby</author>
    <author>Ron Myers</author>
  </authors>
  <commentList>
    <comment ref="B2" authorId="0" shapeId="0">
      <text>
        <r>
          <rPr>
            <i/>
            <sz val="12"/>
            <color indexed="81"/>
            <rFont val="Tahoma"/>
            <family val="2"/>
          </rPr>
          <t>Enter the name of the facility.</t>
        </r>
        <r>
          <rPr>
            <sz val="8"/>
            <color indexed="81"/>
            <rFont val="Tahoma"/>
            <family val="2"/>
          </rPr>
          <t xml:space="preserve">
</t>
        </r>
      </text>
    </comment>
    <comment ref="B4" authorId="0" shapeId="0">
      <text>
        <r>
          <rPr>
            <i/>
            <sz val="12"/>
            <color indexed="81"/>
            <rFont val="Tahoma"/>
            <family val="2"/>
          </rPr>
          <t>Enter the sampling location name, such as inlet, stack, ESP inlet, scrubber outlet, etc.</t>
        </r>
      </text>
    </comment>
    <comment ref="H4" authorId="0" shapeId="0">
      <text>
        <r>
          <rPr>
            <i/>
            <sz val="12"/>
            <color indexed="81"/>
            <rFont val="Tahoma"/>
            <family val="2"/>
          </rPr>
          <t>The method to be used to determine the analyte emissions is input here.</t>
        </r>
        <r>
          <rPr>
            <sz val="8"/>
            <color indexed="81"/>
            <rFont val="Tahoma"/>
            <family val="2"/>
          </rPr>
          <t xml:space="preserve">
</t>
        </r>
      </text>
    </comment>
    <comment ref="B5" authorId="0" shapeId="0">
      <text>
        <r>
          <rPr>
            <i/>
            <sz val="12"/>
            <color indexed="81"/>
            <rFont val="Tahoma"/>
            <family val="2"/>
          </rPr>
          <t>Enter the run number.</t>
        </r>
        <r>
          <rPr>
            <sz val="8"/>
            <color indexed="81"/>
            <rFont val="Tahoma"/>
            <family val="2"/>
          </rPr>
          <t xml:space="preserve">
</t>
        </r>
      </text>
    </comment>
    <comment ref="F5" authorId="0" shapeId="0">
      <text>
        <r>
          <rPr>
            <i/>
            <sz val="12"/>
            <color indexed="81"/>
            <rFont val="Tahoma"/>
            <family val="2"/>
          </rPr>
          <t>Enter the name of the operator performing the run.</t>
        </r>
        <r>
          <rPr>
            <sz val="8"/>
            <color indexed="81"/>
            <rFont val="Tahoma"/>
            <family val="2"/>
          </rPr>
          <t xml:space="preserve">
</t>
        </r>
      </text>
    </comment>
    <comment ref="J5" authorId="0" shapeId="0">
      <text>
        <r>
          <rPr>
            <i/>
            <sz val="12"/>
            <color indexed="81"/>
            <rFont val="Tahoma"/>
            <family val="2"/>
          </rPr>
          <t>Record the vacuum at which the Pre and Post sampling train leak checks were performed.</t>
        </r>
        <r>
          <rPr>
            <sz val="8"/>
            <color indexed="81"/>
            <rFont val="Tahoma"/>
            <family val="2"/>
          </rPr>
          <t xml:space="preserve">
</t>
        </r>
      </text>
    </comment>
    <comment ref="B6" authorId="0" shapeId="0">
      <text>
        <r>
          <rPr>
            <i/>
            <sz val="12"/>
            <color indexed="81"/>
            <rFont val="Tahoma"/>
            <family val="2"/>
          </rPr>
          <t>Enter the date that the run was performed.</t>
        </r>
        <r>
          <rPr>
            <sz val="8"/>
            <color indexed="81"/>
            <rFont val="Tahoma"/>
            <family val="2"/>
          </rPr>
          <t xml:space="preserve">
</t>
        </r>
      </text>
    </comment>
    <comment ref="J6" authorId="0" shapeId="0">
      <text>
        <r>
          <rPr>
            <i/>
            <sz val="12"/>
            <color indexed="81"/>
            <rFont val="Tahoma"/>
            <family val="2"/>
          </rPr>
          <t xml:space="preserve">Enter the value representing the total volume of all leak checks.
</t>
        </r>
      </text>
    </comment>
    <comment ref="B7" authorId="0" shapeId="0">
      <text>
        <r>
          <rPr>
            <i/>
            <sz val="12"/>
            <color indexed="81"/>
            <rFont val="Tahoma"/>
            <family val="2"/>
          </rPr>
          <t>Enter an appropriate identification value for each piece of equipment.</t>
        </r>
        <r>
          <rPr>
            <sz val="8"/>
            <color indexed="81"/>
            <rFont val="Tahoma"/>
            <family val="2"/>
          </rPr>
          <t xml:space="preserve">
</t>
        </r>
      </text>
    </comment>
    <comment ref="J7" authorId="0" shapeId="0">
      <text>
        <r>
          <rPr>
            <i/>
            <sz val="12"/>
            <color indexed="81"/>
            <rFont val="Tahoma"/>
            <family val="2"/>
          </rPr>
          <t>Record the Pre and Post test sampling train leak check rates.  For Method 5, the Post-test leak rate must be less than or equal to 0.02 acfm.</t>
        </r>
        <r>
          <rPr>
            <sz val="8"/>
            <color indexed="81"/>
            <rFont val="Tahoma"/>
            <family val="2"/>
          </rPr>
          <t xml:space="preserve">
</t>
        </r>
      </text>
    </comment>
    <comment ref="B8" authorId="1" shapeId="0">
      <text>
        <r>
          <rPr>
            <i/>
            <sz val="12"/>
            <color indexed="81"/>
            <rFont val="Tahoma"/>
            <family val="2"/>
          </rPr>
          <t xml:space="preserve">The Dry Gas Meter is a specialized flow meter, used to measure the volume of the extracted stack gas. THe Gas Meter measures a defined volume, regardless of the pressurized quantity or quality of the gas flowing through the meter. Temperature and pressure compensation must be made to measure the standard volume of gas moving through the meter.The ID is needed </t>
        </r>
      </text>
    </comment>
    <comment ref="J8" authorId="0" shapeId="0">
      <text>
        <r>
          <rPr>
            <i/>
            <sz val="12"/>
            <color indexed="81"/>
            <rFont val="Tahoma"/>
            <family val="2"/>
          </rPr>
          <t xml:space="preserve">Record the Pre and Post-test leak check results, as applicable.
</t>
        </r>
      </text>
    </comment>
    <comment ref="B9" authorId="0" shapeId="0">
      <text>
        <r>
          <rPr>
            <i/>
            <sz val="12"/>
            <color indexed="81"/>
            <rFont val="Tahoma"/>
            <family val="2"/>
          </rPr>
          <t>Reagent Box, optional.  A reagent box is a container that is sealable (for custody purposes) and is used to transport multiple recovered samples.</t>
        </r>
        <r>
          <rPr>
            <sz val="8"/>
            <color indexed="81"/>
            <rFont val="Tahoma"/>
            <family val="2"/>
          </rPr>
          <t xml:space="preserve">
</t>
        </r>
      </text>
    </comment>
    <comment ref="F9" authorId="0" shapeId="0">
      <text>
        <r>
          <rPr>
            <i/>
            <sz val="12"/>
            <color indexed="81"/>
            <rFont val="Tahoma"/>
            <family val="2"/>
          </rPr>
          <t>This is the dry gas meter correction coefficient, gamma, of an isokinetic sampling train meterbox (such as used for Method 5 sampling).  The value should be between 0.95 and 1.05.</t>
        </r>
      </text>
    </comment>
    <comment ref="J9" authorId="0" shapeId="0">
      <text>
        <r>
          <rPr>
            <i/>
            <sz val="12"/>
            <color indexed="81"/>
            <rFont val="Tahoma"/>
            <family val="2"/>
          </rPr>
          <t>Nozzle inspections for dents, nicks, etc.</t>
        </r>
        <r>
          <rPr>
            <sz val="8"/>
            <color indexed="81"/>
            <rFont val="Tahoma"/>
            <family val="2"/>
          </rPr>
          <t xml:space="preserve">
</t>
        </r>
      </text>
    </comment>
    <comment ref="B10" authorId="0" shapeId="0">
      <text>
        <r>
          <rPr>
            <i/>
            <sz val="12"/>
            <color indexed="81"/>
            <rFont val="Tahoma"/>
            <family val="2"/>
          </rPr>
          <t>Sample gas transport line from the sample box to the meterbox, optional.  The umbilical usually consists of bundled tubing, thermocouple, electrical lines, etc., used to control the probe and sample box filter temperatures.</t>
        </r>
        <r>
          <rPr>
            <sz val="8"/>
            <color indexed="81"/>
            <rFont val="Tahoma"/>
            <family val="2"/>
          </rPr>
          <t xml:space="preserve">
</t>
        </r>
      </text>
    </comment>
    <comment ref="F10" authorId="0" shapeId="0">
      <text>
        <r>
          <rPr>
            <i/>
            <sz val="12"/>
            <color indexed="81"/>
            <rFont val="Tahoma"/>
            <family val="2"/>
          </rPr>
          <t>This is the orifice coefficient of an isokinetic sampling train meterbox (such as used for Method 5 sampling).</t>
        </r>
      </text>
    </comment>
    <comment ref="J10" authorId="0" shapeId="0">
      <text>
        <r>
          <rPr>
            <i/>
            <sz val="12"/>
            <color indexed="81"/>
            <rFont val="Tahoma"/>
            <family val="2"/>
          </rPr>
          <t>Record the Pre and Post-test results of the thermocouple check, as applicable.</t>
        </r>
      </text>
    </comment>
    <comment ref="B11" authorId="0" shapeId="0">
      <text>
        <r>
          <rPr>
            <i/>
            <sz val="12"/>
            <color indexed="81"/>
            <rFont val="Tahoma"/>
            <family val="2"/>
          </rPr>
          <t>The ID of the thermocouple device used for monitoring the stack gas temperature.  The ID is necessary for calibration documentation purposes</t>
        </r>
        <r>
          <rPr>
            <sz val="8"/>
            <color indexed="81"/>
            <rFont val="Tahoma"/>
            <family val="2"/>
          </rPr>
          <t xml:space="preserve">
</t>
        </r>
      </text>
    </comment>
    <comment ref="F11" authorId="0" shapeId="0">
      <text>
        <r>
          <rPr>
            <i/>
            <sz val="12"/>
            <color indexed="81"/>
            <rFont val="Tahoma"/>
            <family val="2"/>
          </rPr>
          <t>This is the pitot tube coefficient and is usually 0.84 for S-type pitots and 0.99 for standard pitots.</t>
        </r>
        <r>
          <rPr>
            <sz val="8"/>
            <color indexed="81"/>
            <rFont val="Tahoma"/>
            <family val="2"/>
          </rPr>
          <t xml:space="preserve">
</t>
        </r>
      </text>
    </comment>
    <comment ref="B12" authorId="0" shapeId="0">
      <text>
        <r>
          <rPr>
            <i/>
            <sz val="12"/>
            <color indexed="81"/>
            <rFont val="Tahoma"/>
            <family val="2"/>
          </rPr>
          <t>The ID of a Tedlar bag, if used.  Optional.</t>
        </r>
      </text>
    </comment>
    <comment ref="F12" authorId="0" shapeId="0">
      <text>
        <r>
          <rPr>
            <i/>
            <sz val="12"/>
            <color indexed="81"/>
            <rFont val="Tahoma"/>
            <family val="2"/>
          </rPr>
          <t>This is the nozzle diameter, inches.</t>
        </r>
        <r>
          <rPr>
            <sz val="8"/>
            <color indexed="81"/>
            <rFont val="Tahoma"/>
            <family val="2"/>
          </rPr>
          <t xml:space="preserve">
</t>
        </r>
      </text>
    </comment>
    <comment ref="B13" authorId="0" shapeId="0">
      <text>
        <r>
          <rPr>
            <i/>
            <sz val="12"/>
            <color indexed="81"/>
            <rFont val="Tahoma"/>
            <family val="2"/>
          </rPr>
          <t>The ID of the pump used for filling a Tedlar bag, for example.  Optional.</t>
        </r>
        <r>
          <rPr>
            <sz val="8"/>
            <color indexed="81"/>
            <rFont val="Tahoma"/>
            <family val="2"/>
          </rPr>
          <t xml:space="preserve">
</t>
        </r>
      </text>
    </comment>
    <comment ref="K13" authorId="0" shapeId="0">
      <text>
        <r>
          <rPr>
            <i/>
            <sz val="12"/>
            <color indexed="81"/>
            <rFont val="Tahoma"/>
            <family val="2"/>
          </rPr>
          <t>Select the units of measure for the impinger moisture readings.</t>
        </r>
        <r>
          <rPr>
            <sz val="8"/>
            <color indexed="81"/>
            <rFont val="Tahoma"/>
            <family val="2"/>
          </rPr>
          <t xml:space="preserve">
</t>
        </r>
      </text>
    </comment>
    <comment ref="N13" authorId="0" shapeId="0">
      <text>
        <r>
          <rPr>
            <i/>
            <sz val="12"/>
            <color indexed="81"/>
            <rFont val="Tahoma"/>
            <family val="2"/>
          </rPr>
          <t xml:space="preserve">Was a micro-manometer used for flow rate measurement?
</t>
        </r>
      </text>
    </comment>
    <comment ref="J14" authorId="0" shapeId="0">
      <text>
        <r>
          <rPr>
            <i/>
            <sz val="12"/>
            <color indexed="81"/>
            <rFont val="Tahoma"/>
            <family val="2"/>
          </rPr>
          <t>Enter the initial and final moisture readings for impinger 1.</t>
        </r>
      </text>
    </comment>
    <comment ref="N14" authorId="0" shapeId="0">
      <text>
        <r>
          <rPr>
            <i/>
            <sz val="12"/>
            <color indexed="81"/>
            <rFont val="Tahoma"/>
            <family val="2"/>
          </rPr>
          <t>Enter sensitivity of micro-manometer if used.</t>
        </r>
      </text>
    </comment>
    <comment ref="B15" authorId="0" shapeId="0">
      <text>
        <r>
          <rPr>
            <i/>
            <sz val="12"/>
            <color indexed="81"/>
            <rFont val="Tahoma"/>
            <family val="2"/>
          </rPr>
          <t>The nozzle ID.</t>
        </r>
        <r>
          <rPr>
            <sz val="8"/>
            <color indexed="81"/>
            <rFont val="Tahoma"/>
            <family val="2"/>
          </rPr>
          <t xml:space="preserve">
</t>
        </r>
      </text>
    </comment>
    <comment ref="F15" authorId="0" shapeId="0">
      <text>
        <r>
          <rPr>
            <i/>
            <sz val="12"/>
            <color indexed="81"/>
            <rFont val="Tahoma"/>
            <family val="2"/>
          </rPr>
          <t>Input the barometric pressure of the sampling location.  If the pressure is at sea level, remember to adjust the pressure for the elevation of the location above sea level.  A 0.1 inches Hg decrease for every 100 feet of elevation is typically used.</t>
        </r>
        <r>
          <rPr>
            <sz val="8"/>
            <color indexed="81"/>
            <rFont val="Tahoma"/>
            <family val="2"/>
          </rPr>
          <t xml:space="preserve">
</t>
        </r>
      </text>
    </comment>
    <comment ref="J15" authorId="0" shapeId="0">
      <text>
        <r>
          <rPr>
            <i/>
            <sz val="12"/>
            <color indexed="81"/>
            <rFont val="Tahoma"/>
            <family val="2"/>
          </rPr>
          <t>Enter the initial and final moisture readings for impinger 2.</t>
        </r>
      </text>
    </comment>
    <comment ref="J16" authorId="0" shapeId="0">
      <text>
        <r>
          <rPr>
            <i/>
            <sz val="12"/>
            <color indexed="81"/>
            <rFont val="Tahoma"/>
            <family val="2"/>
          </rPr>
          <t>Enter the initial and final moisture readings for impinger 3.</t>
        </r>
      </text>
    </comment>
    <comment ref="F17" authorId="0" shapeId="0">
      <text>
        <r>
          <rPr>
            <i/>
            <sz val="12"/>
            <color indexed="81"/>
            <rFont val="Tahoma"/>
            <family val="2"/>
          </rPr>
          <t>Record the static pressure, inches of water, of the sampling location.</t>
        </r>
      </text>
    </comment>
    <comment ref="J17" authorId="0" shapeId="0">
      <text>
        <r>
          <rPr>
            <i/>
            <sz val="12"/>
            <color indexed="81"/>
            <rFont val="Tahoma"/>
            <family val="2"/>
          </rPr>
          <t>Enter the initial and final moisture readings for impinger 4.</t>
        </r>
        <r>
          <rPr>
            <sz val="8"/>
            <color indexed="81"/>
            <rFont val="Tahoma"/>
            <family val="2"/>
          </rPr>
          <t xml:space="preserve">
</t>
        </r>
      </text>
    </comment>
    <comment ref="B18" authorId="0" shapeId="0">
      <text>
        <r>
          <rPr>
            <i/>
            <sz val="12"/>
            <color indexed="81"/>
            <rFont val="Tahoma"/>
            <family val="2"/>
          </rPr>
          <t>For particulate sampling, the filters used have a unique identification.  Record the number here.</t>
        </r>
        <r>
          <rPr>
            <sz val="8"/>
            <color indexed="81"/>
            <rFont val="Tahoma"/>
            <family val="2"/>
          </rPr>
          <t xml:space="preserve">
</t>
        </r>
      </text>
    </comment>
    <comment ref="J18" authorId="0" shapeId="0">
      <text>
        <r>
          <rPr>
            <i/>
            <sz val="12"/>
            <color indexed="81"/>
            <rFont val="Tahoma"/>
            <family val="2"/>
          </rPr>
          <t>Enter the initial and final moisture readings for impinger 5.</t>
        </r>
      </text>
    </comment>
    <comment ref="B19" authorId="0" shapeId="0">
      <text>
        <r>
          <rPr>
            <i/>
            <sz val="12"/>
            <color indexed="81"/>
            <rFont val="Tahoma"/>
            <family val="2"/>
          </rPr>
          <t>If two filters are used, record the second ID here.</t>
        </r>
        <r>
          <rPr>
            <sz val="8"/>
            <color indexed="81"/>
            <rFont val="Tahoma"/>
            <family val="2"/>
          </rPr>
          <t xml:space="preserve">
</t>
        </r>
      </text>
    </comment>
    <comment ref="F19" authorId="0" shapeId="0">
      <text>
        <r>
          <rPr>
            <i/>
            <sz val="12"/>
            <color indexed="81"/>
            <rFont val="Tahoma"/>
            <family val="2"/>
          </rPr>
          <t>Record the oxygen percent of the gas stream tested.</t>
        </r>
        <r>
          <rPr>
            <sz val="8"/>
            <color indexed="81"/>
            <rFont val="Tahoma"/>
            <family val="2"/>
          </rPr>
          <t xml:space="preserve">
</t>
        </r>
      </text>
    </comment>
    <comment ref="J19" authorId="0" shapeId="0">
      <text>
        <r>
          <rPr>
            <i/>
            <sz val="12"/>
            <color indexed="81"/>
            <rFont val="Tahoma"/>
            <family val="2"/>
          </rPr>
          <t>Enter the initial and final moisture readings for impinger 6.</t>
        </r>
        <r>
          <rPr>
            <sz val="8"/>
            <color indexed="81"/>
            <rFont val="Tahoma"/>
            <family val="2"/>
          </rPr>
          <t xml:space="preserve">
</t>
        </r>
      </text>
    </comment>
    <comment ref="B20" authorId="0" shapeId="0">
      <text>
        <r>
          <rPr>
            <i/>
            <sz val="12"/>
            <color indexed="81"/>
            <rFont val="Tahoma"/>
            <family val="2"/>
          </rPr>
          <t>If three filters are used, record the third filter ID here.</t>
        </r>
        <r>
          <rPr>
            <sz val="8"/>
            <color indexed="81"/>
            <rFont val="Tahoma"/>
            <family val="2"/>
          </rPr>
          <t xml:space="preserve">
</t>
        </r>
      </text>
    </comment>
    <comment ref="F20" authorId="0" shapeId="0">
      <text>
        <r>
          <rPr>
            <i/>
            <sz val="12"/>
            <color indexed="81"/>
            <rFont val="Tahoma"/>
            <family val="2"/>
          </rPr>
          <t>Record the carbon dioxide percent of the gas stream tested.</t>
        </r>
      </text>
    </comment>
    <comment ref="J20" authorId="0" shapeId="0">
      <text>
        <r>
          <rPr>
            <i/>
            <sz val="12"/>
            <color indexed="81"/>
            <rFont val="Tahoma"/>
            <family val="2"/>
          </rPr>
          <t>Enter the initial and final moisture readings for silica gel.</t>
        </r>
        <r>
          <rPr>
            <sz val="8"/>
            <color indexed="81"/>
            <rFont val="Tahoma"/>
            <family val="2"/>
          </rPr>
          <t xml:space="preserve">
</t>
        </r>
      </text>
    </comment>
    <comment ref="N20" authorId="0" shapeId="0">
      <text>
        <r>
          <rPr>
            <i/>
            <sz val="12"/>
            <color indexed="81"/>
            <rFont val="Tahoma"/>
            <family val="2"/>
          </rPr>
          <t>The volume or mass of the reagents increase in the impingers of an isokinetic sampling train is input here. This value is calculated from the impinger and silica gel weights entered above or can be entered directly.</t>
        </r>
      </text>
    </comment>
    <comment ref="B22" authorId="0" shapeId="0">
      <text>
        <r>
          <rPr>
            <i/>
            <sz val="12"/>
            <color indexed="81"/>
            <rFont val="Tahoma"/>
            <family val="2"/>
          </rPr>
          <t>The sampling point label, such as A1, A-1, D-2, etc.</t>
        </r>
        <r>
          <rPr>
            <sz val="8"/>
            <color indexed="81"/>
            <rFont val="Tahoma"/>
            <family val="2"/>
          </rPr>
          <t xml:space="preserve">
</t>
        </r>
      </text>
    </comment>
    <comment ref="E22" authorId="0" shapeId="0">
      <text>
        <r>
          <rPr>
            <i/>
            <sz val="12"/>
            <color indexed="81"/>
            <rFont val="Tahoma"/>
            <family val="2"/>
          </rPr>
          <t>This is the actual clock time at the start of sampling at a point.  
Necessary for non-isokinetic methods, see instructions.</t>
        </r>
      </text>
    </comment>
    <comment ref="F22" authorId="0" shapeId="0">
      <text>
        <r>
          <rPr>
            <i/>
            <sz val="12"/>
            <color indexed="81"/>
            <rFont val="Tahoma"/>
            <family val="2"/>
          </rPr>
          <t xml:space="preserve">This is the Dry Gas Meter volume reading at the beginning of the sampling at a point.  This means that the final volume reading is recorded in a row without a Point label and no other recorded point data.  Sometimes the sampling data is recorded at the end of sampling at a point which would require that the first volume reading is recorded without any other sampling data. Necessary for non-isokinetic methods, see instructions.
</t>
        </r>
      </text>
    </comment>
    <comment ref="G22" authorId="0" shapeId="0">
      <text>
        <r>
          <rPr>
            <i/>
            <sz val="12"/>
            <color indexed="81"/>
            <rFont val="Tahoma"/>
            <family val="2"/>
          </rPr>
          <t xml:space="preserve">The velocity pressure (delta p) is expressed in inches of water.
</t>
        </r>
      </text>
    </comment>
    <comment ref="J22" authorId="0" shapeId="0">
      <text>
        <r>
          <rPr>
            <i/>
            <sz val="12"/>
            <color indexed="81"/>
            <rFont val="Tahoma"/>
            <family val="2"/>
          </rPr>
          <t xml:space="preserve">Stack temperature is the temperature of the effluent gas at the sampling point and is expressed as degrees Fahrenheit.
</t>
        </r>
      </text>
    </comment>
    <comment ref="K22" authorId="0" shapeId="0">
      <text>
        <r>
          <rPr>
            <i/>
            <sz val="12"/>
            <color indexed="81"/>
            <rFont val="Tahoma"/>
            <family val="2"/>
          </rPr>
          <t>Temperature of the sampling probe, degrees F. Necessary for non-isokinetic methods, see instructions.</t>
        </r>
      </text>
    </comment>
    <comment ref="L22" authorId="0" shapeId="0">
      <text>
        <r>
          <rPr>
            <i/>
            <sz val="12"/>
            <color indexed="81"/>
            <rFont val="Tahoma"/>
            <family val="2"/>
          </rPr>
          <t>Temperature of the filter box or compartment.</t>
        </r>
      </text>
    </comment>
    <comment ref="N22" authorId="0" shapeId="0">
      <text>
        <r>
          <rPr>
            <i/>
            <sz val="12"/>
            <color indexed="81"/>
            <rFont val="Tahoma"/>
            <family val="2"/>
          </rPr>
          <t>Enter the final impinger or condenser exit temperature.
 Necessary for non-isokinetic methods, see instructions.</t>
        </r>
      </text>
    </comment>
    <comment ref="Q22" authorId="0" shapeId="0">
      <text>
        <r>
          <rPr>
            <i/>
            <sz val="12"/>
            <color indexed="81"/>
            <rFont val="Tahoma"/>
            <family val="2"/>
          </rPr>
          <t>Vacuum of the sampling pump, inches mercury. Necessary for non-isokinetic methods, see instructions.</t>
        </r>
      </text>
    </comment>
    <comment ref="R22" authorId="0" shapeId="0">
      <text>
        <r>
          <rPr>
            <i/>
            <sz val="12"/>
            <color indexed="81"/>
            <rFont val="Tahoma"/>
            <family val="2"/>
          </rPr>
          <t xml:space="preserve">Sample flow rate.
</t>
        </r>
      </text>
    </comment>
    <comment ref="C23" authorId="0" shapeId="0">
      <text>
        <r>
          <rPr>
            <i/>
            <sz val="12"/>
            <color indexed="81"/>
            <rFont val="Tahoma"/>
            <family val="2"/>
          </rPr>
          <t>The cumulative sampling time that sampling at the sample point was started, in minutes.  Port changes DO NOT reset the time to zero (0).</t>
        </r>
        <r>
          <rPr>
            <sz val="8"/>
            <color indexed="81"/>
            <rFont val="Tahoma"/>
            <family val="2"/>
          </rPr>
          <t xml:space="preserve">
</t>
        </r>
      </text>
    </comment>
    <comment ref="D23" authorId="0" shapeId="0">
      <text>
        <r>
          <rPr>
            <i/>
            <sz val="12"/>
            <color indexed="81"/>
            <rFont val="Tahoma"/>
            <family val="2"/>
          </rPr>
          <t xml:space="preserve">The cumulative sampling time that sampling at the sample point was ended and is the begin time plus the sampling time per point.
</t>
        </r>
      </text>
    </comment>
    <comment ref="H23" authorId="0" shapeId="0">
      <text>
        <r>
          <rPr>
            <i/>
            <sz val="12"/>
            <color indexed="81"/>
            <rFont val="Tahoma"/>
            <family val="2"/>
          </rPr>
          <t>Orifice pressure setting required for sampling isokinetically.</t>
        </r>
      </text>
    </comment>
    <comment ref="I23" authorId="0" shapeId="0">
      <text>
        <r>
          <rPr>
            <i/>
            <sz val="12"/>
            <color indexed="81"/>
            <rFont val="Tahoma"/>
            <family val="2"/>
          </rPr>
          <t xml:space="preserve">Orifice pressure actually sampled or reached, inches water
</t>
        </r>
      </text>
    </comment>
    <comment ref="L23" authorId="0" shapeId="0">
      <text>
        <r>
          <rPr>
            <i/>
            <sz val="12"/>
            <color indexed="81"/>
            <rFont val="Tahoma"/>
            <family val="2"/>
          </rPr>
          <t xml:space="preserve">Filter inlet temperature or box temperature.
</t>
        </r>
      </text>
    </comment>
    <comment ref="M23" authorId="0" shapeId="0">
      <text>
        <r>
          <rPr>
            <i/>
            <sz val="12"/>
            <color indexed="81"/>
            <rFont val="Tahoma"/>
            <family val="2"/>
          </rPr>
          <t xml:space="preserve">Filter outlet temperature only.
</t>
        </r>
      </text>
    </comment>
    <comment ref="O23" authorId="0" shapeId="0">
      <text>
        <r>
          <rPr>
            <i/>
            <sz val="12"/>
            <color indexed="81"/>
            <rFont val="Tahoma"/>
            <family val="2"/>
          </rPr>
          <t>Dry gas meter inlet gas temperature, expressed as degrees Fahrenheit.
 Necessary for non-isokinetic methods, see instructions.</t>
        </r>
      </text>
    </comment>
    <comment ref="P23" authorId="0" shapeId="0">
      <text>
        <r>
          <rPr>
            <i/>
            <sz val="12"/>
            <color indexed="81"/>
            <rFont val="Tahoma"/>
            <family val="2"/>
          </rPr>
          <t xml:space="preserve">Dry gas meter outlet gas temperature, expressed as degrees Fahrenheit. Necessary for non-isokinetic methods, see instructions.
</t>
        </r>
      </text>
    </comment>
  </commentList>
</comments>
</file>

<file path=xl/sharedStrings.xml><?xml version="1.0" encoding="utf-8"?>
<sst xmlns="http://schemas.openxmlformats.org/spreadsheetml/2006/main" count="1431" uniqueCount="454">
  <si>
    <t>Run</t>
  </si>
  <si>
    <t>1</t>
  </si>
  <si>
    <t>2</t>
  </si>
  <si>
    <t>Date</t>
  </si>
  <si>
    <t>Time</t>
  </si>
  <si>
    <t xml:space="preserve">Stack Flowrate (DSCFM)(A)           </t>
  </si>
  <si>
    <t xml:space="preserve">Stack Moisture (%) (B)                  </t>
  </si>
  <si>
    <t xml:space="preserve">Correct to </t>
  </si>
  <si>
    <t>Oxygen</t>
  </si>
  <si>
    <t>Averages</t>
  </si>
  <si>
    <t>Allowables</t>
  </si>
  <si>
    <t>ppmv, dry at</t>
  </si>
  <si>
    <t>Equations:</t>
  </si>
  <si>
    <t>Carbon Monoxide (CO) Molar Mass = (E)</t>
  </si>
  <si>
    <t>% O2 (C)</t>
  </si>
  <si>
    <t>%, dry (I), uncorrected</t>
  </si>
  <si>
    <t>Average Zero Response (ppmv)(F)</t>
  </si>
  <si>
    <t>Average Upscale Response (ppmv)(G)</t>
  </si>
  <si>
    <t>Upscale Standard Value (ppmv)(H)</t>
  </si>
  <si>
    <t>ppmv, dry (I), uncorrected</t>
  </si>
  <si>
    <t>(A) = Instack Flow Rate as Measured By USEPA Methods 1 through 4 (See Stack Flow Calculations Sheets)</t>
  </si>
  <si>
    <t>(B) = Instack Moisture as Measured By USEPA Method 4. (See Stack Flow Calculations Sheets)</t>
  </si>
  <si>
    <t>Definitions:</t>
  </si>
  <si>
    <t>(F) = Analyzer response to zero gas.</t>
  </si>
  <si>
    <t>(G) = Analyzer response to span gas.</t>
  </si>
  <si>
    <t>(H) = Span gas value.</t>
  </si>
  <si>
    <t>EMISSION CALCULATIONS</t>
  </si>
  <si>
    <t>(D) = USEPA Method 19 F-Factor.</t>
  </si>
  <si>
    <t>ppmv, dry (K), corrected</t>
  </si>
  <si>
    <t>pounds/hour (L)</t>
  </si>
  <si>
    <t>% O2 (M)</t>
  </si>
  <si>
    <t>(J or K)=(I-F)(H)/(G-F)</t>
  </si>
  <si>
    <t>(L) = (A)(K, P1, or P3)(E)(60 min/hr)(1lb-mol/386.8 ft3)(10^-6)</t>
  </si>
  <si>
    <t>DASYLab - V 7.00.00</t>
  </si>
  <si>
    <t>Block Length       : 1</t>
  </si>
  <si>
    <t>Delta              : 30 sec.</t>
  </si>
  <si>
    <t>AVERAGES</t>
  </si>
  <si>
    <t>ISOKINETIC SAMPLE CALCULATIONS</t>
  </si>
  <si>
    <t>Client Name:</t>
  </si>
  <si>
    <t>Traverse</t>
  </si>
  <si>
    <t>Delta-P</t>
  </si>
  <si>
    <t>Delta-H</t>
  </si>
  <si>
    <t>Gas Meter Temps.</t>
  </si>
  <si>
    <t>Stack</t>
  </si>
  <si>
    <t>Square</t>
  </si>
  <si>
    <t>K factor</t>
  </si>
  <si>
    <t>Jobsite:</t>
  </si>
  <si>
    <t>Point No.</t>
  </si>
  <si>
    <t>("H2O)</t>
  </si>
  <si>
    <t>Inlet</t>
  </si>
  <si>
    <t>Outlet</t>
  </si>
  <si>
    <t>Temp.</t>
  </si>
  <si>
    <t>Root of</t>
  </si>
  <si>
    <t xml:space="preserve">      Emission Source(s):</t>
  </si>
  <si>
    <t>(deg. F)</t>
  </si>
  <si>
    <t>Date:</t>
  </si>
  <si>
    <t xml:space="preserve">       Sampling Location:</t>
  </si>
  <si>
    <t>Outlet Stack</t>
  </si>
  <si>
    <t>3</t>
  </si>
  <si>
    <t>Impinger Weights</t>
  </si>
  <si>
    <t>Run No.:</t>
  </si>
  <si>
    <t>4</t>
  </si>
  <si>
    <t>Final Wt</t>
  </si>
  <si>
    <t>Initial Wt</t>
  </si>
  <si>
    <t>Gain</t>
  </si>
  <si>
    <t>Run Times:</t>
  </si>
  <si>
    <t>5</t>
  </si>
  <si>
    <t>6</t>
  </si>
  <si>
    <t xml:space="preserve">               Input Data:</t>
  </si>
  <si>
    <t>7</t>
  </si>
  <si>
    <t>Beginning Meter Setting (Cubic feet):</t>
  </si>
  <si>
    <t>8</t>
  </si>
  <si>
    <t>Ending Meter Setting (Cubic feet):</t>
  </si>
  <si>
    <t>9</t>
  </si>
  <si>
    <t>Total Metered Volume (Cubic Feet) [Vm]:</t>
  </si>
  <si>
    <t>10</t>
  </si>
  <si>
    <t>Total Water Caught (grams) [Wc]:</t>
  </si>
  <si>
    <t>11</t>
  </si>
  <si>
    <t>Stack Static Pressure ("H2O) [Ps]:</t>
  </si>
  <si>
    <t>12</t>
  </si>
  <si>
    <t>Barometric Pressure ("Hg) [Pb]:</t>
  </si>
  <si>
    <t>13</t>
  </si>
  <si>
    <t>14</t>
  </si>
  <si>
    <t>Oxygen (%) [O2]:</t>
  </si>
  <si>
    <t>15</t>
  </si>
  <si>
    <t>Nozzle Diameter (inches) [Dn]:</t>
  </si>
  <si>
    <t>16</t>
  </si>
  <si>
    <t>Pitot Tube Factor [Cp]:</t>
  </si>
  <si>
    <t>17</t>
  </si>
  <si>
    <t>Meter Correction Factor [Y]:</t>
  </si>
  <si>
    <t>18</t>
  </si>
  <si>
    <t>Stack Inside Diameter (in) [ID]:</t>
  </si>
  <si>
    <t>19</t>
  </si>
  <si>
    <t>Stack Cross-Section Area (Square Feet) [CSA]:</t>
  </si>
  <si>
    <t>20</t>
  </si>
  <si>
    <t>Total Sample Time (minutes) [min]:</t>
  </si>
  <si>
    <t>21</t>
  </si>
  <si>
    <t>22</t>
  </si>
  <si>
    <t>23</t>
  </si>
  <si>
    <t>24</t>
  </si>
  <si>
    <t xml:space="preserve">               Output Data:</t>
  </si>
  <si>
    <t>Metered Volume (dry cubic feet @stp)[Vms]:</t>
  </si>
  <si>
    <t>[H]</t>
  </si>
  <si>
    <t>[Tm]</t>
  </si>
  <si>
    <t>[Ts]</t>
  </si>
  <si>
    <t>[dP]</t>
  </si>
  <si>
    <t>Water Volume (cubic feet @ stp) [Vws]:</t>
  </si>
  <si>
    <t>Moisture (%) [Bws]:</t>
  </si>
  <si>
    <t>Dry Molecular Weight (lb/lb-mol) [MWd]:</t>
  </si>
  <si>
    <t>Wet Molecular Weight (lb/lb-mol) [MWw]:</t>
  </si>
  <si>
    <t>Absolute Stack Pressure ("Hg) [Pa]:</t>
  </si>
  <si>
    <t>This Spreadsheet Uses The Following Equations/Calculations:</t>
  </si>
  <si>
    <t>Gas Velocities (feet/second)</t>
  </si>
  <si>
    <t>Vms = (Vm)(Y)((A+460)/B)((H / 13.6)+(Pb))/(Tm + 460)</t>
  </si>
  <si>
    <t>Stack - Actual [Vsa]:</t>
  </si>
  <si>
    <t>Vws = (Wc) / 21.2</t>
  </si>
  <si>
    <t>Stack - @ stp [Vss]:</t>
  </si>
  <si>
    <t>Bws = (100)(Vws)/(Vws + Vms)</t>
  </si>
  <si>
    <t>Nozzle - Actual [Vn]:</t>
  </si>
  <si>
    <t>MWd = ((0.44)(CO2))+((0.32)(O2))+((0.28)(100-(CO2 + O2)))</t>
  </si>
  <si>
    <t>Stack Flowrate (cubic feet/ minute)</t>
  </si>
  <si>
    <t>MWw = (0.18)(Bws)+((100 - Bws)(MWd) / 100)</t>
  </si>
  <si>
    <t>Actual [ACFM]:</t>
  </si>
  <si>
    <t>Pa = Pb + ((Ps) / 13.6)</t>
  </si>
  <si>
    <t>@ stp [SCFM]:</t>
  </si>
  <si>
    <t>Vsa = (85.49)(Cp)(dP)((Ts+460)/((MWw)(Pa)))^0.5</t>
  </si>
  <si>
    <t>Dry @ stp [DSCFM]:</t>
  </si>
  <si>
    <t>Vss = ((A+460)/B)(Vsa)(Pa)/((Ts) + 460)</t>
  </si>
  <si>
    <t>Sample Isokinetics (%) [I]:</t>
  </si>
  <si>
    <t>ACFM = (Vsa)(CSA)(60)</t>
  </si>
  <si>
    <t>SCFM = (Vss)(CSA)(60)</t>
  </si>
  <si>
    <t>DSCFM = (SCFM)(100 - (Bws) / 100)</t>
  </si>
  <si>
    <t xml:space="preserve">STP = Standard Conditions = </t>
  </si>
  <si>
    <t>Deg F (A)</t>
  </si>
  <si>
    <t>Vn = (Vms + Vws)/(((Dn / 2)^2)(3.14 / 144)(min)(60))</t>
  </si>
  <si>
    <t>"Hg (B)</t>
  </si>
  <si>
    <t>I = (Vn / Vss)(100)</t>
  </si>
  <si>
    <t>Total Suspended Particulate Emission Calculator</t>
  </si>
  <si>
    <t>Stack Flowrate (DSCFM) (A)</t>
  </si>
  <si>
    <t>Stack Moisture (%) (B)</t>
  </si>
  <si>
    <t>Meter Volume (DSCF) (C)</t>
  </si>
  <si>
    <t>Stack Oxygen (%) (D)</t>
  </si>
  <si>
    <t>Fuel F-Factor -EPA M19 (dscf/mmBTU) (E1)</t>
  </si>
  <si>
    <t xml:space="preserve">Correct to What % O2? </t>
  </si>
  <si>
    <t>(D1)</t>
  </si>
  <si>
    <t>Front-Half Analytical Results - P&amp;N Wash + Filter (Grams)</t>
  </si>
  <si>
    <t>ALLOWABLE</t>
  </si>
  <si>
    <t>Concentrations and Emissions:</t>
  </si>
  <si>
    <t xml:space="preserve">   Grains/scf (R)</t>
  </si>
  <si>
    <t xml:space="preserve">   Grains/dscf (S)</t>
  </si>
  <si>
    <t xml:space="preserve">   Pounds/hour (T)</t>
  </si>
  <si>
    <t>(R) = (S)(100 - B) / 100</t>
  </si>
  <si>
    <t>RUN</t>
  </si>
  <si>
    <t>DATE</t>
  </si>
  <si>
    <t>TIME</t>
  </si>
  <si>
    <t>STACK INSIDE DIAMETER (in)</t>
  </si>
  <si>
    <t>STACK CROSS SECTION (sq ft)</t>
  </si>
  <si>
    <t>BAROMETRIC PRESSURE</t>
  </si>
  <si>
    <t>MOISTURE (% vol)</t>
  </si>
  <si>
    <t>AVG. ACTUAL VELOCITY (ft/sec)</t>
  </si>
  <si>
    <t>ACTUAL FLOW RATE (acfm)</t>
  </si>
  <si>
    <t>STD FLOW RATE (scfm)</t>
  </si>
  <si>
    <t>DRY STD FLOW RATE (dscfm)</t>
  </si>
  <si>
    <t>AVERAGE</t>
  </si>
  <si>
    <t>(E) = Molar mass of compound in lb/lb-mole.</t>
  </si>
  <si>
    <t>Allowable</t>
  </si>
  <si>
    <t>Mercury Emission Calculator</t>
  </si>
  <si>
    <t>Mercury (EPA M29/Multi-metals)</t>
  </si>
  <si>
    <t>Meter Volume (DSCF)(A)</t>
  </si>
  <si>
    <t>Stack Flow (DSCFM)(B)</t>
  </si>
  <si>
    <t>Oxygen content (%) (I)</t>
  </si>
  <si>
    <t>Front-Half Filter &amp; Probe Rinse (Containers 1 &amp; 3) (Analytical Fraction - 1B)</t>
  </si>
  <si>
    <t>Sample (ug) (C1)</t>
  </si>
  <si>
    <t>Blank (ug) (D1)</t>
  </si>
  <si>
    <t>Net (micrograms) (E1)</t>
  </si>
  <si>
    <t>Grams/second (F1)</t>
  </si>
  <si>
    <t>Pounds/hour (G1)</t>
  </si>
  <si>
    <t>Impingers 1-3 Contents and Rinse (HNO3/H2O2) (Container 4) (Analytical Fraction - 2B)</t>
  </si>
  <si>
    <t>Sample (ug) (C2)</t>
  </si>
  <si>
    <t>Blank (ug) (D2)</t>
  </si>
  <si>
    <t>Net (micrograms) (E2)</t>
  </si>
  <si>
    <t>Grams/second (F2)</t>
  </si>
  <si>
    <t>Pounds/hour (G2)</t>
  </si>
  <si>
    <t>Impinger 4 Contents and Rinse (HNO3) (Container 5A) (Analytical Fraction - 3A)</t>
  </si>
  <si>
    <t>Sample (ug) (C3)</t>
  </si>
  <si>
    <t>Blank (ug) (D3)</t>
  </si>
  <si>
    <t>Net (micrograms) (E3)</t>
  </si>
  <si>
    <t>Grams/second (F3)</t>
  </si>
  <si>
    <t>Pounds/hour (G3)</t>
  </si>
  <si>
    <t>Impinger Content and Rinse (KMNO4) (Container 5B) (Analytical Fraction - 3B)</t>
  </si>
  <si>
    <t>Sample (ug) (C4)</t>
  </si>
  <si>
    <t>Blank (ug) (D4)</t>
  </si>
  <si>
    <t>Net (micrograms) (E4)</t>
  </si>
  <si>
    <t>Grams/second (F4)</t>
  </si>
  <si>
    <t>Pounds/hour (G4)</t>
  </si>
  <si>
    <t>Impinger Rinse (HCl) (Container 5C) (Analytical Fraction - 3C)</t>
  </si>
  <si>
    <t>Sample (ug) (C5)</t>
  </si>
  <si>
    <t>Blank (ug) (D5)</t>
  </si>
  <si>
    <t>Net (micrograms) (E5)</t>
  </si>
  <si>
    <t>Grams/second (F5)</t>
  </si>
  <si>
    <t>Pounds/hour (G5)</t>
  </si>
  <si>
    <t>Emissions</t>
  </si>
  <si>
    <t xml:space="preserve">Grams/second </t>
  </si>
  <si>
    <t xml:space="preserve">Pounds/hour </t>
  </si>
  <si>
    <t>ug/dscm (H)</t>
  </si>
  <si>
    <t>ug/dscm @ 7%O2 (J)</t>
  </si>
  <si>
    <t>E(n) = (C(n) - D(n))</t>
  </si>
  <si>
    <t>F(n) = (E(n) / A) (B) (0.016667 minutes/second) (1E-6 grams/microgram)</t>
  </si>
  <si>
    <t>G(n) = (F(n)) (3600 seconds/hour) (0.002205 pounds/gram)</t>
  </si>
  <si>
    <t>H = ((E1 + E2 + E3 + E4 + E5)/(A))(35.31 cu.ft./dscm)</t>
  </si>
  <si>
    <t>J = (H)((13.9/(20.9-I))</t>
  </si>
  <si>
    <r>
      <t>(M) = (20.9 - C) / (20.9 - J</t>
    </r>
    <r>
      <rPr>
        <vertAlign val="subscript"/>
        <sz val="11"/>
        <rFont val="Arial"/>
        <family val="2"/>
      </rPr>
      <t>O2</t>
    </r>
    <r>
      <rPr>
        <sz val="11"/>
        <rFont val="Arial"/>
        <family val="2"/>
      </rPr>
      <t>) (K, P1, or P3)</t>
    </r>
  </si>
  <si>
    <r>
      <t>AVG. STACK TEMP (</t>
    </r>
    <r>
      <rPr>
        <vertAlign val="superscript"/>
        <sz val="11"/>
        <rFont val="Arial"/>
        <family val="2"/>
      </rPr>
      <t>o</t>
    </r>
    <r>
      <rPr>
        <sz val="11"/>
        <rFont val="Arial"/>
        <family val="2"/>
      </rPr>
      <t>F)</t>
    </r>
  </si>
  <si>
    <r>
      <t>STACK PRESSURE ("H</t>
    </r>
    <r>
      <rPr>
        <vertAlign val="subscript"/>
        <sz val="11"/>
        <rFont val="Arial"/>
        <family val="2"/>
      </rPr>
      <t>2</t>
    </r>
    <r>
      <rPr>
        <sz val="11"/>
        <rFont val="Arial"/>
        <family val="2"/>
      </rPr>
      <t>O-gage)</t>
    </r>
  </si>
  <si>
    <r>
      <t>O</t>
    </r>
    <r>
      <rPr>
        <vertAlign val="subscript"/>
        <sz val="11"/>
        <rFont val="Arial"/>
        <family val="2"/>
      </rPr>
      <t>2</t>
    </r>
    <r>
      <rPr>
        <sz val="11"/>
        <rFont val="Arial"/>
        <family val="2"/>
      </rPr>
      <t xml:space="preserve"> (% vol)</t>
    </r>
  </si>
  <si>
    <r>
      <t>CO</t>
    </r>
    <r>
      <rPr>
        <vertAlign val="subscript"/>
        <sz val="11"/>
        <rFont val="Arial"/>
        <family val="2"/>
      </rPr>
      <t xml:space="preserve">2 </t>
    </r>
    <r>
      <rPr>
        <sz val="11"/>
        <rFont val="Arial"/>
        <family val="2"/>
      </rPr>
      <t>(%vol)</t>
    </r>
  </si>
  <si>
    <r>
      <t>N</t>
    </r>
    <r>
      <rPr>
        <vertAlign val="subscript"/>
        <sz val="11"/>
        <rFont val="Arial"/>
        <family val="2"/>
      </rPr>
      <t>2</t>
    </r>
    <r>
      <rPr>
        <sz val="11"/>
        <rFont val="Arial"/>
        <family val="2"/>
      </rPr>
      <t xml:space="preserve"> (% vol by difference)</t>
    </r>
  </si>
  <si>
    <t>ARCADIS US Inc., Branchburg NJ</t>
  </si>
  <si>
    <t>Avgs.</t>
  </si>
  <si>
    <r>
      <t>CSA = ID</t>
    </r>
    <r>
      <rPr>
        <vertAlign val="superscript"/>
        <sz val="11"/>
        <color indexed="12"/>
        <rFont val="Arial"/>
        <family val="2"/>
      </rPr>
      <t>2</t>
    </r>
    <r>
      <rPr>
        <sz val="11"/>
        <color indexed="12"/>
        <rFont val="Arial"/>
        <family val="2"/>
      </rPr>
      <t>/183.3465</t>
    </r>
  </si>
  <si>
    <t xml:space="preserve">        ARCADIS Project No.:</t>
  </si>
  <si>
    <t>Water Caught (gms)</t>
  </si>
  <si>
    <t xml:space="preserve">(I or P) = Analyzer response to Stack gas.  </t>
  </si>
  <si>
    <t>Number of Channels : 3</t>
  </si>
  <si>
    <t>Standard Conditions are 68 °F, 29.92" Hg</t>
  </si>
  <si>
    <t xml:space="preserve">Project No. </t>
  </si>
  <si>
    <t>Fuel Usage (BTU/Hour) (E)</t>
  </si>
  <si>
    <t>Acetone Evaporated (ml):</t>
  </si>
  <si>
    <t xml:space="preserve">   Blank (G)</t>
  </si>
  <si>
    <t xml:space="preserve">   Sample (H)</t>
  </si>
  <si>
    <t>Net Particulate (grams):</t>
  </si>
  <si>
    <t xml:space="preserve">   Filter (J)</t>
  </si>
  <si>
    <t xml:space="preserve">   Acetone:</t>
  </si>
  <si>
    <t xml:space="preserve">   Blank (K)</t>
  </si>
  <si>
    <t xml:space="preserve">   Sample (M)</t>
  </si>
  <si>
    <t xml:space="preserve">   Blank corrected Sample (N)</t>
  </si>
  <si>
    <t xml:space="preserve">   Pounds/Million BTU by F-Factor(U1)</t>
  </si>
  <si>
    <t>(N) = (M) - ((H)(K / G))</t>
  </si>
  <si>
    <t>Fuel F-Factor -EPA M19 (dscf/mmBTU) (D)</t>
  </si>
  <si>
    <r>
      <t>(N) = ((20.9/(20.9-J</t>
    </r>
    <r>
      <rPr>
        <vertAlign val="subscript"/>
        <sz val="11"/>
        <rFont val="Arial"/>
        <family val="2"/>
      </rPr>
      <t>O2</t>
    </r>
    <r>
      <rPr>
        <sz val="11"/>
        <rFont val="Arial"/>
        <family val="2"/>
      </rPr>
      <t>))(10E-06)(E)(D)(K, P1, or P3)/(386.8 ft3/lb-mol)</t>
    </r>
  </si>
  <si>
    <t>pounds/MMBtu (N)</t>
  </si>
  <si>
    <t>Pounds/MMBtu (K)</t>
  </si>
  <si>
    <t>1035-1240</t>
  </si>
  <si>
    <t>Scrubber (Boiler 7)</t>
  </si>
  <si>
    <t>WORKSHEET          : O2,CO2,CO,voltmetr</t>
  </si>
  <si>
    <t>Recording Date     : 12/4/2013, 10:29:15 AM</t>
  </si>
  <si>
    <t>1035-1135</t>
  </si>
  <si>
    <t>Carbon Dioxide (%) [CO2]:</t>
  </si>
  <si>
    <t>1330-1535</t>
  </si>
  <si>
    <t>Recording Date     : 12/4/2013,  1:25:47 PM</t>
  </si>
  <si>
    <t>1330-1430</t>
  </si>
  <si>
    <t>Average Zero Response (%)(F)</t>
  </si>
  <si>
    <t>Average Upscale Response (%)(G)</t>
  </si>
  <si>
    <t>Upscale Standard Value (%)(H)</t>
  </si>
  <si>
    <t>%, dry (J), corrected</t>
  </si>
  <si>
    <t>Carbon Dioxide</t>
  </si>
  <si>
    <t>Recording Date     : 12/4/2013,  4:05:31 PM</t>
  </si>
  <si>
    <t>1610-1815</t>
  </si>
  <si>
    <t>BB019012.0000</t>
  </si>
  <si>
    <t>O2 [%]</t>
  </si>
  <si>
    <t>CO2 [%]</t>
  </si>
  <si>
    <t>CO [ppm]</t>
  </si>
  <si>
    <t>(U1) = (20.9 / (20.9-D))(E1 * (J + N)) / (C * 453.59)</t>
  </si>
  <si>
    <t>Fuel F-Factor -EPA M19 (dscf/mmBTU) (C)</t>
  </si>
  <si>
    <t>(K) = (20.9 / (20.9-I))((E1 + E2 + E3 + E4 + E5)/1000000) * C / (A * 453.59)</t>
  </si>
  <si>
    <t>(S) = ((J + N) / C) * 15.43 grains/gram</t>
  </si>
  <si>
    <t>(T) = (A)((J + N) / C) * pound/453.59 grams* 60 min/hr</t>
  </si>
  <si>
    <t>1610-1710</t>
  </si>
  <si>
    <t>Concentration of Hg (ppbw) (A)</t>
  </si>
  <si>
    <t>HHV Coal (Btu/Lb Coal) (B)</t>
  </si>
  <si>
    <t>Emission Rate Hg (Lb Hg/MMBtu) (C )</t>
  </si>
  <si>
    <t>(A) = reported concentration of mercury in coal (lb Hg/1,000,000,000 lb Coal)</t>
  </si>
  <si>
    <t>(B) = reported HHV</t>
  </si>
  <si>
    <t>(C ) = (A)/(B)/1000</t>
  </si>
  <si>
    <t>(lb Hg/100000000 lb-coal) / (Btu/lb-coal) x 1000000/1000000000</t>
  </si>
  <si>
    <t>Laboratory Coal Analysis- hg</t>
  </si>
  <si>
    <t>(Confirmation of their calculations)</t>
  </si>
  <si>
    <t>revised- average wrong in original!</t>
  </si>
  <si>
    <t>Rinse Volume required</t>
  </si>
  <si>
    <t>ADJUSTED Pounds/Million BTU by F-Factor(U1)</t>
  </si>
  <si>
    <t>(V) = 248 / H</t>
  </si>
  <si>
    <t>Fraction of required volume- actual volume (V)</t>
  </si>
  <si>
    <t xml:space="preserve"> Outlet</t>
  </si>
  <si>
    <t xml:space="preserve"> Inlet</t>
  </si>
  <si>
    <t>Second</t>
  </si>
  <si>
    <t>First</t>
  </si>
  <si>
    <t>Actual</t>
  </si>
  <si>
    <t>Desired</t>
  </si>
  <si>
    <t>End</t>
  </si>
  <si>
    <t>Begin</t>
  </si>
  <si>
    <t>Sample Rate</t>
  </si>
  <si>
    <t>Pump Vacuum (in. Hg)</t>
  </si>
  <si>
    <t>Dry Gas Meter Temperature °F</t>
  </si>
  <si>
    <t>Final exit Temperature °F</t>
  </si>
  <si>
    <t>Filter Temperature °F</t>
  </si>
  <si>
    <t>Probe Temperature °F</t>
  </si>
  <si>
    <t>Stack Temperature °F</t>
  </si>
  <si>
    <r>
      <t>Orfice Pressure Differential (</t>
    </r>
    <r>
      <rPr>
        <sz val="12"/>
        <rFont val="Calibri"/>
        <family val="2"/>
      </rPr>
      <t>Δ</t>
    </r>
    <r>
      <rPr>
        <sz val="12"/>
        <rFont val="Arial"/>
        <family val="2"/>
      </rPr>
      <t>H, in H</t>
    </r>
    <r>
      <rPr>
        <vertAlign val="subscript"/>
        <sz val="12"/>
        <rFont val="Arial"/>
        <family val="2"/>
      </rPr>
      <t>2</t>
    </r>
    <r>
      <rPr>
        <sz val="12"/>
        <rFont val="Arial"/>
        <family val="2"/>
      </rPr>
      <t>0)</t>
    </r>
  </si>
  <si>
    <t>Velocity Head
(ΔP in H2O)</t>
  </si>
  <si>
    <t>Dry Gas Meter Reading (Vm,ft3)</t>
  </si>
  <si>
    <t>Clock Time 24 hr</t>
  </si>
  <si>
    <t>Sampling Time (min)</t>
  </si>
  <si>
    <t>Traverse Point No.</t>
  </si>
  <si>
    <t>Impinger Water Weight (g), Vlc:</t>
  </si>
  <si>
    <t>Silica Gel. (gm):</t>
  </si>
  <si>
    <r>
      <t>CO</t>
    </r>
    <r>
      <rPr>
        <b/>
        <vertAlign val="subscript"/>
        <sz val="12"/>
        <rFont val="Arial"/>
        <family val="2"/>
      </rPr>
      <t>2</t>
    </r>
    <r>
      <rPr>
        <b/>
        <sz val="12"/>
        <rFont val="Arial"/>
        <family val="2"/>
      </rPr>
      <t xml:space="preserve"> Concentration (%):</t>
    </r>
  </si>
  <si>
    <t>Filter No. 3 ID:</t>
  </si>
  <si>
    <t>Impinger 6:</t>
  </si>
  <si>
    <r>
      <t>O</t>
    </r>
    <r>
      <rPr>
        <b/>
        <vertAlign val="subscript"/>
        <sz val="12"/>
        <rFont val="Arial"/>
        <family val="2"/>
      </rPr>
      <t>2</t>
    </r>
    <r>
      <rPr>
        <b/>
        <sz val="12"/>
        <rFont val="Arial"/>
        <family val="2"/>
      </rPr>
      <t xml:space="preserve"> Concentration (%):</t>
    </r>
  </si>
  <si>
    <t>Filter No. 2 ID:</t>
  </si>
  <si>
    <t>Impinger 5:</t>
  </si>
  <si>
    <t>Concentrations</t>
  </si>
  <si>
    <t>Filter No. 1 ID:</t>
  </si>
  <si>
    <t>Impinger 4:</t>
  </si>
  <si>
    <t>Pg (in. H2O):</t>
  </si>
  <si>
    <t>Filters</t>
  </si>
  <si>
    <t>Impinger 3:</t>
  </si>
  <si>
    <t>Temperature (°F):</t>
  </si>
  <si>
    <t>Impinger 2:</t>
  </si>
  <si>
    <t>Pbar (in. Hg):</t>
  </si>
  <si>
    <t>Nozzle ID:</t>
  </si>
  <si>
    <t>Sensitivity (in. H2O)</t>
  </si>
  <si>
    <t>Impinger 1:</t>
  </si>
  <si>
    <t>Ambient Conditions</t>
  </si>
  <si>
    <t>Probe / Pitot ID:</t>
  </si>
  <si>
    <t>Micro-manometer Used (Y/N)?</t>
  </si>
  <si>
    <t>Final</t>
  </si>
  <si>
    <t>Initial</t>
  </si>
  <si>
    <t>Moisture in:</t>
  </si>
  <si>
    <t>Orsat Pump ID:</t>
  </si>
  <si>
    <t>Nozzle diameter, Dn (in):</t>
  </si>
  <si>
    <t>Tedlar Bag IDs:</t>
  </si>
  <si>
    <t>Pitot tube coefficient, Cp:</t>
  </si>
  <si>
    <t xml:space="preserve">Stack Thermocouple ID: </t>
  </si>
  <si>
    <t>Stack Thermocouple (Yes/No):</t>
  </si>
  <si>
    <r>
      <t xml:space="preserve">Meter Box pressure differential, </t>
    </r>
    <r>
      <rPr>
        <b/>
        <sz val="12"/>
        <rFont val="Calibri"/>
        <family val="2"/>
      </rPr>
      <t>Δ</t>
    </r>
    <r>
      <rPr>
        <b/>
        <sz val="12"/>
        <rFont val="Arial"/>
        <family val="2"/>
      </rPr>
      <t>H@ (in H</t>
    </r>
    <r>
      <rPr>
        <b/>
        <vertAlign val="subscript"/>
        <sz val="12"/>
        <rFont val="Arial"/>
        <family val="2"/>
      </rPr>
      <t>2</t>
    </r>
    <r>
      <rPr>
        <b/>
        <sz val="12"/>
        <rFont val="Arial"/>
        <family val="2"/>
      </rPr>
      <t>O):</t>
    </r>
  </si>
  <si>
    <t>Unbilical Line ID:</t>
  </si>
  <si>
    <t>Nozzle (Yes/No):</t>
  </si>
  <si>
    <t>Meter Box Correction Factor, Y:</t>
  </si>
  <si>
    <t>Reagent Box ID:</t>
  </si>
  <si>
    <t>Pitot (Yes/No):</t>
  </si>
  <si>
    <t>Calibration</t>
  </si>
  <si>
    <t>Dry Gas Meter ID:</t>
  </si>
  <si>
    <t>Leak Rate (cfm):</t>
  </si>
  <si>
    <t>Equipment Identification</t>
  </si>
  <si>
    <r>
      <t>Leak Check Total Volume (ft</t>
    </r>
    <r>
      <rPr>
        <b/>
        <vertAlign val="superscript"/>
        <sz val="12"/>
        <rFont val="Arial"/>
        <family val="2"/>
      </rPr>
      <t>3</t>
    </r>
    <r>
      <rPr>
        <b/>
        <sz val="12"/>
        <rFont val="Arial"/>
        <family val="2"/>
      </rPr>
      <t>):</t>
    </r>
  </si>
  <si>
    <t>Job Number:</t>
  </si>
  <si>
    <t>Run Date:</t>
  </si>
  <si>
    <t>Vacuum (in Hg):</t>
  </si>
  <si>
    <t>Testing Operator:</t>
  </si>
  <si>
    <t>Post</t>
  </si>
  <si>
    <t>Mid</t>
  </si>
  <si>
    <t>Pre</t>
  </si>
  <si>
    <t>Checks</t>
  </si>
  <si>
    <t>Method:</t>
  </si>
  <si>
    <t>Sampling Location:</t>
  </si>
  <si>
    <t>Data required in ¶ 8.5 of EPA Method 5 and presented in Figure 5-3 of Method 5.</t>
  </si>
  <si>
    <t>Optional Fields</t>
  </si>
  <si>
    <t>Plant:</t>
  </si>
  <si>
    <t>Mansense</t>
  </si>
  <si>
    <t>Manused</t>
  </si>
  <si>
    <t>Silicafin</t>
  </si>
  <si>
    <t>Impfin6</t>
  </si>
  <si>
    <t>Impfin5</t>
  </si>
  <si>
    <t>Impfin4</t>
  </si>
  <si>
    <t>Impfin3</t>
  </si>
  <si>
    <t>Impfin2</t>
  </si>
  <si>
    <t>Impfin1</t>
  </si>
  <si>
    <t>Silicainit</t>
  </si>
  <si>
    <t>Impinit6</t>
  </si>
  <si>
    <t>Impinit5</t>
  </si>
  <si>
    <t>Impinit4</t>
  </si>
  <si>
    <t>Impinit3</t>
  </si>
  <si>
    <t>Impinit2</t>
  </si>
  <si>
    <t>Impinit1</t>
  </si>
  <si>
    <t>Location</t>
  </si>
  <si>
    <t>Personnel</t>
  </si>
  <si>
    <t>StackTCCKPost</t>
  </si>
  <si>
    <t>StackTCCKMid</t>
  </si>
  <si>
    <t>StackTCCKPre</t>
  </si>
  <si>
    <t>NozzleCkPost</t>
  </si>
  <si>
    <t>NozzleCkMid</t>
  </si>
  <si>
    <t>NozzleCkPre</t>
  </si>
  <si>
    <t>PitotCkPost</t>
  </si>
  <si>
    <t>PitotCkMid</t>
  </si>
  <si>
    <t>PitotCkPre</t>
  </si>
  <si>
    <t>LeakRtPost</t>
  </si>
  <si>
    <t>LeakRtPre</t>
  </si>
  <si>
    <t>FinalDGM</t>
  </si>
  <si>
    <t>InitDGM</t>
  </si>
  <si>
    <t>VacCkPost</t>
  </si>
  <si>
    <t>VacCkPre</t>
  </si>
  <si>
    <t>PercO2HDR</t>
  </si>
  <si>
    <t>PercCO2HDR</t>
  </si>
  <si>
    <t>DnHDR</t>
  </si>
  <si>
    <t>CpHDR</t>
  </si>
  <si>
    <t>DH@HDR</t>
  </si>
  <si>
    <t>YHDR</t>
  </si>
  <si>
    <t>VlcHDR</t>
  </si>
  <si>
    <t>Nozzle</t>
  </si>
  <si>
    <t>Pitot</t>
  </si>
  <si>
    <t>TCReadOut</t>
  </si>
  <si>
    <t>MeterBox</t>
  </si>
  <si>
    <t>SampBox</t>
  </si>
  <si>
    <t>OrasatPump</t>
  </si>
  <si>
    <t>TedlarBag</t>
  </si>
  <si>
    <t>StackTC</t>
  </si>
  <si>
    <t>Umbical</t>
  </si>
  <si>
    <t>ReagBox</t>
  </si>
  <si>
    <t>FilterNum3</t>
  </si>
  <si>
    <t>FilterNum2</t>
  </si>
  <si>
    <t>FilterNum1</t>
  </si>
  <si>
    <t>PgHDR</t>
  </si>
  <si>
    <t>PbHDR</t>
  </si>
  <si>
    <t>Method</t>
  </si>
  <si>
    <t>JobNumber</t>
  </si>
  <si>
    <t>RunDate</t>
  </si>
  <si>
    <t>RunNumber</t>
  </si>
  <si>
    <t>TWB</t>
  </si>
  <si>
    <t>Yes</t>
  </si>
  <si>
    <t>No</t>
  </si>
  <si>
    <t>13:30:00 AM</t>
  </si>
  <si>
    <t>13:40:00 AM</t>
  </si>
  <si>
    <t>13:50:00 AM</t>
  </si>
  <si>
    <t>14:00:00 AM</t>
  </si>
  <si>
    <t>14:10:00 AM</t>
  </si>
  <si>
    <t>14:20:00 AM</t>
  </si>
  <si>
    <t>14:30:00 AM</t>
  </si>
  <si>
    <t>14:40:00 AM</t>
  </si>
  <si>
    <t>14:50:00 AM</t>
  </si>
  <si>
    <t>15:00:00 AM</t>
  </si>
  <si>
    <t>15:10:00 AM</t>
  </si>
  <si>
    <t>15:20:00 AM</t>
  </si>
  <si>
    <t>13:35:00 AM</t>
  </si>
  <si>
    <t>13:45:00 AM</t>
  </si>
  <si>
    <t>13:55:00 AM</t>
  </si>
  <si>
    <t>14:05:00 AM</t>
  </si>
  <si>
    <t>14:15:00 AM</t>
  </si>
  <si>
    <t>14:25:00 AM</t>
  </si>
  <si>
    <t>14:35:00 AM</t>
  </si>
  <si>
    <t>14:45:00 AM</t>
  </si>
  <si>
    <t>14:55:00 AM</t>
  </si>
  <si>
    <t>15:05:00 AM</t>
  </si>
  <si>
    <t>15:15:00 AM</t>
  </si>
  <si>
    <t>15:25:00 AM</t>
  </si>
  <si>
    <t>PM/Metals</t>
  </si>
  <si>
    <t>NoSouth Sway</t>
  </si>
  <si>
    <t>Atlas, MA</t>
  </si>
  <si>
    <t>QtzP1245-7</t>
  </si>
  <si>
    <t>QtzP1245-8</t>
  </si>
  <si>
    <t>TypeK-456-9</t>
  </si>
  <si>
    <t>ES245</t>
  </si>
  <si>
    <t>ES246</t>
  </si>
  <si>
    <t>SetES2987-.5</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</si>
</sst>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_)"/>
    <numFmt numFmtId="165" formatCode="0.00_)"/>
    <numFmt numFmtId="166" formatCode="0.000_)"/>
    <numFmt numFmtId="167" formatCode="0.0000_)"/>
    <numFmt numFmtId="168" formatCode="0.0"/>
    <numFmt numFmtId="169" formatCode="0_)"/>
    <numFmt numFmtId="170" formatCode="0.000"/>
    <numFmt numFmtId="171" formatCode="0.0000"/>
    <numFmt numFmtId="172" formatCode="0.00000_)"/>
    <numFmt numFmtId="173" formatCode="mm/dd/yy;@"/>
    <numFmt numFmtId="174" formatCode="mm/dd/yy"/>
    <numFmt numFmtId="175" formatCode="0.00E+00_)"/>
    <numFmt numFmtId="176" formatCode="0.0E+00"/>
    <numFmt numFmtId="177" formatCode="General_)"/>
    <numFmt numFmtId="178" formatCode="m/d/yyyy;@"/>
  </numFmts>
  <fonts count="50" x14ac:knownFonts="1">
    <font>
      <sz val="12"/>
      <name val="Helv"/>
    </font>
    <font>
      <b/>
      <sz val="10"/>
      <name val="Arial"/>
      <family val="2"/>
    </font>
    <font>
      <sz val="10"/>
      <name val="Arial"/>
      <family val="2"/>
    </font>
    <font>
      <b/>
      <sz val="12"/>
      <name val="Helv"/>
    </font>
    <font>
      <sz val="12"/>
      <name val="Helv"/>
    </font>
    <font>
      <sz val="12"/>
      <color indexed="12"/>
      <name val="Helv"/>
    </font>
    <font>
      <sz val="8"/>
      <name val="Helv"/>
    </font>
    <font>
      <sz val="11"/>
      <name val="Arial"/>
      <family val="2"/>
    </font>
    <font>
      <b/>
      <sz val="18"/>
      <name val="Arial"/>
      <family val="2"/>
    </font>
    <font>
      <sz val="18"/>
      <name val="Arial"/>
      <family val="2"/>
    </font>
    <font>
      <sz val="12"/>
      <name val="Arial"/>
      <family val="2"/>
    </font>
    <font>
      <b/>
      <sz val="12"/>
      <name val="Arial"/>
      <family val="2"/>
    </font>
    <font>
      <b/>
      <sz val="24"/>
      <name val="Arial"/>
      <family val="2"/>
    </font>
    <font>
      <sz val="12"/>
      <color indexed="12"/>
      <name val="Arial"/>
      <family val="2"/>
    </font>
    <font>
      <b/>
      <sz val="20"/>
      <name val="Arial"/>
      <family val="2"/>
    </font>
    <font>
      <b/>
      <sz val="12"/>
      <color indexed="10"/>
      <name val="Arial"/>
      <family val="2"/>
    </font>
    <font>
      <sz val="12"/>
      <color indexed="10"/>
      <name val="Arial"/>
      <family val="2"/>
    </font>
    <font>
      <b/>
      <sz val="11"/>
      <name val="Arial"/>
      <family val="2"/>
    </font>
    <font>
      <vertAlign val="subscript"/>
      <sz val="11"/>
      <name val="Arial"/>
      <family val="2"/>
    </font>
    <font>
      <sz val="24"/>
      <name val="Arial"/>
      <family val="2"/>
    </font>
    <font>
      <b/>
      <sz val="12"/>
      <color indexed="12"/>
      <name val="Arial"/>
      <family val="2"/>
    </font>
    <font>
      <b/>
      <u/>
      <sz val="11.5"/>
      <name val="Arial"/>
      <family val="2"/>
    </font>
    <font>
      <b/>
      <sz val="11.5"/>
      <name val="Arial"/>
      <family val="2"/>
    </font>
    <font>
      <sz val="11"/>
      <color indexed="12"/>
      <name val="Arial"/>
      <family val="2"/>
    </font>
    <font>
      <vertAlign val="superscript"/>
      <sz val="11"/>
      <name val="Arial"/>
      <family val="2"/>
    </font>
    <font>
      <b/>
      <sz val="11"/>
      <color indexed="12"/>
      <name val="Arial"/>
      <family val="2"/>
    </font>
    <font>
      <vertAlign val="superscript"/>
      <sz val="11"/>
      <color indexed="12"/>
      <name val="Arial"/>
      <family val="2"/>
    </font>
    <font>
      <sz val="10"/>
      <color indexed="12"/>
      <name val="Arial"/>
      <family val="2"/>
    </font>
    <font>
      <b/>
      <u/>
      <sz val="12"/>
      <name val="Arial"/>
      <family val="2"/>
    </font>
    <font>
      <b/>
      <i/>
      <sz val="12"/>
      <name val="Helv"/>
    </font>
    <font>
      <i/>
      <sz val="12"/>
      <name val="Arial"/>
      <family val="2"/>
    </font>
    <font>
      <b/>
      <i/>
      <sz val="11"/>
      <name val="Arial"/>
      <family val="2"/>
    </font>
    <font>
      <b/>
      <i/>
      <sz val="12"/>
      <name val="Arial"/>
      <family val="2"/>
    </font>
    <font>
      <sz val="10"/>
      <name val="Arial"/>
      <family val="2"/>
    </font>
    <font>
      <sz val="12"/>
      <color rgb="FFFF0000"/>
      <name val="Arial"/>
      <family val="2"/>
    </font>
    <font>
      <b/>
      <sz val="12"/>
      <color indexed="17"/>
      <name val="Arial"/>
      <family val="2"/>
    </font>
    <font>
      <b/>
      <sz val="12"/>
      <color rgb="FFFF0000"/>
      <name val="Arial"/>
      <family val="2"/>
    </font>
    <font>
      <sz val="12"/>
      <color indexed="9"/>
      <name val="Arial"/>
      <family val="2"/>
    </font>
    <font>
      <sz val="12"/>
      <name val="Calibri"/>
      <family val="2"/>
    </font>
    <font>
      <vertAlign val="subscript"/>
      <sz val="12"/>
      <name val="Arial"/>
      <family val="2"/>
    </font>
    <font>
      <b/>
      <vertAlign val="subscript"/>
      <sz val="12"/>
      <name val="Arial"/>
      <family val="2"/>
    </font>
    <font>
      <sz val="10"/>
      <color rgb="FFFF0000"/>
      <name val="Arial"/>
      <family val="2"/>
    </font>
    <font>
      <sz val="14"/>
      <name val="Arial"/>
      <family val="2"/>
    </font>
    <font>
      <sz val="14"/>
      <color rgb="FFFF0000"/>
      <name val="Arial"/>
      <family val="2"/>
    </font>
    <font>
      <u/>
      <sz val="7"/>
      <color theme="10"/>
      <name val="Arial"/>
      <family val="2"/>
    </font>
    <font>
      <u/>
      <sz val="12"/>
      <color theme="10"/>
      <name val="Arial"/>
      <family val="2"/>
    </font>
    <font>
      <b/>
      <sz val="12"/>
      <name val="Calibri"/>
      <family val="2"/>
    </font>
    <font>
      <b/>
      <vertAlign val="superscript"/>
      <sz val="12"/>
      <name val="Arial"/>
      <family val="2"/>
    </font>
    <font>
      <i/>
      <sz val="12"/>
      <color indexed="81"/>
      <name val="Tahoma"/>
      <family val="2"/>
    </font>
    <font>
      <sz val="8"/>
      <color indexed="81"/>
      <name val="Tahoma"/>
      <family val="2"/>
    </font>
  </fonts>
  <fills count="11">
    <fill>
      <patternFill patternType="none"/>
    </fill>
    <fill>
      <patternFill patternType="gray125"/>
    </fill>
    <fill>
      <patternFill patternType="solid">
        <fgColor indexed="65"/>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4" tint="0.79998168889431442"/>
        <bgColor indexed="64"/>
      </patternFill>
    </fill>
    <fill>
      <patternFill patternType="mediumGray">
        <fgColor theme="4" tint="0.79998168889431442"/>
        <bgColor theme="4" tint="0.79998168889431442"/>
      </patternFill>
    </fill>
    <fill>
      <patternFill patternType="solid">
        <fgColor rgb="FF92D050"/>
        <bgColor indexed="64"/>
      </patternFill>
    </fill>
    <fill>
      <patternFill patternType="solid">
        <fgColor theme="2" tint="-9.9948118533890809E-2"/>
        <bgColor indexed="64"/>
      </patternFill>
    </fill>
  </fills>
  <borders count="56">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medium">
        <color indexed="64"/>
      </left>
      <right/>
      <top/>
      <bottom/>
      <diagonal/>
    </border>
    <border>
      <left/>
      <right style="medium">
        <color indexed="64"/>
      </right>
      <top/>
      <bottom style="medium">
        <color indexed="64"/>
      </bottom>
      <diagonal/>
    </border>
    <border>
      <left/>
      <right/>
      <top/>
      <bottom style="medium">
        <color indexed="64"/>
      </bottom>
      <diagonal/>
    </border>
    <border>
      <left style="medium">
        <color theme="0"/>
      </left>
      <right/>
      <top style="medium">
        <color theme="0"/>
      </top>
      <bottom style="medium">
        <color indexed="64"/>
      </bottom>
      <diagonal/>
    </border>
    <border>
      <left/>
      <right style="medium">
        <color theme="0"/>
      </right>
      <top style="medium">
        <color theme="0"/>
      </top>
      <bottom style="medium">
        <color indexed="64"/>
      </bottom>
      <diagonal/>
    </border>
    <border>
      <left style="medium">
        <color indexed="64"/>
      </left>
      <right/>
      <top/>
      <bottom style="medium">
        <color indexed="64"/>
      </bottom>
      <diagonal/>
    </border>
    <border>
      <left/>
      <right style="medium">
        <color indexed="64"/>
      </right>
      <top style="medium">
        <color theme="0"/>
      </top>
      <bottom style="medium">
        <color indexed="64"/>
      </bottom>
      <diagonal/>
    </border>
    <border>
      <left/>
      <right/>
      <top style="medium">
        <color theme="0"/>
      </top>
      <bottom style="medium">
        <color indexed="64"/>
      </bottom>
      <diagonal/>
    </border>
    <border>
      <left/>
      <right style="medium">
        <color indexed="64"/>
      </right>
      <top/>
      <bottom/>
      <diagonal/>
    </border>
    <border>
      <left style="medium">
        <color theme="0"/>
      </left>
      <right/>
      <top style="medium">
        <color theme="0"/>
      </top>
      <bottom style="medium">
        <color theme="0"/>
      </bottom>
      <diagonal/>
    </border>
    <border>
      <left/>
      <right style="medium">
        <color theme="0"/>
      </right>
      <top style="medium">
        <color theme="0"/>
      </top>
      <bottom style="medium">
        <color theme="0"/>
      </bottom>
      <diagonal/>
    </border>
    <border>
      <left/>
      <right style="medium">
        <color indexed="64"/>
      </right>
      <top/>
      <bottom style="medium">
        <color theme="0"/>
      </bottom>
      <diagonal/>
    </border>
    <border>
      <left/>
      <right style="medium">
        <color indexed="64"/>
      </right>
      <top style="medium">
        <color theme="0"/>
      </top>
      <bottom style="medium">
        <color theme="0"/>
      </bottom>
      <diagonal/>
    </border>
    <border>
      <left/>
      <right/>
      <top style="medium">
        <color theme="0"/>
      </top>
      <bottom style="medium">
        <color theme="0"/>
      </bottom>
      <diagonal/>
    </border>
    <border>
      <left/>
      <right/>
      <top/>
      <bottom style="medium">
        <color theme="0"/>
      </bottom>
      <diagonal/>
    </border>
    <border>
      <left/>
      <right style="medium">
        <color indexed="64"/>
      </right>
      <top style="medium">
        <color theme="0"/>
      </top>
      <bottom/>
      <diagonal/>
    </border>
    <border>
      <left/>
      <right/>
      <top style="medium">
        <color theme="0"/>
      </top>
      <bottom/>
      <diagonal/>
    </border>
    <border>
      <left style="medium">
        <color theme="0"/>
      </left>
      <right/>
      <top/>
      <bottom style="medium">
        <color theme="0"/>
      </bottom>
      <diagonal/>
    </border>
    <border>
      <left/>
      <right style="medium">
        <color theme="0"/>
      </right>
      <top/>
      <bottom style="medium">
        <color theme="0"/>
      </bottom>
      <diagonal/>
    </border>
    <border>
      <left/>
      <right style="medium">
        <color indexed="64"/>
      </right>
      <top style="medium">
        <color indexed="64"/>
      </top>
      <bottom/>
      <diagonal/>
    </border>
    <border>
      <left/>
      <right/>
      <top style="medium">
        <color indexed="64"/>
      </top>
      <bottom/>
      <diagonal/>
    </border>
    <border>
      <left/>
      <right style="medium">
        <color indexed="64"/>
      </right>
      <top style="medium">
        <color indexed="64"/>
      </top>
      <bottom style="medium">
        <color theme="0"/>
      </bottom>
      <diagonal/>
    </border>
    <border>
      <left style="medium">
        <color indexed="64"/>
      </left>
      <right/>
      <top style="medium">
        <color indexed="64"/>
      </top>
      <bottom/>
      <diagonal/>
    </border>
  </borders>
  <cellStyleXfs count="10">
    <xf numFmtId="0" fontId="0" fillId="0" borderId="0"/>
    <xf numFmtId="0" fontId="5" fillId="0" borderId="0"/>
    <xf numFmtId="0" fontId="4" fillId="0" borderId="0"/>
    <xf numFmtId="0" fontId="4" fillId="0" borderId="0"/>
    <xf numFmtId="0" fontId="5" fillId="0" borderId="0"/>
    <xf numFmtId="0" fontId="2" fillId="0" borderId="0"/>
    <xf numFmtId="177" fontId="4" fillId="0" borderId="0"/>
    <xf numFmtId="0" fontId="33" fillId="0" borderId="0"/>
    <xf numFmtId="0" fontId="44" fillId="0" borderId="0" applyNumberFormat="0" applyFill="0" applyBorder="0" applyAlignment="0" applyProtection="0">
      <alignment vertical="top"/>
      <protection locked="0"/>
    </xf>
    <xf numFmtId="0" fontId="2" fillId="0" borderId="0"/>
  </cellStyleXfs>
  <cellXfs count="514">
    <xf numFmtId="0" fontId="0" fillId="0" borderId="0" xfId="0"/>
    <xf numFmtId="2" fontId="1" fillId="0" borderId="0" xfId="5" applyNumberFormat="1" applyFont="1"/>
    <xf numFmtId="0" fontId="10" fillId="0" borderId="0" xfId="3" applyFont="1"/>
    <xf numFmtId="0" fontId="10" fillId="0" borderId="0" xfId="3" applyFont="1" applyAlignment="1">
      <alignment horizontal="right"/>
    </xf>
    <xf numFmtId="0" fontId="11" fillId="0" borderId="0" xfId="3" applyFont="1" applyAlignment="1">
      <alignment horizontal="right"/>
    </xf>
    <xf numFmtId="0" fontId="10" fillId="0" borderId="0" xfId="3" applyFont="1" applyAlignment="1" applyProtection="1">
      <alignment horizontal="left"/>
    </xf>
    <xf numFmtId="0" fontId="10" fillId="0" borderId="0" xfId="3" quotePrefix="1" applyFont="1" applyAlignment="1" applyProtection="1">
      <alignment horizontal="left"/>
    </xf>
    <xf numFmtId="0" fontId="11" fillId="0" borderId="0" xfId="3" applyFont="1" applyBorder="1" applyAlignment="1" applyProtection="1">
      <alignment horizontal="left"/>
    </xf>
    <xf numFmtId="0" fontId="10" fillId="0" borderId="0" xfId="3" applyFont="1" applyBorder="1"/>
    <xf numFmtId="173" fontId="10" fillId="0" borderId="0" xfId="3" quotePrefix="1" applyNumberFormat="1" applyFont="1" applyAlignment="1" applyProtection="1">
      <alignment horizontal="right"/>
    </xf>
    <xf numFmtId="0" fontId="10" fillId="0" borderId="0" xfId="3" quotePrefix="1" applyFont="1" applyAlignment="1" applyProtection="1">
      <alignment horizontal="right"/>
    </xf>
    <xf numFmtId="1" fontId="10" fillId="0" borderId="0" xfId="3" applyNumberFormat="1" applyFont="1" applyAlignment="1" applyProtection="1">
      <alignment horizontal="right"/>
    </xf>
    <xf numFmtId="2" fontId="10" fillId="0" borderId="0" xfId="3" applyNumberFormat="1" applyFont="1" applyAlignment="1" applyProtection="1">
      <alignment horizontal="right"/>
    </xf>
    <xf numFmtId="170" fontId="10" fillId="0" borderId="0" xfId="3" applyNumberFormat="1" applyFont="1" applyAlignment="1" applyProtection="1">
      <alignment horizontal="right"/>
    </xf>
    <xf numFmtId="168" fontId="10" fillId="0" borderId="0" xfId="3" applyNumberFormat="1" applyFont="1" applyAlignment="1" applyProtection="1">
      <alignment horizontal="right"/>
    </xf>
    <xf numFmtId="172" fontId="10" fillId="0" borderId="0" xfId="3" applyNumberFormat="1" applyFont="1" applyAlignment="1" applyProtection="1">
      <alignment horizontal="right"/>
    </xf>
    <xf numFmtId="0" fontId="10" fillId="0" borderId="0" xfId="0" applyFont="1" applyAlignment="1" applyProtection="1">
      <alignment horizontal="left"/>
    </xf>
    <xf numFmtId="0" fontId="10" fillId="0" borderId="0" xfId="0" applyFont="1"/>
    <xf numFmtId="0" fontId="11" fillId="0" borderId="0" xfId="0" applyFont="1" applyAlignment="1" applyProtection="1">
      <alignment horizontal="left"/>
    </xf>
    <xf numFmtId="1" fontId="10" fillId="0" borderId="0" xfId="0" applyNumberFormat="1" applyFont="1" applyProtection="1"/>
    <xf numFmtId="0" fontId="10" fillId="0" borderId="0" xfId="0" applyFont="1" applyAlignment="1" applyProtection="1">
      <alignment horizontal="right"/>
    </xf>
    <xf numFmtId="0" fontId="10" fillId="0" borderId="0" xfId="0" quotePrefix="1" applyFont="1" applyAlignment="1" applyProtection="1">
      <alignment horizontal="left"/>
    </xf>
    <xf numFmtId="0" fontId="10" fillId="0" borderId="0" xfId="0" applyFont="1" applyBorder="1"/>
    <xf numFmtId="0" fontId="10" fillId="0" borderId="10" xfId="0" applyFont="1" applyBorder="1"/>
    <xf numFmtId="0" fontId="10" fillId="0" borderId="0" xfId="0" applyFont="1" applyAlignment="1">
      <alignment horizontal="left"/>
    </xf>
    <xf numFmtId="0" fontId="11" fillId="0" borderId="0" xfId="0" applyFont="1"/>
    <xf numFmtId="0" fontId="10" fillId="0" borderId="10" xfId="0" applyFont="1" applyBorder="1" applyAlignment="1">
      <alignment horizontal="left"/>
    </xf>
    <xf numFmtId="0" fontId="11" fillId="0" borderId="0" xfId="0" applyFont="1" applyBorder="1" applyAlignment="1" applyProtection="1">
      <alignment horizontal="left"/>
    </xf>
    <xf numFmtId="0" fontId="11" fillId="0" borderId="0" xfId="0" applyFont="1" applyBorder="1"/>
    <xf numFmtId="0" fontId="10" fillId="0" borderId="9" xfId="0" applyFont="1" applyBorder="1" applyAlignment="1">
      <alignment horizontal="left"/>
    </xf>
    <xf numFmtId="0" fontId="10" fillId="0" borderId="0" xfId="0" applyFont="1" applyAlignment="1">
      <alignment horizontal="right"/>
    </xf>
    <xf numFmtId="0" fontId="10" fillId="0" borderId="0" xfId="0" quotePrefix="1" applyFont="1" applyAlignment="1" applyProtection="1">
      <alignment horizontal="right"/>
    </xf>
    <xf numFmtId="0" fontId="10" fillId="0" borderId="0" xfId="0" applyFont="1" applyFill="1" applyAlignment="1" applyProtection="1">
      <alignment horizontal="left"/>
    </xf>
    <xf numFmtId="0" fontId="11" fillId="0" borderId="0" xfId="0" applyFont="1" applyProtection="1"/>
    <xf numFmtId="0" fontId="10" fillId="0" borderId="0" xfId="0" applyFont="1" applyProtection="1"/>
    <xf numFmtId="0" fontId="11" fillId="0" borderId="0" xfId="0" applyFont="1" applyBorder="1" applyAlignment="1">
      <alignment horizontal="center"/>
    </xf>
    <xf numFmtId="0" fontId="13" fillId="0" borderId="0" xfId="0" applyFont="1" applyAlignment="1" applyProtection="1">
      <alignment horizontal="right"/>
    </xf>
    <xf numFmtId="2" fontId="10" fillId="0" borderId="0" xfId="0" applyNumberFormat="1" applyFont="1" applyProtection="1"/>
    <xf numFmtId="165" fontId="13" fillId="0" borderId="0" xfId="0" applyNumberFormat="1" applyFont="1" applyProtection="1"/>
    <xf numFmtId="165" fontId="15" fillId="0" borderId="0" xfId="0" applyNumberFormat="1" applyFont="1" applyProtection="1"/>
    <xf numFmtId="165" fontId="11" fillId="0" borderId="0" xfId="0" applyNumberFormat="1" applyFont="1" applyProtection="1"/>
    <xf numFmtId="165" fontId="10" fillId="0" borderId="0" xfId="0" applyNumberFormat="1" applyFont="1" applyProtection="1"/>
    <xf numFmtId="164" fontId="13" fillId="0" borderId="0" xfId="0" applyNumberFormat="1" applyFont="1" applyProtection="1"/>
    <xf numFmtId="0" fontId="11" fillId="0" borderId="0" xfId="0" quotePrefix="1" applyFont="1" applyBorder="1" applyAlignment="1">
      <alignment horizontal="center"/>
    </xf>
    <xf numFmtId="165" fontId="16" fillId="0" borderId="0" xfId="0" applyNumberFormat="1" applyFont="1" applyProtection="1"/>
    <xf numFmtId="0" fontId="7" fillId="0" borderId="0" xfId="0" applyFont="1"/>
    <xf numFmtId="0" fontId="17" fillId="0" borderId="0" xfId="0" applyFont="1" applyBorder="1" applyAlignment="1">
      <alignment horizontal="center"/>
    </xf>
    <xf numFmtId="0" fontId="7" fillId="0" borderId="0" xfId="0" applyFont="1" applyAlignment="1" applyProtection="1">
      <alignment horizontal="left"/>
    </xf>
    <xf numFmtId="0" fontId="7" fillId="0" borderId="0" xfId="2" quotePrefix="1" applyFont="1" applyAlignment="1" applyProtection="1">
      <alignment horizontal="left"/>
    </xf>
    <xf numFmtId="0" fontId="7" fillId="0" borderId="0" xfId="0" quotePrefix="1" applyFont="1" applyAlignment="1" applyProtection="1">
      <alignment horizontal="left"/>
    </xf>
    <xf numFmtId="0" fontId="7" fillId="0" borderId="0" xfId="2" quotePrefix="1" applyFont="1" applyBorder="1" applyAlignment="1" applyProtection="1">
      <alignment horizontal="left"/>
    </xf>
    <xf numFmtId="0" fontId="7" fillId="0" borderId="0" xfId="0" quotePrefix="1" applyFont="1" applyAlignment="1">
      <alignment horizontal="left"/>
    </xf>
    <xf numFmtId="167" fontId="7" fillId="0" borderId="0" xfId="0" applyNumberFormat="1" applyFont="1" applyProtection="1"/>
    <xf numFmtId="0" fontId="13" fillId="2" borderId="0" xfId="1" applyFont="1" applyFill="1"/>
    <xf numFmtId="0" fontId="12" fillId="2" borderId="0" xfId="1" applyFont="1" applyFill="1" applyAlignment="1">
      <alignment horizontal="left"/>
    </xf>
    <xf numFmtId="0" fontId="12" fillId="2" borderId="0" xfId="1" applyFont="1" applyFill="1"/>
    <xf numFmtId="0" fontId="19" fillId="2" borderId="0" xfId="1" applyFont="1" applyFill="1"/>
    <xf numFmtId="0" fontId="13" fillId="2" borderId="0" xfId="1" applyFont="1" applyFill="1" applyAlignment="1">
      <alignment horizontal="left"/>
    </xf>
    <xf numFmtId="0" fontId="13" fillId="2" borderId="3" xfId="1" applyFont="1" applyFill="1" applyBorder="1" applyAlignment="1" applyProtection="1">
      <alignment horizontal="left"/>
      <protection locked="0"/>
    </xf>
    <xf numFmtId="0" fontId="13" fillId="2" borderId="3" xfId="1" applyFont="1" applyFill="1" applyBorder="1" applyProtection="1">
      <protection locked="0"/>
    </xf>
    <xf numFmtId="0" fontId="13" fillId="2" borderId="2" xfId="1" applyFont="1" applyFill="1" applyBorder="1" applyProtection="1">
      <protection locked="0"/>
    </xf>
    <xf numFmtId="0" fontId="13" fillId="2" borderId="4" xfId="1" applyFont="1" applyFill="1" applyBorder="1"/>
    <xf numFmtId="0" fontId="13" fillId="2" borderId="0" xfId="1" applyFont="1" applyFill="1" applyAlignment="1" applyProtection="1">
      <alignment horizontal="left"/>
      <protection locked="0"/>
    </xf>
    <xf numFmtId="0" fontId="13" fillId="2" borderId="0" xfId="1" applyFont="1" applyFill="1" applyProtection="1">
      <protection locked="0"/>
    </xf>
    <xf numFmtId="0" fontId="13" fillId="2" borderId="4" xfId="1" applyFont="1" applyFill="1" applyBorder="1" applyProtection="1">
      <protection locked="0"/>
    </xf>
    <xf numFmtId="0" fontId="13" fillId="2" borderId="6" xfId="1" applyFont="1" applyFill="1" applyBorder="1" applyAlignment="1" applyProtection="1">
      <alignment horizontal="left"/>
      <protection locked="0"/>
    </xf>
    <xf numFmtId="0" fontId="13" fillId="2" borderId="1" xfId="1" applyFont="1" applyFill="1" applyBorder="1" applyAlignment="1">
      <alignment horizontal="center"/>
    </xf>
    <xf numFmtId="0" fontId="13" fillId="2" borderId="6" xfId="1" applyFont="1" applyFill="1" applyBorder="1"/>
    <xf numFmtId="174" fontId="20" fillId="2" borderId="6" xfId="1" quotePrefix="1" applyNumberFormat="1" applyFont="1" applyFill="1" applyBorder="1" applyAlignment="1" applyProtection="1">
      <alignment horizontal="left"/>
      <protection locked="0"/>
    </xf>
    <xf numFmtId="0" fontId="13" fillId="2" borderId="6" xfId="1" applyFont="1" applyFill="1" applyBorder="1" applyAlignment="1">
      <alignment horizontal="center"/>
    </xf>
    <xf numFmtId="0" fontId="20" fillId="2" borderId="0" xfId="1" applyFont="1" applyFill="1" applyAlignment="1" applyProtection="1">
      <alignment horizontal="left"/>
      <protection locked="0"/>
    </xf>
    <xf numFmtId="0" fontId="20" fillId="2" borderId="0" xfId="1" applyFont="1" applyFill="1"/>
    <xf numFmtId="0" fontId="13" fillId="2" borderId="10" xfId="1" applyFont="1" applyFill="1" applyBorder="1" applyAlignment="1" applyProtection="1">
      <alignment horizontal="left"/>
      <protection locked="0"/>
    </xf>
    <xf numFmtId="0" fontId="13" fillId="2" borderId="10" xfId="1" applyFont="1" applyFill="1" applyBorder="1"/>
    <xf numFmtId="0" fontId="20" fillId="2" borderId="9" xfId="1" applyFont="1" applyFill="1" applyBorder="1"/>
    <xf numFmtId="169" fontId="13" fillId="0" borderId="1" xfId="1" applyNumberFormat="1" applyFont="1" applyFill="1" applyBorder="1" applyAlignment="1" applyProtection="1">
      <alignment horizontal="left"/>
    </xf>
    <xf numFmtId="0" fontId="13" fillId="0" borderId="3" xfId="1" applyFont="1" applyFill="1" applyBorder="1"/>
    <xf numFmtId="170" fontId="13" fillId="2" borderId="5" xfId="1" applyNumberFormat="1" applyFont="1" applyFill="1" applyBorder="1" applyProtection="1">
      <protection locked="0"/>
    </xf>
    <xf numFmtId="169" fontId="13" fillId="0" borderId="6" xfId="1" applyNumberFormat="1" applyFont="1" applyFill="1" applyBorder="1" applyAlignment="1" applyProtection="1">
      <alignment horizontal="left"/>
    </xf>
    <xf numFmtId="0" fontId="13" fillId="0" borderId="0" xfId="1" applyFont="1" applyFill="1" applyBorder="1"/>
    <xf numFmtId="170" fontId="13" fillId="2" borderId="14" xfId="1" applyNumberFormat="1" applyFont="1" applyFill="1" applyBorder="1" applyProtection="1">
      <protection locked="0"/>
    </xf>
    <xf numFmtId="0" fontId="13" fillId="2" borderId="0" xfId="1" applyFont="1" applyFill="1" applyBorder="1"/>
    <xf numFmtId="0" fontId="13" fillId="0" borderId="6" xfId="1" applyFont="1" applyFill="1" applyBorder="1" applyAlignment="1">
      <alignment horizontal="left"/>
    </xf>
    <xf numFmtId="168" fontId="13" fillId="2" borderId="14" xfId="1" applyNumberFormat="1" applyFont="1" applyFill="1" applyBorder="1" applyProtection="1">
      <protection locked="0"/>
    </xf>
    <xf numFmtId="0" fontId="20" fillId="0" borderId="6" xfId="1" applyFont="1" applyFill="1" applyBorder="1" applyAlignment="1">
      <alignment horizontal="left"/>
    </xf>
    <xf numFmtId="2" fontId="20" fillId="2" borderId="14" xfId="1" applyNumberFormat="1" applyFont="1" applyFill="1" applyBorder="1" applyProtection="1">
      <protection locked="0"/>
    </xf>
    <xf numFmtId="2" fontId="13" fillId="2" borderId="14" xfId="1" applyNumberFormat="1" applyFont="1" applyFill="1" applyBorder="1" applyProtection="1">
      <protection locked="0"/>
    </xf>
    <xf numFmtId="0" fontId="13" fillId="2" borderId="14" xfId="1" applyFont="1" applyFill="1" applyBorder="1" applyProtection="1">
      <protection locked="0"/>
    </xf>
    <xf numFmtId="0" fontId="13" fillId="0" borderId="8" xfId="1" applyFont="1" applyFill="1" applyBorder="1" applyAlignment="1">
      <alignment horizontal="left"/>
    </xf>
    <xf numFmtId="0" fontId="13" fillId="0" borderId="10" xfId="1" applyFont="1" applyFill="1" applyBorder="1"/>
    <xf numFmtId="0" fontId="13" fillId="2" borderId="7" xfId="1" applyFont="1" applyFill="1" applyBorder="1" applyProtection="1">
      <protection locked="0"/>
    </xf>
    <xf numFmtId="0" fontId="13" fillId="2" borderId="8" xfId="1" applyFont="1" applyFill="1" applyBorder="1" applyAlignment="1">
      <alignment horizontal="center"/>
    </xf>
    <xf numFmtId="0" fontId="13" fillId="0" borderId="0" xfId="1" applyFont="1" applyFill="1"/>
    <xf numFmtId="170" fontId="20" fillId="2" borderId="6" xfId="1" applyNumberFormat="1" applyFont="1" applyFill="1" applyBorder="1"/>
    <xf numFmtId="2" fontId="13" fillId="2" borderId="6" xfId="1" applyNumberFormat="1" applyFont="1" applyFill="1" applyBorder="1" applyAlignment="1">
      <alignment horizontal="center"/>
    </xf>
    <xf numFmtId="0" fontId="13" fillId="2" borderId="0" xfId="1" applyFont="1" applyFill="1" applyAlignment="1">
      <alignment horizontal="center"/>
    </xf>
    <xf numFmtId="170" fontId="13" fillId="2" borderId="6" xfId="1" applyNumberFormat="1" applyFont="1" applyFill="1" applyBorder="1"/>
    <xf numFmtId="0" fontId="20" fillId="2" borderId="6" xfId="1" applyFont="1" applyFill="1" applyBorder="1"/>
    <xf numFmtId="2" fontId="20" fillId="2" borderId="6" xfId="1" applyNumberFormat="1" applyFont="1" applyFill="1" applyBorder="1"/>
    <xf numFmtId="2" fontId="13" fillId="2" borderId="6" xfId="1" applyNumberFormat="1" applyFont="1" applyFill="1" applyBorder="1"/>
    <xf numFmtId="0" fontId="13" fillId="0" borderId="1" xfId="1" applyFont="1" applyFill="1" applyBorder="1" applyAlignment="1">
      <alignment horizontal="left"/>
    </xf>
    <xf numFmtId="0" fontId="13" fillId="2" borderId="1" xfId="1" applyFont="1" applyFill="1" applyBorder="1"/>
    <xf numFmtId="0" fontId="13" fillId="0" borderId="6" xfId="1" applyFont="1" applyFill="1" applyBorder="1"/>
    <xf numFmtId="0" fontId="20" fillId="0" borderId="0" xfId="1" applyFont="1" applyFill="1" applyAlignment="1">
      <alignment horizontal="left"/>
    </xf>
    <xf numFmtId="0" fontId="20" fillId="0" borderId="0" xfId="1" applyFont="1" applyFill="1"/>
    <xf numFmtId="0" fontId="13" fillId="0" borderId="0" xfId="1" applyFont="1" applyFill="1" applyAlignment="1">
      <alignment horizontal="left"/>
    </xf>
    <xf numFmtId="2" fontId="13" fillId="2" borderId="5" xfId="1" applyNumberFormat="1" applyFont="1" applyFill="1" applyBorder="1"/>
    <xf numFmtId="0" fontId="20" fillId="0" borderId="6" xfId="1" applyFont="1" applyFill="1" applyBorder="1"/>
    <xf numFmtId="0" fontId="20" fillId="0" borderId="0" xfId="1" applyFont="1" applyFill="1" applyBorder="1" applyAlignment="1">
      <alignment horizontal="left"/>
    </xf>
    <xf numFmtId="0" fontId="20" fillId="0" borderId="0" xfId="1" applyFont="1" applyFill="1" applyBorder="1"/>
    <xf numFmtId="1" fontId="20" fillId="2" borderId="14" xfId="1" applyNumberFormat="1" applyFont="1" applyFill="1" applyBorder="1"/>
    <xf numFmtId="0" fontId="20" fillId="0" borderId="11" xfId="1" applyFont="1" applyFill="1" applyBorder="1" applyAlignment="1">
      <alignment horizontal="left"/>
    </xf>
    <xf numFmtId="0" fontId="20" fillId="0" borderId="12" xfId="1" applyFont="1" applyFill="1" applyBorder="1"/>
    <xf numFmtId="168" fontId="20" fillId="2" borderId="15" xfId="1" applyNumberFormat="1" applyFont="1" applyFill="1" applyBorder="1"/>
    <xf numFmtId="0" fontId="13" fillId="2" borderId="9" xfId="1" applyFont="1" applyFill="1" applyBorder="1"/>
    <xf numFmtId="0" fontId="13" fillId="2" borderId="6" xfId="1" quotePrefix="1" applyFont="1" applyFill="1" applyBorder="1" applyAlignment="1" applyProtection="1">
      <alignment horizontal="left"/>
      <protection locked="0"/>
    </xf>
    <xf numFmtId="0" fontId="7" fillId="0" borderId="0" xfId="4" applyFont="1"/>
    <xf numFmtId="168" fontId="7" fillId="0" borderId="15" xfId="4" applyNumberFormat="1" applyFont="1" applyBorder="1" applyAlignment="1">
      <alignment horizontal="center"/>
    </xf>
    <xf numFmtId="0" fontId="21" fillId="0" borderId="0" xfId="1" applyFont="1"/>
    <xf numFmtId="0" fontId="22" fillId="0" borderId="0" xfId="1" applyFont="1"/>
    <xf numFmtId="0" fontId="22" fillId="0" borderId="0" xfId="1" applyFont="1" applyAlignment="1">
      <alignment horizontal="center"/>
    </xf>
    <xf numFmtId="0" fontId="7" fillId="0" borderId="0" xfId="1" applyFont="1"/>
    <xf numFmtId="0" fontId="7" fillId="0" borderId="16" xfId="1" applyFont="1" applyBorder="1"/>
    <xf numFmtId="0" fontId="7" fillId="0" borderId="17" xfId="1" applyFont="1" applyBorder="1"/>
    <xf numFmtId="0" fontId="7" fillId="0" borderId="18" xfId="1" applyFont="1" applyBorder="1" applyAlignment="1">
      <alignment horizontal="center"/>
    </xf>
    <xf numFmtId="0" fontId="7" fillId="0" borderId="23" xfId="1" applyFont="1" applyBorder="1" applyAlignment="1">
      <alignment horizontal="center"/>
    </xf>
    <xf numFmtId="0" fontId="7" fillId="0" borderId="19" xfId="1" applyFont="1" applyBorder="1"/>
    <xf numFmtId="0" fontId="7" fillId="0" borderId="13" xfId="1" applyFont="1" applyBorder="1"/>
    <xf numFmtId="173" fontId="7" fillId="0" borderId="15" xfId="1" applyNumberFormat="1" applyFont="1" applyBorder="1" applyAlignment="1">
      <alignment horizontal="center"/>
    </xf>
    <xf numFmtId="173" fontId="7" fillId="0" borderId="11" xfId="1" applyNumberFormat="1" applyFont="1" applyBorder="1" applyAlignment="1">
      <alignment horizontal="center"/>
    </xf>
    <xf numFmtId="0" fontId="7" fillId="0" borderId="15" xfId="1" applyFont="1" applyBorder="1" applyAlignment="1">
      <alignment horizontal="center"/>
    </xf>
    <xf numFmtId="0" fontId="7" fillId="0" borderId="11" xfId="1" applyFont="1" applyBorder="1" applyAlignment="1">
      <alignment horizontal="center"/>
    </xf>
    <xf numFmtId="0" fontId="7" fillId="0" borderId="20" xfId="1" applyFont="1" applyBorder="1" applyAlignment="1">
      <alignment horizontal="left"/>
    </xf>
    <xf numFmtId="0" fontId="7" fillId="0" borderId="15" xfId="1" applyFont="1" applyBorder="1"/>
    <xf numFmtId="168" fontId="7" fillId="0" borderId="11" xfId="4" applyNumberFormat="1" applyFont="1" applyBorder="1" applyAlignment="1">
      <alignment horizontal="center"/>
    </xf>
    <xf numFmtId="0" fontId="7" fillId="0" borderId="20" xfId="1" applyFont="1" applyBorder="1"/>
    <xf numFmtId="2" fontId="7" fillId="0" borderId="15" xfId="1" applyNumberFormat="1" applyFont="1" applyBorder="1" applyAlignment="1">
      <alignment horizontal="center"/>
    </xf>
    <xf numFmtId="2" fontId="7" fillId="0" borderId="11" xfId="1" applyNumberFormat="1" applyFont="1" applyBorder="1" applyAlignment="1">
      <alignment horizontal="center"/>
    </xf>
    <xf numFmtId="1" fontId="7" fillId="0" borderId="15" xfId="1" applyNumberFormat="1" applyFont="1" applyBorder="1" applyAlignment="1">
      <alignment horizontal="center"/>
    </xf>
    <xf numFmtId="1" fontId="7" fillId="0" borderId="11" xfId="1" applyNumberFormat="1" applyFont="1" applyBorder="1" applyAlignment="1">
      <alignment horizontal="center"/>
    </xf>
    <xf numFmtId="168" fontId="7" fillId="0" borderId="15" xfId="1" applyNumberFormat="1" applyFont="1" applyBorder="1" applyAlignment="1">
      <alignment horizontal="center"/>
    </xf>
    <xf numFmtId="168" fontId="7" fillId="0" borderId="11" xfId="1" applyNumberFormat="1" applyFont="1" applyBorder="1" applyAlignment="1">
      <alignment horizontal="center"/>
    </xf>
    <xf numFmtId="3" fontId="7" fillId="0" borderId="15" xfId="1" applyNumberFormat="1" applyFont="1" applyBorder="1" applyAlignment="1">
      <alignment horizontal="center"/>
    </xf>
    <xf numFmtId="3" fontId="7" fillId="0" borderId="11" xfId="1" applyNumberFormat="1" applyFont="1" applyBorder="1" applyAlignment="1">
      <alignment horizontal="center"/>
    </xf>
    <xf numFmtId="0" fontId="7" fillId="0" borderId="21" xfId="1" applyFont="1" applyBorder="1"/>
    <xf numFmtId="0" fontId="7" fillId="0" borderId="22" xfId="1" applyFont="1" applyBorder="1"/>
    <xf numFmtId="3" fontId="7" fillId="0" borderId="22" xfId="1" applyNumberFormat="1" applyFont="1" applyBorder="1" applyAlignment="1">
      <alignment horizontal="center"/>
    </xf>
    <xf numFmtId="3" fontId="7" fillId="0" borderId="24" xfId="1" applyNumberFormat="1" applyFont="1" applyBorder="1" applyAlignment="1">
      <alignment horizontal="center"/>
    </xf>
    <xf numFmtId="0" fontId="20" fillId="4" borderId="11" xfId="1" applyFont="1" applyFill="1" applyBorder="1" applyAlignment="1">
      <alignment horizontal="left"/>
    </xf>
    <xf numFmtId="0" fontId="13" fillId="4" borderId="12" xfId="1" applyFont="1" applyFill="1" applyBorder="1"/>
    <xf numFmtId="0" fontId="13" fillId="4" borderId="13" xfId="1" applyFont="1" applyFill="1" applyBorder="1"/>
    <xf numFmtId="0" fontId="13" fillId="4" borderId="11" xfId="1" applyFont="1" applyFill="1" applyBorder="1"/>
    <xf numFmtId="0" fontId="20" fillId="4" borderId="12" xfId="1" applyFont="1" applyFill="1" applyBorder="1" applyAlignment="1">
      <alignment horizontal="left"/>
    </xf>
    <xf numFmtId="0" fontId="20" fillId="4" borderId="1" xfId="1" applyFont="1" applyFill="1" applyBorder="1" applyAlignment="1">
      <alignment horizontal="right"/>
    </xf>
    <xf numFmtId="0" fontId="20" fillId="4" borderId="2" xfId="1" applyFont="1" applyFill="1" applyBorder="1" applyAlignment="1">
      <alignment horizontal="right"/>
    </xf>
    <xf numFmtId="0" fontId="20" fillId="4" borderId="6" xfId="1" applyFont="1" applyFill="1" applyBorder="1" applyAlignment="1">
      <alignment horizontal="right"/>
    </xf>
    <xf numFmtId="0" fontId="20" fillId="4" borderId="4" xfId="1" applyFont="1" applyFill="1" applyBorder="1" applyAlignment="1">
      <alignment horizontal="right"/>
    </xf>
    <xf numFmtId="0" fontId="20" fillId="4" borderId="0" xfId="1" applyFont="1" applyFill="1" applyBorder="1" applyAlignment="1">
      <alignment horizontal="right"/>
    </xf>
    <xf numFmtId="0" fontId="13" fillId="4" borderId="8" xfId="1" applyFont="1" applyFill="1" applyBorder="1" applyAlignment="1">
      <alignment horizontal="right"/>
    </xf>
    <xf numFmtId="0" fontId="20" fillId="4" borderId="9" xfId="1" applyFont="1" applyFill="1" applyBorder="1" applyAlignment="1">
      <alignment horizontal="right"/>
    </xf>
    <xf numFmtId="0" fontId="20" fillId="4" borderId="2" xfId="1" applyFont="1" applyFill="1" applyBorder="1" applyAlignment="1">
      <alignment horizontal="center"/>
    </xf>
    <xf numFmtId="0" fontId="20" fillId="4" borderId="3" xfId="1" applyFont="1" applyFill="1" applyBorder="1" applyAlignment="1">
      <alignment horizontal="left"/>
    </xf>
    <xf numFmtId="0" fontId="20" fillId="4" borderId="3" xfId="1" applyFont="1" applyFill="1" applyBorder="1"/>
    <xf numFmtId="0" fontId="20" fillId="4" borderId="5" xfId="1" applyFont="1" applyFill="1" applyBorder="1" applyAlignment="1">
      <alignment horizontal="center"/>
    </xf>
    <xf numFmtId="0" fontId="20" fillId="4" borderId="4" xfId="1" applyFont="1" applyFill="1" applyBorder="1" applyAlignment="1">
      <alignment horizontal="center"/>
    </xf>
    <xf numFmtId="0" fontId="20" fillId="4" borderId="14" xfId="1" applyFont="1" applyFill="1" applyBorder="1" applyAlignment="1">
      <alignment horizontal="center"/>
    </xf>
    <xf numFmtId="0" fontId="20" fillId="4" borderId="4" xfId="1" applyFont="1" applyFill="1" applyBorder="1"/>
    <xf numFmtId="0" fontId="20" fillId="4" borderId="7" xfId="1" applyFont="1" applyFill="1" applyBorder="1"/>
    <xf numFmtId="0" fontId="25" fillId="2" borderId="0" xfId="1" applyFont="1" applyFill="1" applyAlignment="1">
      <alignment horizontal="left"/>
    </xf>
    <xf numFmtId="0" fontId="20" fillId="2" borderId="8" xfId="1" applyFont="1" applyFill="1" applyBorder="1" applyAlignment="1">
      <alignment horizontal="center"/>
    </xf>
    <xf numFmtId="0" fontId="23" fillId="2" borderId="6" xfId="1" applyFont="1" applyFill="1" applyBorder="1" applyAlignment="1">
      <alignment horizontal="left"/>
    </xf>
    <xf numFmtId="0" fontId="23" fillId="2" borderId="6" xfId="1" quotePrefix="1" applyFont="1" applyFill="1" applyBorder="1" applyAlignment="1">
      <alignment horizontal="left"/>
    </xf>
    <xf numFmtId="0" fontId="23" fillId="2" borderId="8" xfId="1" applyFont="1" applyFill="1" applyBorder="1" applyAlignment="1">
      <alignment horizontal="left"/>
    </xf>
    <xf numFmtId="171" fontId="13" fillId="2" borderId="14" xfId="1" applyNumberFormat="1" applyFont="1" applyFill="1" applyBorder="1" applyAlignment="1">
      <alignment horizontal="center"/>
    </xf>
    <xf numFmtId="0" fontId="27" fillId="2" borderId="0" xfId="1" applyFont="1" applyFill="1"/>
    <xf numFmtId="0" fontId="27" fillId="2" borderId="0" xfId="1" applyFont="1" applyFill="1" applyAlignment="1">
      <alignment horizontal="right"/>
    </xf>
    <xf numFmtId="0" fontId="11" fillId="4" borderId="11" xfId="0" applyFont="1" applyFill="1" applyBorder="1" applyAlignment="1" applyProtection="1">
      <alignment horizontal="left"/>
    </xf>
    <xf numFmtId="0" fontId="10" fillId="4" borderId="12" xfId="0" applyFont="1" applyFill="1" applyBorder="1"/>
    <xf numFmtId="0" fontId="11" fillId="4" borderId="15" xfId="0" applyFont="1" applyFill="1" applyBorder="1" applyAlignment="1" applyProtection="1">
      <alignment horizontal="left"/>
    </xf>
    <xf numFmtId="0" fontId="11" fillId="4" borderId="25" xfId="0" applyFont="1" applyFill="1" applyBorder="1" applyAlignment="1" applyProtection="1">
      <alignment horizontal="left"/>
    </xf>
    <xf numFmtId="0" fontId="11" fillId="4" borderId="26" xfId="0" applyFont="1" applyFill="1" applyBorder="1" applyAlignment="1" applyProtection="1">
      <alignment horizontal="left"/>
    </xf>
    <xf numFmtId="0" fontId="10" fillId="4" borderId="27" xfId="0" applyFont="1" applyFill="1" applyBorder="1"/>
    <xf numFmtId="0" fontId="11" fillId="4" borderId="28" xfId="0" applyFont="1" applyFill="1" applyBorder="1"/>
    <xf numFmtId="0" fontId="7" fillId="4" borderId="15" xfId="0" applyFont="1" applyFill="1" applyBorder="1" applyAlignment="1" applyProtection="1">
      <alignment horizontal="left"/>
    </xf>
    <xf numFmtId="0" fontId="7" fillId="4" borderId="15" xfId="0" applyFont="1" applyFill="1" applyBorder="1"/>
    <xf numFmtId="170" fontId="13" fillId="2" borderId="1" xfId="1" applyNumberFormat="1" applyFont="1" applyFill="1" applyBorder="1" applyAlignment="1" applyProtection="1">
      <alignment horizontal="center"/>
      <protection locked="0"/>
    </xf>
    <xf numFmtId="2" fontId="13" fillId="2" borderId="6" xfId="1" applyNumberFormat="1" applyFont="1" applyFill="1" applyBorder="1" applyAlignment="1" applyProtection="1">
      <alignment horizontal="center"/>
      <protection locked="0"/>
    </xf>
    <xf numFmtId="0" fontId="13" fillId="2" borderId="1" xfId="1" applyFont="1" applyFill="1" applyBorder="1" applyAlignment="1" applyProtection="1">
      <alignment horizontal="center"/>
      <protection locked="0"/>
    </xf>
    <xf numFmtId="171" fontId="13" fillId="2" borderId="5" xfId="1" applyNumberFormat="1" applyFont="1" applyFill="1" applyBorder="1" applyAlignment="1">
      <alignment horizontal="center"/>
    </xf>
    <xf numFmtId="170" fontId="13" fillId="2" borderId="6" xfId="1" applyNumberFormat="1" applyFont="1" applyFill="1" applyBorder="1" applyAlignment="1" applyProtection="1">
      <alignment horizontal="center"/>
      <protection locked="0"/>
    </xf>
    <xf numFmtId="0" fontId="13" fillId="2" borderId="6" xfId="1" applyFont="1" applyFill="1" applyBorder="1" applyAlignment="1" applyProtection="1">
      <alignment horizontal="center"/>
      <protection locked="0"/>
    </xf>
    <xf numFmtId="0" fontId="13" fillId="2" borderId="8" xfId="1" applyFont="1" applyFill="1" applyBorder="1" applyAlignment="1" applyProtection="1">
      <alignment horizontal="center"/>
      <protection locked="0"/>
    </xf>
    <xf numFmtId="2" fontId="13" fillId="2" borderId="8" xfId="1" applyNumberFormat="1" applyFont="1" applyFill="1" applyBorder="1" applyAlignment="1" applyProtection="1">
      <alignment horizontal="center"/>
      <protection locked="0"/>
    </xf>
    <xf numFmtId="171" fontId="13" fillId="2" borderId="7" xfId="1" applyNumberFormat="1" applyFont="1" applyFill="1" applyBorder="1" applyAlignment="1">
      <alignment horizontal="center"/>
    </xf>
    <xf numFmtId="0" fontId="20" fillId="2" borderId="6" xfId="1" applyFont="1" applyFill="1" applyBorder="1" applyAlignment="1">
      <alignment horizontal="center"/>
    </xf>
    <xf numFmtId="2" fontId="20" fillId="2" borderId="6" xfId="1" applyNumberFormat="1" applyFont="1" applyFill="1" applyBorder="1" applyAlignment="1">
      <alignment horizontal="center"/>
    </xf>
    <xf numFmtId="0" fontId="20" fillId="2" borderId="0" xfId="1" applyFont="1" applyFill="1" applyAlignment="1">
      <alignment horizontal="center"/>
    </xf>
    <xf numFmtId="171" fontId="20" fillId="2" borderId="14" xfId="1" applyNumberFormat="1" applyFont="1" applyFill="1" applyBorder="1" applyAlignment="1">
      <alignment horizontal="center"/>
    </xf>
    <xf numFmtId="170" fontId="20" fillId="2" borderId="8" xfId="1" applyNumberFormat="1" applyFont="1" applyFill="1" applyBorder="1" applyAlignment="1">
      <alignment horizontal="center"/>
    </xf>
    <xf numFmtId="2" fontId="20" fillId="2" borderId="8" xfId="1" applyNumberFormat="1" applyFont="1" applyFill="1" applyBorder="1" applyAlignment="1">
      <alignment horizontal="center"/>
    </xf>
    <xf numFmtId="168" fontId="20" fillId="2" borderId="10" xfId="1" applyNumberFormat="1" applyFont="1" applyFill="1" applyBorder="1" applyAlignment="1">
      <alignment horizontal="center"/>
    </xf>
    <xf numFmtId="1" fontId="20" fillId="2" borderId="8" xfId="1" applyNumberFormat="1" applyFont="1" applyFill="1" applyBorder="1" applyAlignment="1">
      <alignment horizontal="center"/>
    </xf>
    <xf numFmtId="171" fontId="20" fillId="2" borderId="7" xfId="1" applyNumberFormat="1" applyFont="1" applyFill="1" applyBorder="1" applyAlignment="1">
      <alignment horizontal="center"/>
    </xf>
    <xf numFmtId="0" fontId="13" fillId="2" borderId="15" xfId="1" applyFont="1" applyFill="1" applyBorder="1"/>
    <xf numFmtId="0" fontId="13" fillId="4" borderId="15" xfId="1" applyFont="1" applyFill="1" applyBorder="1" applyAlignment="1">
      <alignment horizontal="right"/>
    </xf>
    <xf numFmtId="0" fontId="25" fillId="2" borderId="5" xfId="1" applyFont="1" applyFill="1" applyBorder="1" applyAlignment="1">
      <alignment horizontal="center"/>
    </xf>
    <xf numFmtId="168" fontId="23" fillId="2" borderId="14" xfId="1" applyNumberFormat="1" applyFont="1" applyFill="1" applyBorder="1" applyAlignment="1">
      <alignment horizontal="center"/>
    </xf>
    <xf numFmtId="168" fontId="23" fillId="2" borderId="15" xfId="1" applyNumberFormat="1" applyFont="1" applyFill="1" applyBorder="1" applyAlignment="1">
      <alignment horizontal="center"/>
    </xf>
    <xf numFmtId="168" fontId="13" fillId="2" borderId="15" xfId="1" applyNumberFormat="1" applyFont="1" applyFill="1" applyBorder="1" applyAlignment="1">
      <alignment horizontal="center"/>
    </xf>
    <xf numFmtId="0" fontId="10" fillId="0" borderId="0" xfId="0" applyFont="1" applyBorder="1" applyAlignment="1" applyProtection="1">
      <alignment horizontal="right"/>
    </xf>
    <xf numFmtId="0" fontId="2" fillId="0" borderId="0" xfId="5" applyFont="1"/>
    <xf numFmtId="0" fontId="2" fillId="0" borderId="0" xfId="5" applyFont="1" applyAlignment="1">
      <alignment horizontal="right"/>
    </xf>
    <xf numFmtId="14" fontId="2" fillId="0" borderId="0" xfId="5" applyNumberFormat="1" applyFont="1"/>
    <xf numFmtId="21" fontId="2" fillId="0" borderId="0" xfId="5" applyNumberFormat="1" applyFont="1"/>
    <xf numFmtId="173" fontId="10" fillId="0" borderId="0" xfId="0" quotePrefix="1" applyNumberFormat="1" applyFont="1" applyAlignment="1" applyProtection="1">
      <alignment horizontal="right"/>
    </xf>
    <xf numFmtId="173" fontId="10" fillId="0" borderId="0" xfId="0" applyNumberFormat="1" applyFont="1" applyAlignment="1" applyProtection="1">
      <alignment horizontal="right"/>
    </xf>
    <xf numFmtId="0" fontId="11" fillId="0" borderId="0" xfId="0" applyFont="1" applyFill="1" applyBorder="1" applyAlignment="1" applyProtection="1">
      <alignment horizontal="left"/>
    </xf>
    <xf numFmtId="0" fontId="10" fillId="0" borderId="0" xfId="0" applyFont="1" applyFill="1" applyBorder="1"/>
    <xf numFmtId="0" fontId="11" fillId="0" borderId="0" xfId="0" applyFont="1" applyAlignment="1" applyProtection="1">
      <alignment horizontal="right"/>
    </xf>
    <xf numFmtId="0" fontId="28" fillId="0" borderId="0" xfId="0" applyFont="1" applyAlignment="1" applyProtection="1">
      <alignment horizontal="right"/>
    </xf>
    <xf numFmtId="167" fontId="10" fillId="0" borderId="0" xfId="0" applyNumberFormat="1" applyFont="1" applyProtection="1"/>
    <xf numFmtId="172" fontId="10" fillId="0" borderId="0" xfId="0" applyNumberFormat="1" applyFont="1" applyProtection="1"/>
    <xf numFmtId="172" fontId="11" fillId="0" borderId="0" xfId="3" applyNumberFormat="1" applyFont="1" applyAlignment="1" applyProtection="1">
      <alignment horizontal="right"/>
    </xf>
    <xf numFmtId="0" fontId="10" fillId="4" borderId="13" xfId="0" applyFont="1" applyFill="1" applyBorder="1"/>
    <xf numFmtId="0" fontId="10" fillId="4" borderId="15" xfId="0" applyFont="1" applyFill="1" applyBorder="1" applyAlignment="1" applyProtection="1">
      <alignment horizontal="left"/>
    </xf>
    <xf numFmtId="167" fontId="11" fillId="0" borderId="0" xfId="0" applyNumberFormat="1" applyFont="1" applyProtection="1"/>
    <xf numFmtId="166" fontId="10" fillId="0" borderId="0" xfId="3" applyNumberFormat="1" applyFont="1" applyAlignment="1" applyProtection="1">
      <alignment horizontal="right"/>
    </xf>
    <xf numFmtId="0" fontId="10" fillId="0" borderId="0" xfId="0" applyFont="1" applyBorder="1" applyAlignment="1" applyProtection="1">
      <alignment horizontal="left"/>
    </xf>
    <xf numFmtId="0" fontId="10" fillId="0" borderId="0" xfId="2" applyFont="1" applyProtection="1"/>
    <xf numFmtId="0" fontId="10" fillId="0" borderId="0" xfId="2" applyFont="1" applyAlignment="1" applyProtection="1">
      <alignment horizontal="left"/>
    </xf>
    <xf numFmtId="167" fontId="16" fillId="0" borderId="0" xfId="0" applyNumberFormat="1" applyFont="1" applyBorder="1" applyAlignment="1" applyProtection="1">
      <alignment horizontal="right"/>
    </xf>
    <xf numFmtId="0" fontId="7" fillId="0" borderId="0" xfId="3" applyFont="1"/>
    <xf numFmtId="0" fontId="7" fillId="0" borderId="0" xfId="3" applyFont="1" applyAlignment="1">
      <alignment horizontal="right"/>
    </xf>
    <xf numFmtId="168" fontId="7" fillId="0" borderId="0" xfId="0" applyNumberFormat="1" applyFont="1" applyAlignment="1">
      <alignment horizontal="left"/>
    </xf>
    <xf numFmtId="0" fontId="10" fillId="4" borderId="28" xfId="0" applyFont="1" applyFill="1" applyBorder="1"/>
    <xf numFmtId="14" fontId="10" fillId="0" borderId="0" xfId="0" applyNumberFormat="1" applyFont="1"/>
    <xf numFmtId="21" fontId="10" fillId="0" borderId="0" xfId="0" applyNumberFormat="1" applyFont="1"/>
    <xf numFmtId="0" fontId="7" fillId="0" borderId="30" xfId="1" applyFont="1" applyBorder="1" applyAlignment="1">
      <alignment horizontal="center"/>
    </xf>
    <xf numFmtId="173" fontId="7" fillId="0" borderId="31" xfId="1" applyNumberFormat="1" applyFont="1" applyBorder="1" applyAlignment="1">
      <alignment horizontal="center"/>
    </xf>
    <xf numFmtId="0" fontId="7" fillId="0" borderId="31" xfId="1" applyFont="1" applyBorder="1" applyAlignment="1">
      <alignment horizontal="center"/>
    </xf>
    <xf numFmtId="168" fontId="7" fillId="0" borderId="31" xfId="4" applyNumberFormat="1" applyFont="1" applyBorder="1" applyAlignment="1">
      <alignment horizontal="center"/>
    </xf>
    <xf numFmtId="2" fontId="7" fillId="0" borderId="31" xfId="4" applyNumberFormat="1" applyFont="1" applyBorder="1" applyAlignment="1">
      <alignment horizontal="center"/>
    </xf>
    <xf numFmtId="2" fontId="7" fillId="0" borderId="31" xfId="1" applyNumberFormat="1" applyFont="1" applyBorder="1" applyAlignment="1">
      <alignment horizontal="center"/>
    </xf>
    <xf numFmtId="1" fontId="7" fillId="0" borderId="31" xfId="1" applyNumberFormat="1" applyFont="1" applyBorder="1" applyAlignment="1">
      <alignment horizontal="center"/>
    </xf>
    <xf numFmtId="168" fontId="7" fillId="0" borderId="31" xfId="1" applyNumberFormat="1" applyFont="1" applyBorder="1" applyAlignment="1">
      <alignment horizontal="center"/>
    </xf>
    <xf numFmtId="3" fontId="7" fillId="0" borderId="31" xfId="1" applyNumberFormat="1" applyFont="1" applyBorder="1" applyAlignment="1">
      <alignment horizontal="center"/>
    </xf>
    <xf numFmtId="3" fontId="7" fillId="0" borderId="32" xfId="1" applyNumberFormat="1" applyFont="1" applyBorder="1" applyAlignment="1">
      <alignment horizontal="center"/>
    </xf>
    <xf numFmtId="0" fontId="7" fillId="0" borderId="0" xfId="0" applyFont="1" applyAlignment="1">
      <alignment horizontal="left"/>
    </xf>
    <xf numFmtId="0" fontId="7" fillId="0" borderId="0" xfId="0" applyFont="1" applyBorder="1"/>
    <xf numFmtId="0" fontId="17" fillId="0" borderId="0" xfId="0" applyFont="1" applyAlignment="1" applyProtection="1">
      <alignment horizontal="left"/>
    </xf>
    <xf numFmtId="0" fontId="17" fillId="0" borderId="0" xfId="0" applyFont="1" applyBorder="1" applyAlignment="1" applyProtection="1">
      <alignment horizontal="left"/>
    </xf>
    <xf numFmtId="173" fontId="7" fillId="0" borderId="0" xfId="0" quotePrefix="1" applyNumberFormat="1" applyFont="1" applyAlignment="1" applyProtection="1">
      <alignment horizontal="left"/>
    </xf>
    <xf numFmtId="166" fontId="7" fillId="0" borderId="0" xfId="0" applyNumberFormat="1" applyFont="1" applyAlignment="1" applyProtection="1">
      <alignment horizontal="left"/>
    </xf>
    <xf numFmtId="1" fontId="7" fillId="0" borderId="0" xfId="0" applyNumberFormat="1" applyFont="1" applyAlignment="1" applyProtection="1">
      <alignment horizontal="left"/>
    </xf>
    <xf numFmtId="164" fontId="7" fillId="0" borderId="0" xfId="0" applyNumberFormat="1" applyFont="1" applyAlignment="1" applyProtection="1">
      <alignment horizontal="left"/>
    </xf>
    <xf numFmtId="169" fontId="7" fillId="0" borderId="0" xfId="0" applyNumberFormat="1" applyFont="1" applyAlignment="1" applyProtection="1">
      <alignment horizontal="left"/>
    </xf>
    <xf numFmtId="0" fontId="17" fillId="4" borderId="11" xfId="0" applyFont="1" applyFill="1" applyBorder="1" applyAlignment="1" applyProtection="1">
      <alignment horizontal="left"/>
    </xf>
    <xf numFmtId="0" fontId="7" fillId="4" borderId="12" xfId="0" applyFont="1" applyFill="1" applyBorder="1"/>
    <xf numFmtId="0" fontId="7" fillId="4" borderId="12" xfId="0" applyFont="1" applyFill="1" applyBorder="1" applyAlignment="1">
      <alignment horizontal="left"/>
    </xf>
    <xf numFmtId="0" fontId="7" fillId="4" borderId="13" xfId="0" applyFont="1" applyFill="1" applyBorder="1" applyAlignment="1">
      <alignment horizontal="left"/>
    </xf>
    <xf numFmtId="0" fontId="7" fillId="0" borderId="0" xfId="0" quotePrefix="1" applyFont="1"/>
    <xf numFmtId="175" fontId="7" fillId="0" borderId="0" xfId="0" applyNumberFormat="1" applyFont="1" applyAlignment="1" applyProtection="1">
      <alignment horizontal="left"/>
    </xf>
    <xf numFmtId="0" fontId="17" fillId="4" borderId="15" xfId="0" applyFont="1" applyFill="1" applyBorder="1" applyAlignment="1" applyProtection="1">
      <alignment horizontal="left"/>
    </xf>
    <xf numFmtId="0" fontId="17" fillId="0" borderId="0" xfId="0" applyFont="1" applyAlignment="1">
      <alignment horizontal="left"/>
    </xf>
    <xf numFmtId="0" fontId="17" fillId="0" borderId="0" xfId="0" applyFont="1"/>
    <xf numFmtId="0" fontId="17" fillId="0" borderId="0" xfId="0" applyFont="1" applyBorder="1"/>
    <xf numFmtId="11" fontId="17" fillId="0" borderId="0" xfId="0" applyNumberFormat="1" applyFont="1" applyAlignment="1" applyProtection="1">
      <alignment horizontal="left"/>
    </xf>
    <xf numFmtId="11" fontId="17" fillId="0" borderId="0" xfId="0" applyNumberFormat="1" applyFont="1" applyBorder="1" applyAlignment="1" applyProtection="1">
      <alignment horizontal="left"/>
    </xf>
    <xf numFmtId="0" fontId="17" fillId="4" borderId="5" xfId="0" applyFont="1" applyFill="1" applyBorder="1" applyAlignment="1" applyProtection="1">
      <alignment horizontal="left"/>
    </xf>
    <xf numFmtId="0" fontId="7" fillId="0" borderId="1" xfId="0" applyFont="1" applyBorder="1" applyAlignment="1" applyProtection="1">
      <alignment horizontal="left"/>
    </xf>
    <xf numFmtId="0" fontId="7" fillId="0" borderId="3" xfId="0" applyFont="1" applyBorder="1"/>
    <xf numFmtId="0" fontId="7" fillId="0" borderId="3" xfId="0" applyFont="1" applyBorder="1" applyAlignment="1">
      <alignment horizontal="left"/>
    </xf>
    <xf numFmtId="0" fontId="7" fillId="0" borderId="2" xfId="0" applyFont="1" applyBorder="1" applyAlignment="1">
      <alignment horizontal="left"/>
    </xf>
    <xf numFmtId="0" fontId="7" fillId="0" borderId="6" xfId="0" applyFont="1" applyBorder="1" applyAlignment="1" applyProtection="1">
      <alignment horizontal="left"/>
    </xf>
    <xf numFmtId="0" fontId="7" fillId="0" borderId="0" xfId="0" applyFont="1" applyBorder="1" applyAlignment="1">
      <alignment horizontal="left"/>
    </xf>
    <xf numFmtId="0" fontId="7" fillId="0" borderId="4" xfId="0" applyFont="1" applyBorder="1" applyAlignment="1">
      <alignment horizontal="left"/>
    </xf>
    <xf numFmtId="172" fontId="7" fillId="0" borderId="6" xfId="0" applyNumberFormat="1" applyFont="1" applyBorder="1" applyAlignment="1" applyProtection="1">
      <alignment horizontal="left"/>
    </xf>
    <xf numFmtId="11" fontId="7" fillId="0" borderId="0" xfId="0" applyNumberFormat="1" applyFont="1" applyAlignment="1">
      <alignment horizontal="left"/>
    </xf>
    <xf numFmtId="0" fontId="7" fillId="0" borderId="0" xfId="0" applyFont="1" applyBorder="1" applyAlignment="1" applyProtection="1">
      <alignment horizontal="left"/>
    </xf>
    <xf numFmtId="164" fontId="7" fillId="0" borderId="0" xfId="0" applyNumberFormat="1" applyFont="1" applyBorder="1" applyAlignment="1" applyProtection="1">
      <alignment horizontal="left"/>
    </xf>
    <xf numFmtId="0" fontId="7" fillId="0" borderId="8" xfId="0" quotePrefix="1" applyFont="1" applyBorder="1" applyAlignment="1" applyProtection="1">
      <alignment horizontal="left"/>
    </xf>
    <xf numFmtId="166" fontId="10" fillId="0" borderId="0" xfId="0" applyNumberFormat="1" applyFont="1" applyProtection="1"/>
    <xf numFmtId="170" fontId="20" fillId="2" borderId="14" xfId="1" applyNumberFormat="1" applyFont="1" applyFill="1" applyBorder="1" applyProtection="1">
      <protection locked="0"/>
    </xf>
    <xf numFmtId="167" fontId="7" fillId="0" borderId="0" xfId="0" applyNumberFormat="1" applyFont="1" applyAlignment="1" applyProtection="1">
      <alignment horizontal="left"/>
    </xf>
    <xf numFmtId="169" fontId="11" fillId="0" borderId="0" xfId="0" applyNumberFormat="1" applyFont="1" applyProtection="1"/>
    <xf numFmtId="176" fontId="17" fillId="0" borderId="0" xfId="0" applyNumberFormat="1" applyFont="1"/>
    <xf numFmtId="0" fontId="3" fillId="4" borderId="25" xfId="0" applyFont="1" applyFill="1" applyBorder="1"/>
    <xf numFmtId="0" fontId="29" fillId="0" borderId="0" xfId="0" applyFont="1"/>
    <xf numFmtId="0" fontId="10" fillId="5" borderId="0" xfId="0" applyFont="1" applyFill="1"/>
    <xf numFmtId="167" fontId="11" fillId="5" borderId="0" xfId="3" applyNumberFormat="1" applyFont="1" applyFill="1" applyAlignment="1" applyProtection="1">
      <alignment horizontal="right"/>
    </xf>
    <xf numFmtId="170" fontId="10" fillId="0" borderId="0" xfId="0" applyNumberFormat="1" applyFont="1"/>
    <xf numFmtId="0" fontId="10" fillId="0" borderId="0" xfId="0" applyFont="1" applyFill="1"/>
    <xf numFmtId="167" fontId="11" fillId="0" borderId="0" xfId="3" applyNumberFormat="1" applyFont="1" applyFill="1" applyAlignment="1" applyProtection="1">
      <alignment horizontal="right"/>
    </xf>
    <xf numFmtId="0" fontId="30" fillId="0" borderId="0" xfId="0" applyFont="1"/>
    <xf numFmtId="170" fontId="30" fillId="0" borderId="0" xfId="0" applyNumberFormat="1" applyFont="1"/>
    <xf numFmtId="0" fontId="31" fillId="0" borderId="0" xfId="0" applyFont="1" applyAlignment="1" applyProtection="1">
      <alignment horizontal="left"/>
    </xf>
    <xf numFmtId="167" fontId="32" fillId="0" borderId="0" xfId="3" applyNumberFormat="1" applyFont="1" applyFill="1" applyAlignment="1" applyProtection="1">
      <alignment horizontal="right"/>
    </xf>
    <xf numFmtId="170" fontId="32" fillId="0" borderId="0" xfId="0" applyNumberFormat="1" applyFont="1"/>
    <xf numFmtId="0" fontId="10" fillId="0" borderId="0" xfId="7" applyFont="1" applyProtection="1">
      <protection hidden="1"/>
    </xf>
    <xf numFmtId="0" fontId="10" fillId="0" borderId="0" xfId="7" applyFont="1"/>
    <xf numFmtId="0" fontId="10" fillId="0" borderId="0" xfId="7" applyFont="1" applyFill="1" applyBorder="1"/>
    <xf numFmtId="0" fontId="10" fillId="0" borderId="0" xfId="7" applyFont="1" applyFill="1" applyBorder="1" applyProtection="1">
      <protection locked="0" hidden="1"/>
    </xf>
    <xf numFmtId="0" fontId="34" fillId="0" borderId="0" xfId="7" applyFont="1" applyFill="1" applyBorder="1" applyProtection="1">
      <protection hidden="1"/>
    </xf>
    <xf numFmtId="0" fontId="10" fillId="0" borderId="0" xfId="7" applyFont="1" applyFill="1" applyBorder="1" applyProtection="1">
      <protection hidden="1"/>
    </xf>
    <xf numFmtId="0" fontId="34" fillId="0" borderId="0" xfId="7" applyFont="1" applyFill="1" applyBorder="1" applyAlignment="1">
      <alignment vertical="center"/>
    </xf>
    <xf numFmtId="168" fontId="35" fillId="0" borderId="0" xfId="7" applyNumberFormat="1" applyFont="1" applyFill="1" applyBorder="1" applyProtection="1">
      <protection locked="0" hidden="1"/>
    </xf>
    <xf numFmtId="0" fontId="34" fillId="0" borderId="0" xfId="7" applyFont="1" applyFill="1" applyBorder="1"/>
    <xf numFmtId="0" fontId="11" fillId="0" borderId="0" xfId="7" applyFont="1" applyFill="1" applyBorder="1" applyProtection="1">
      <protection locked="0" hidden="1"/>
    </xf>
    <xf numFmtId="0" fontId="36" fillId="0" borderId="0" xfId="7" applyFont="1" applyFill="1" applyBorder="1" applyAlignment="1" applyProtection="1">
      <alignment horizontal="center"/>
      <protection hidden="1"/>
    </xf>
    <xf numFmtId="0" fontId="10" fillId="0" borderId="0" xfId="7" applyFont="1" applyProtection="1">
      <protection locked="0"/>
    </xf>
    <xf numFmtId="0" fontId="10" fillId="6" borderId="15" xfId="7" applyFont="1" applyFill="1" applyBorder="1" applyAlignment="1" applyProtection="1">
      <protection locked="0"/>
    </xf>
    <xf numFmtId="0" fontId="10" fillId="7" borderId="15" xfId="7" applyFont="1" applyFill="1" applyBorder="1" applyAlignment="1" applyProtection="1">
      <alignment wrapText="1"/>
      <protection locked="0"/>
    </xf>
    <xf numFmtId="0" fontId="10" fillId="7" borderId="15" xfId="7" applyFont="1" applyFill="1" applyBorder="1" applyAlignment="1" applyProtection="1">
      <protection locked="0"/>
    </xf>
    <xf numFmtId="0" fontId="10" fillId="7" borderId="7" xfId="7" applyFont="1" applyFill="1" applyBorder="1" applyAlignment="1" applyProtection="1">
      <protection locked="0"/>
    </xf>
    <xf numFmtId="0" fontId="10" fillId="7" borderId="11" xfId="7" applyFont="1" applyFill="1" applyBorder="1" applyAlignment="1" applyProtection="1">
      <protection locked="0"/>
    </xf>
    <xf numFmtId="0" fontId="37" fillId="0" borderId="33" xfId="7" applyFont="1" applyBorder="1" applyProtection="1">
      <protection hidden="1"/>
    </xf>
    <xf numFmtId="0" fontId="10" fillId="6" borderId="11" xfId="7" applyFont="1" applyFill="1" applyBorder="1" applyAlignment="1" applyProtection="1">
      <protection locked="0"/>
    </xf>
    <xf numFmtId="0" fontId="10" fillId="8" borderId="15" xfId="7" applyFont="1" applyFill="1" applyBorder="1" applyAlignment="1" applyProtection="1">
      <protection locked="0"/>
    </xf>
    <xf numFmtId="0" fontId="10" fillId="0" borderId="33" xfId="7" applyFont="1" applyBorder="1" applyProtection="1">
      <protection hidden="1"/>
    </xf>
    <xf numFmtId="20" fontId="10" fillId="7" borderId="11" xfId="7" applyNumberFormat="1" applyFont="1" applyFill="1" applyBorder="1" applyAlignment="1" applyProtection="1">
      <protection locked="0"/>
    </xf>
    <xf numFmtId="0" fontId="10" fillId="9" borderId="15" xfId="7" applyFont="1" applyFill="1" applyBorder="1" applyAlignment="1" applyProtection="1">
      <alignment horizontal="center" wrapText="1"/>
      <protection hidden="1"/>
    </xf>
    <xf numFmtId="0" fontId="10" fillId="9" borderId="25" xfId="7" applyFont="1" applyFill="1" applyBorder="1" applyAlignment="1" applyProtection="1">
      <alignment horizontal="center"/>
    </xf>
    <xf numFmtId="0" fontId="10" fillId="9" borderId="25" xfId="7" applyFont="1" applyFill="1" applyBorder="1" applyAlignment="1" applyProtection="1">
      <alignment horizontal="center" wrapText="1"/>
      <protection hidden="1"/>
    </xf>
    <xf numFmtId="0" fontId="10" fillId="9" borderId="15" xfId="7" applyFont="1" applyFill="1" applyBorder="1" applyAlignment="1" applyProtection="1">
      <alignment horizontal="center"/>
      <protection hidden="1"/>
    </xf>
    <xf numFmtId="0" fontId="10" fillId="9" borderId="15" xfId="7" applyFont="1" applyFill="1" applyBorder="1" applyProtection="1">
      <protection hidden="1"/>
    </xf>
    <xf numFmtId="0" fontId="10" fillId="0" borderId="0" xfId="7" applyFont="1" applyProtection="1"/>
    <xf numFmtId="0" fontId="10" fillId="0" borderId="0" xfId="7" applyFont="1" applyBorder="1" applyProtection="1">
      <protection hidden="1"/>
    </xf>
    <xf numFmtId="170" fontId="10" fillId="7" borderId="34" xfId="7" applyNumberFormat="1" applyFont="1" applyFill="1" applyBorder="1" applyAlignment="1" applyProtection="1">
      <alignment horizontal="center"/>
      <protection locked="0" hidden="1"/>
    </xf>
    <xf numFmtId="0" fontId="10" fillId="7" borderId="36" xfId="7" applyNumberFormat="1" applyFont="1" applyFill="1" applyBorder="1" applyAlignment="1" applyProtection="1">
      <protection locked="0"/>
    </xf>
    <xf numFmtId="0" fontId="10" fillId="7" borderId="37" xfId="7" applyNumberFormat="1" applyFont="1" applyFill="1" applyBorder="1" applyAlignment="1" applyProtection="1">
      <protection locked="0"/>
    </xf>
    <xf numFmtId="0" fontId="10" fillId="0" borderId="34" xfId="7" applyFont="1" applyBorder="1" applyProtection="1">
      <protection hidden="1"/>
    </xf>
    <xf numFmtId="0" fontId="10" fillId="7" borderId="39" xfId="7" applyFont="1" applyFill="1" applyBorder="1" applyAlignment="1" applyProtection="1">
      <alignment horizontal="center"/>
      <protection locked="0"/>
    </xf>
    <xf numFmtId="0" fontId="41" fillId="0" borderId="0" xfId="7" applyFont="1" applyFill="1" applyAlignment="1"/>
    <xf numFmtId="0" fontId="10" fillId="0" borderId="41" xfId="7" applyFont="1" applyBorder="1" applyProtection="1">
      <protection hidden="1"/>
    </xf>
    <xf numFmtId="0" fontId="10" fillId="7" borderId="42" xfId="7" applyFont="1" applyFill="1" applyBorder="1" applyAlignment="1" applyProtection="1">
      <protection locked="0"/>
    </xf>
    <xf numFmtId="0" fontId="10" fillId="7" borderId="43" xfId="7" applyFont="1" applyFill="1" applyBorder="1" applyAlignment="1" applyProtection="1">
      <protection locked="0"/>
    </xf>
    <xf numFmtId="0" fontId="10" fillId="7" borderId="44" xfId="7" applyFont="1" applyFill="1" applyBorder="1" applyAlignment="1" applyProtection="1">
      <alignment horizontal="center"/>
      <protection locked="0"/>
    </xf>
    <xf numFmtId="0" fontId="34" fillId="0" borderId="0" xfId="7" applyFont="1" applyFill="1" applyAlignment="1" applyProtection="1">
      <protection hidden="1"/>
    </xf>
    <xf numFmtId="0" fontId="11" fillId="0" borderId="41" xfId="7" applyFont="1" applyBorder="1" applyAlignment="1" applyProtection="1">
      <protection hidden="1"/>
    </xf>
    <xf numFmtId="0" fontId="11" fillId="0" borderId="0" xfId="7" applyFont="1" applyBorder="1" applyAlignment="1" applyProtection="1">
      <protection hidden="1"/>
    </xf>
    <xf numFmtId="0" fontId="28" fillId="0" borderId="0" xfId="7" applyFont="1" applyBorder="1" applyProtection="1">
      <protection hidden="1"/>
    </xf>
    <xf numFmtId="0" fontId="42" fillId="0" borderId="0" xfId="7" applyFont="1" applyAlignment="1"/>
    <xf numFmtId="0" fontId="43" fillId="0" borderId="0" xfId="7" applyFont="1" applyFill="1" applyAlignment="1"/>
    <xf numFmtId="0" fontId="10" fillId="7" borderId="48" xfId="7" applyFont="1" applyFill="1" applyBorder="1" applyAlignment="1" applyProtection="1">
      <alignment horizontal="center"/>
      <protection locked="0"/>
    </xf>
    <xf numFmtId="0" fontId="28" fillId="0" borderId="33" xfId="7" applyFont="1" applyBorder="1" applyAlignment="1" applyProtection="1">
      <protection hidden="1"/>
    </xf>
    <xf numFmtId="0" fontId="10" fillId="6" borderId="45" xfId="7" applyFont="1" applyFill="1" applyBorder="1" applyAlignment="1" applyProtection="1">
      <alignment horizontal="center"/>
      <protection locked="0"/>
    </xf>
    <xf numFmtId="0" fontId="10" fillId="6" borderId="48" xfId="7" applyFont="1" applyFill="1" applyBorder="1" applyProtection="1">
      <protection locked="0"/>
    </xf>
    <xf numFmtId="0" fontId="10" fillId="7" borderId="50" xfId="7" applyFont="1" applyFill="1" applyBorder="1" applyAlignment="1" applyProtection="1">
      <protection locked="0"/>
    </xf>
    <xf numFmtId="0" fontId="10" fillId="7" borderId="51" xfId="7" applyFont="1" applyFill="1" applyBorder="1" applyAlignment="1" applyProtection="1">
      <protection locked="0"/>
    </xf>
    <xf numFmtId="0" fontId="10" fillId="0" borderId="52" xfId="7" applyFont="1" applyBorder="1" applyProtection="1">
      <protection hidden="1"/>
    </xf>
    <xf numFmtId="0" fontId="10" fillId="0" borderId="53" xfId="7" applyFont="1" applyBorder="1" applyProtection="1">
      <protection hidden="1"/>
    </xf>
    <xf numFmtId="0" fontId="28" fillId="0" borderId="53" xfId="7" applyFont="1" applyBorder="1" applyAlignment="1" applyProtection="1">
      <protection hidden="1"/>
    </xf>
    <xf numFmtId="0" fontId="11" fillId="7" borderId="54" xfId="7" applyFont="1" applyFill="1" applyBorder="1" applyProtection="1">
      <protection locked="0"/>
    </xf>
    <xf numFmtId="0" fontId="11" fillId="0" borderId="53" xfId="7" applyFont="1" applyFill="1" applyBorder="1" applyAlignment="1" applyProtection="1">
      <alignment horizontal="center"/>
      <protection hidden="1"/>
    </xf>
    <xf numFmtId="0" fontId="11" fillId="7" borderId="53" xfId="7" applyFont="1" applyFill="1" applyBorder="1" applyAlignment="1" applyProtection="1">
      <protection locked="0"/>
    </xf>
    <xf numFmtId="0" fontId="11" fillId="0" borderId="55" xfId="7" applyFont="1" applyFill="1" applyBorder="1" applyAlignment="1" applyProtection="1">
      <alignment horizontal="center"/>
      <protection hidden="1"/>
    </xf>
    <xf numFmtId="2" fontId="10" fillId="7" borderId="39" xfId="7" applyNumberFormat="1" applyFont="1" applyFill="1" applyBorder="1" applyAlignment="1" applyProtection="1">
      <alignment horizontal="center"/>
      <protection locked="0"/>
    </xf>
    <xf numFmtId="0" fontId="10" fillId="7" borderId="45" xfId="7" applyFont="1" applyFill="1" applyBorder="1" applyAlignment="1" applyProtection="1">
      <alignment horizontal="center"/>
      <protection locked="0"/>
    </xf>
    <xf numFmtId="0" fontId="11" fillId="7" borderId="39" xfId="7" applyFont="1" applyFill="1" applyBorder="1" applyAlignment="1" applyProtection="1">
      <alignment horizontal="center"/>
      <protection locked="0"/>
    </xf>
    <xf numFmtId="0" fontId="11" fillId="0" borderId="35" xfId="7" applyFont="1" applyFill="1" applyBorder="1" applyAlignment="1" applyProtection="1">
      <alignment horizontal="center"/>
      <protection hidden="1"/>
    </xf>
    <xf numFmtId="0" fontId="11" fillId="6" borderId="40" xfId="7" applyFont="1" applyFill="1" applyBorder="1" applyAlignment="1" applyProtection="1">
      <alignment horizontal="center"/>
      <protection locked="0"/>
    </xf>
    <xf numFmtId="0" fontId="45" fillId="7" borderId="45" xfId="8" applyFont="1" applyFill="1" applyBorder="1" applyAlignment="1" applyProtection="1">
      <alignment horizontal="center"/>
      <protection locked="0"/>
    </xf>
    <xf numFmtId="0" fontId="11" fillId="7" borderId="45" xfId="7" applyFont="1" applyFill="1" applyBorder="1" applyAlignment="1" applyProtection="1">
      <alignment horizontal="center"/>
      <protection locked="0"/>
    </xf>
    <xf numFmtId="0" fontId="11" fillId="0" borderId="0" xfId="7" applyFont="1" applyFill="1" applyBorder="1" applyAlignment="1" applyProtection="1">
      <alignment horizontal="center"/>
      <protection hidden="1"/>
    </xf>
    <xf numFmtId="0" fontId="11" fillId="6" borderId="46" xfId="7" applyFont="1" applyFill="1" applyBorder="1" applyAlignment="1" applyProtection="1">
      <alignment horizontal="center"/>
      <protection locked="0"/>
    </xf>
    <xf numFmtId="0" fontId="28" fillId="0" borderId="55" xfId="7" applyFont="1" applyBorder="1" applyAlignment="1" applyProtection="1"/>
    <xf numFmtId="0" fontId="10" fillId="0" borderId="0" xfId="7" applyFont="1" applyFill="1" applyProtection="1">
      <protection hidden="1"/>
    </xf>
    <xf numFmtId="0" fontId="10" fillId="0" borderId="0" xfId="7" applyFont="1" applyFill="1" applyBorder="1" applyAlignment="1" applyProtection="1">
      <alignment horizontal="center"/>
      <protection hidden="1"/>
    </xf>
    <xf numFmtId="0" fontId="10" fillId="6" borderId="47" xfId="7" applyFont="1" applyFill="1" applyBorder="1" applyAlignment="1" applyProtection="1">
      <alignment horizontal="center"/>
      <protection locked="0"/>
    </xf>
    <xf numFmtId="0" fontId="10" fillId="0" borderId="41" xfId="7" applyFont="1" applyFill="1" applyBorder="1" applyProtection="1">
      <protection hidden="1"/>
    </xf>
    <xf numFmtId="0" fontId="10" fillId="0" borderId="33" xfId="7" applyFont="1" applyFill="1" applyBorder="1" applyProtection="1">
      <protection hidden="1"/>
    </xf>
    <xf numFmtId="0" fontId="34" fillId="0" borderId="41" xfId="7" applyFont="1" applyFill="1" applyBorder="1" applyAlignment="1" applyProtection="1">
      <alignment horizontal="center"/>
      <protection hidden="1"/>
    </xf>
    <xf numFmtId="0" fontId="10" fillId="7" borderId="0" xfId="7" applyFont="1" applyFill="1" applyBorder="1" applyAlignment="1" applyProtection="1">
      <alignment horizontal="center"/>
      <protection locked="0"/>
    </xf>
    <xf numFmtId="0" fontId="10" fillId="0" borderId="34" xfId="7" applyFont="1" applyFill="1" applyBorder="1" applyProtection="1"/>
    <xf numFmtId="0" fontId="11" fillId="0" borderId="35" xfId="7" applyFont="1" applyFill="1" applyBorder="1" applyProtection="1">
      <protection hidden="1"/>
    </xf>
    <xf numFmtId="0" fontId="10" fillId="7" borderId="41" xfId="7" applyFont="1" applyFill="1" applyBorder="1" applyAlignment="1" applyProtection="1">
      <alignment horizontal="center"/>
      <protection locked="0"/>
    </xf>
    <xf numFmtId="0" fontId="10" fillId="6" borderId="0" xfId="7" applyFont="1" applyFill="1" applyBorder="1" applyAlignment="1" applyProtection="1">
      <alignment horizontal="center"/>
      <protection locked="0"/>
    </xf>
    <xf numFmtId="0" fontId="10" fillId="0" borderId="41" xfId="7" applyFont="1" applyFill="1" applyBorder="1" applyAlignment="1" applyProtection="1">
      <alignment horizontal="center"/>
      <protection hidden="1"/>
    </xf>
    <xf numFmtId="0" fontId="11" fillId="0" borderId="0" xfId="7" applyFont="1" applyFill="1" applyBorder="1" applyAlignment="1" applyProtection="1">
      <alignment horizontal="left"/>
      <protection hidden="1"/>
    </xf>
    <xf numFmtId="0" fontId="11" fillId="0" borderId="52" xfId="7" applyFont="1" applyFill="1" applyBorder="1" applyAlignment="1" applyProtection="1">
      <alignment horizontal="center"/>
      <protection hidden="1"/>
    </xf>
    <xf numFmtId="0" fontId="11" fillId="0" borderId="53" xfId="7" applyFont="1" applyFill="1" applyBorder="1" applyAlignment="1" applyProtection="1">
      <alignment horizontal="center"/>
    </xf>
    <xf numFmtId="0" fontId="10" fillId="0" borderId="53" xfId="7" applyFont="1" applyBorder="1" applyProtection="1"/>
    <xf numFmtId="0" fontId="10" fillId="7" borderId="52" xfId="7" applyFont="1" applyFill="1" applyBorder="1" applyAlignment="1" applyProtection="1">
      <alignment horizontal="center"/>
      <protection locked="0"/>
    </xf>
    <xf numFmtId="0" fontId="11" fillId="0" borderId="53" xfId="7" applyFont="1" applyFill="1" applyBorder="1" applyProtection="1">
      <protection hidden="1"/>
    </xf>
    <xf numFmtId="0" fontId="10" fillId="0" borderId="53" xfId="7" applyFont="1" applyFill="1" applyBorder="1" applyProtection="1">
      <protection hidden="1"/>
    </xf>
    <xf numFmtId="0" fontId="10" fillId="0" borderId="0" xfId="7" applyFont="1" applyFill="1" applyBorder="1" applyProtection="1"/>
    <xf numFmtId="0" fontId="10" fillId="0" borderId="0" xfId="7" applyFont="1" applyFill="1" applyBorder="1" applyAlignment="1" applyProtection="1">
      <protection hidden="1"/>
    </xf>
    <xf numFmtId="0" fontId="43" fillId="0" borderId="0" xfId="7" applyFont="1" applyFill="1" applyAlignment="1" applyProtection="1">
      <protection hidden="1"/>
    </xf>
    <xf numFmtId="0" fontId="11" fillId="0" borderId="26" xfId="7" applyFont="1" applyFill="1" applyBorder="1" applyAlignment="1" applyProtection="1">
      <protection hidden="1"/>
    </xf>
    <xf numFmtId="0" fontId="10" fillId="6" borderId="15" xfId="7" applyFont="1" applyFill="1" applyBorder="1" applyProtection="1">
      <protection locked="0"/>
    </xf>
    <xf numFmtId="0" fontId="10" fillId="7" borderId="15" xfId="7" applyFont="1" applyFill="1" applyBorder="1" applyAlignment="1" applyProtection="1">
      <alignment horizontal="center"/>
      <protection locked="0"/>
    </xf>
    <xf numFmtId="0" fontId="10" fillId="7" borderId="15" xfId="7" applyFont="1" applyFill="1" applyBorder="1" applyProtection="1">
      <protection locked="0"/>
    </xf>
    <xf numFmtId="20" fontId="10" fillId="7" borderId="15" xfId="7" applyNumberFormat="1" applyFont="1" applyFill="1" applyBorder="1" applyProtection="1">
      <protection locked="0"/>
    </xf>
    <xf numFmtId="0" fontId="28" fillId="0" borderId="33" xfId="7" applyFont="1" applyBorder="1" applyProtection="1">
      <protection hidden="1"/>
    </xf>
    <xf numFmtId="0" fontId="28" fillId="0" borderId="55" xfId="7" applyFont="1" applyBorder="1" applyAlignment="1" applyProtection="1">
      <protection hidden="1"/>
    </xf>
    <xf numFmtId="0" fontId="45" fillId="7" borderId="46" xfId="8" applyFont="1" applyFill="1" applyBorder="1" applyAlignment="1" applyProtection="1">
      <alignment horizontal="center"/>
      <protection locked="0"/>
    </xf>
    <xf numFmtId="0" fontId="10" fillId="7" borderId="47" xfId="7" applyFont="1" applyFill="1" applyBorder="1" applyAlignment="1" applyProtection="1">
      <alignment horizontal="center"/>
      <protection locked="0"/>
    </xf>
    <xf numFmtId="0" fontId="10" fillId="0" borderId="35" xfId="7" applyFont="1" applyFill="1" applyBorder="1" applyProtection="1"/>
    <xf numFmtId="0" fontId="10" fillId="7" borderId="53" xfId="7" applyFont="1" applyFill="1" applyBorder="1" applyAlignment="1" applyProtection="1">
      <alignment horizontal="center"/>
    </xf>
    <xf numFmtId="0" fontId="10" fillId="7" borderId="15" xfId="7" applyFont="1" applyFill="1" applyBorder="1" applyAlignment="1" applyProtection="1">
      <alignment horizontal="center" wrapText="1"/>
      <protection locked="0"/>
    </xf>
    <xf numFmtId="0" fontId="10" fillId="7" borderId="7" xfId="7" applyFont="1" applyFill="1" applyBorder="1" applyAlignment="1" applyProtection="1">
      <alignment horizontal="center"/>
      <protection locked="0"/>
    </xf>
    <xf numFmtId="0" fontId="10" fillId="7" borderId="7" xfId="7" applyFont="1" applyFill="1" applyBorder="1" applyProtection="1">
      <protection locked="0"/>
    </xf>
    <xf numFmtId="0" fontId="10" fillId="7" borderId="53" xfId="7" applyFont="1" applyFill="1" applyBorder="1" applyAlignment="1" applyProtection="1">
      <alignment horizontal="center"/>
      <protection locked="0"/>
    </xf>
    <xf numFmtId="0" fontId="11" fillId="0" borderId="55" xfId="7" applyFont="1" applyFill="1" applyBorder="1" applyAlignment="1" applyProtection="1">
      <protection hidden="1"/>
    </xf>
    <xf numFmtId="0" fontId="34" fillId="7" borderId="15" xfId="7" applyFont="1" applyFill="1" applyBorder="1" applyAlignment="1" applyProtection="1">
      <protection locked="0"/>
    </xf>
    <xf numFmtId="0" fontId="34" fillId="7" borderId="15" xfId="7" applyFont="1" applyFill="1" applyBorder="1" applyAlignment="1" applyProtection="1">
      <alignment horizontal="center"/>
      <protection locked="0"/>
    </xf>
    <xf numFmtId="0" fontId="34" fillId="7" borderId="15" xfId="7" applyFont="1" applyFill="1" applyBorder="1" applyProtection="1">
      <protection locked="0"/>
    </xf>
    <xf numFmtId="0" fontId="10" fillId="0" borderId="35" xfId="7" applyFont="1" applyBorder="1" applyProtection="1">
      <protection hidden="1"/>
    </xf>
    <xf numFmtId="0" fontId="10" fillId="7" borderId="40" xfId="7" applyFont="1" applyFill="1" applyBorder="1" applyAlignment="1" applyProtection="1">
      <alignment horizontal="center"/>
      <protection locked="0"/>
    </xf>
    <xf numFmtId="0" fontId="10" fillId="7" borderId="49" xfId="7" applyFont="1" applyFill="1" applyBorder="1" applyAlignment="1" applyProtection="1">
      <alignment horizontal="center"/>
      <protection locked="0"/>
    </xf>
    <xf numFmtId="0" fontId="10" fillId="6" borderId="46" xfId="7" applyFont="1" applyFill="1" applyBorder="1" applyAlignment="1" applyProtection="1">
      <alignment horizontal="center"/>
      <protection locked="0"/>
    </xf>
    <xf numFmtId="2" fontId="10" fillId="7" borderId="34" xfId="7" applyNumberFormat="1" applyFont="1" applyFill="1" applyBorder="1" applyAlignment="1" applyProtection="1">
      <alignment horizontal="center"/>
      <protection locked="0"/>
    </xf>
    <xf numFmtId="0" fontId="45" fillId="7" borderId="0" xfId="8" applyFont="1" applyFill="1" applyBorder="1" applyAlignment="1" applyProtection="1">
      <alignment horizontal="center"/>
      <protection locked="0"/>
    </xf>
    <xf numFmtId="0" fontId="34" fillId="7" borderId="36" xfId="7" applyNumberFormat="1" applyFont="1" applyFill="1" applyBorder="1" applyAlignment="1" applyProtection="1">
      <protection locked="0"/>
    </xf>
    <xf numFmtId="0" fontId="34" fillId="7" borderId="37" xfId="7" applyNumberFormat="1" applyFont="1" applyFill="1" applyBorder="1" applyAlignment="1" applyProtection="1">
      <protection locked="0"/>
    </xf>
    <xf numFmtId="0" fontId="34" fillId="7" borderId="42" xfId="7" applyFont="1" applyFill="1" applyBorder="1" applyAlignment="1" applyProtection="1">
      <protection locked="0"/>
    </xf>
    <xf numFmtId="0" fontId="34" fillId="7" borderId="43" xfId="7" applyFont="1" applyFill="1" applyBorder="1" applyAlignment="1" applyProtection="1">
      <protection locked="0"/>
    </xf>
    <xf numFmtId="0" fontId="34" fillId="7" borderId="50" xfId="7" applyFont="1" applyFill="1" applyBorder="1" applyAlignment="1" applyProtection="1">
      <protection locked="0"/>
    </xf>
    <xf numFmtId="0" fontId="34" fillId="7" borderId="51" xfId="7" applyFont="1" applyFill="1" applyBorder="1" applyAlignment="1" applyProtection="1">
      <protection locked="0"/>
    </xf>
    <xf numFmtId="0" fontId="2" fillId="0" borderId="0" xfId="9"/>
    <xf numFmtId="0" fontId="2" fillId="0" borderId="0" xfId="9" applyProtection="1"/>
    <xf numFmtId="2" fontId="2" fillId="0" borderId="0" xfId="9" applyNumberFormat="1" applyProtection="1"/>
    <xf numFmtId="9" fontId="2" fillId="0" borderId="0" xfId="9" applyNumberFormat="1" applyProtection="1"/>
    <xf numFmtId="2" fontId="10" fillId="7" borderId="44" xfId="7" applyNumberFormat="1" applyFont="1" applyFill="1" applyBorder="1" applyAlignment="1" applyProtection="1">
      <alignment horizontal="center"/>
      <protection locked="0"/>
    </xf>
    <xf numFmtId="0" fontId="10" fillId="7" borderId="37" xfId="7" applyFont="1" applyFill="1" applyBorder="1" applyAlignment="1" applyProtection="1">
      <protection locked="0"/>
    </xf>
    <xf numFmtId="0" fontId="10" fillId="7" borderId="36" xfId="7" applyFont="1" applyFill="1" applyBorder="1" applyAlignment="1" applyProtection="1">
      <protection locked="0"/>
    </xf>
    <xf numFmtId="20" fontId="10" fillId="6" borderId="11" xfId="7" applyNumberFormat="1" applyFont="1" applyFill="1" applyBorder="1" applyAlignment="1" applyProtection="1">
      <protection locked="0"/>
    </xf>
    <xf numFmtId="2" fontId="10" fillId="6" borderId="15" xfId="7" applyNumberFormat="1" applyFont="1" applyFill="1" applyBorder="1" applyAlignment="1" applyProtection="1">
      <protection locked="0"/>
    </xf>
    <xf numFmtId="2" fontId="10" fillId="7" borderId="11" xfId="7" applyNumberFormat="1" applyFont="1" applyFill="1" applyBorder="1" applyAlignment="1" applyProtection="1">
      <protection locked="0"/>
    </xf>
    <xf numFmtId="2" fontId="10" fillId="7" borderId="47" xfId="7" applyNumberFormat="1" applyFont="1" applyFill="1" applyBorder="1" applyAlignment="1" applyProtection="1">
      <alignment horizontal="center"/>
      <protection locked="0"/>
    </xf>
    <xf numFmtId="20" fontId="10" fillId="6" borderId="15" xfId="7" applyNumberFormat="1" applyFont="1" applyFill="1" applyBorder="1" applyProtection="1">
      <protection locked="0"/>
    </xf>
    <xf numFmtId="0" fontId="8" fillId="4" borderId="26" xfId="3" applyFont="1" applyFill="1" applyBorder="1" applyAlignment="1" applyProtection="1">
      <alignment horizontal="center" vertical="center"/>
    </xf>
    <xf numFmtId="0" fontId="0" fillId="4" borderId="27" xfId="0" applyFill="1" applyBorder="1" applyAlignment="1">
      <alignment horizontal="center" vertical="center"/>
    </xf>
    <xf numFmtId="0" fontId="0" fillId="4" borderId="28" xfId="0" applyFill="1" applyBorder="1" applyAlignment="1">
      <alignment horizontal="center" vertical="center"/>
    </xf>
    <xf numFmtId="0" fontId="9" fillId="4" borderId="27" xfId="3" applyFont="1" applyFill="1" applyBorder="1" applyAlignment="1">
      <alignment horizontal="center" vertical="center"/>
    </xf>
    <xf numFmtId="0" fontId="10" fillId="4" borderId="27" xfId="0" applyFont="1" applyFill="1" applyBorder="1" applyAlignment="1">
      <alignment horizontal="center"/>
    </xf>
    <xf numFmtId="0" fontId="10" fillId="4" borderId="28" xfId="0" applyFont="1" applyFill="1" applyBorder="1" applyAlignment="1">
      <alignment horizontal="center"/>
    </xf>
    <xf numFmtId="0" fontId="14" fillId="4" borderId="26" xfId="0" applyFont="1" applyFill="1" applyBorder="1" applyAlignment="1">
      <alignment horizontal="center"/>
    </xf>
    <xf numFmtId="0" fontId="14" fillId="4" borderId="27" xfId="0" applyFont="1" applyFill="1" applyBorder="1" applyAlignment="1">
      <alignment horizontal="center"/>
    </xf>
    <xf numFmtId="0" fontId="14" fillId="4" borderId="28" xfId="0" applyFont="1" applyFill="1" applyBorder="1" applyAlignment="1">
      <alignment horizontal="center"/>
    </xf>
    <xf numFmtId="0" fontId="7" fillId="0" borderId="0" xfId="0" quotePrefix="1" applyFont="1" applyAlignment="1">
      <alignment horizontal="left" wrapText="1"/>
    </xf>
    <xf numFmtId="0" fontId="7" fillId="0" borderId="0" xfId="0" applyFont="1" applyAlignment="1">
      <alignment wrapText="1"/>
    </xf>
    <xf numFmtId="14" fontId="1" fillId="0" borderId="0" xfId="5" applyNumberFormat="1" applyFont="1" applyAlignment="1">
      <alignment horizontal="center"/>
    </xf>
    <xf numFmtId="0" fontId="11" fillId="0" borderId="0" xfId="0" applyFont="1" applyAlignment="1">
      <alignment horizontal="center"/>
    </xf>
    <xf numFmtId="0" fontId="25" fillId="4" borderId="11" xfId="1" applyFont="1" applyFill="1" applyBorder="1" applyAlignment="1">
      <alignment horizontal="center"/>
    </xf>
    <xf numFmtId="0" fontId="3" fillId="0" borderId="12" xfId="0" applyFont="1" applyBorder="1" applyAlignment="1">
      <alignment horizontal="center"/>
    </xf>
    <xf numFmtId="0" fontId="3" fillId="0" borderId="13" xfId="0" applyFont="1" applyBorder="1" applyAlignment="1">
      <alignment horizontal="center"/>
    </xf>
    <xf numFmtId="168" fontId="23" fillId="2" borderId="11" xfId="1" applyNumberFormat="1" applyFont="1" applyFill="1" applyBorder="1" applyAlignment="1">
      <alignment horizontal="center"/>
    </xf>
    <xf numFmtId="168" fontId="23" fillId="2" borderId="13" xfId="1" applyNumberFormat="1" applyFont="1" applyFill="1" applyBorder="1" applyAlignment="1">
      <alignment horizontal="center"/>
    </xf>
    <xf numFmtId="168" fontId="13" fillId="2" borderId="11" xfId="1" applyNumberFormat="1" applyFont="1" applyFill="1" applyBorder="1" applyAlignment="1">
      <alignment horizontal="center"/>
    </xf>
    <xf numFmtId="168" fontId="13" fillId="2" borderId="13" xfId="1" applyNumberFormat="1" applyFont="1" applyFill="1" applyBorder="1" applyAlignment="1">
      <alignment horizontal="center"/>
    </xf>
    <xf numFmtId="0" fontId="7" fillId="3" borderId="19" xfId="1" applyFont="1" applyFill="1" applyBorder="1" applyAlignment="1"/>
    <xf numFmtId="0" fontId="23" fillId="3" borderId="12" xfId="1" applyFont="1" applyFill="1" applyBorder="1" applyAlignment="1"/>
    <xf numFmtId="0" fontId="23" fillId="3" borderId="29" xfId="1" applyFont="1" applyFill="1" applyBorder="1" applyAlignment="1"/>
    <xf numFmtId="0" fontId="11" fillId="0" borderId="33" xfId="7" applyFont="1" applyBorder="1" applyAlignment="1" applyProtection="1">
      <protection hidden="1"/>
    </xf>
    <xf numFmtId="0" fontId="11" fillId="0" borderId="0" xfId="7" applyFont="1" applyBorder="1" applyAlignment="1" applyProtection="1">
      <protection hidden="1"/>
    </xf>
    <xf numFmtId="0" fontId="11" fillId="0" borderId="0" xfId="7" applyFont="1" applyBorder="1" applyAlignment="1" applyProtection="1">
      <alignment wrapText="1"/>
    </xf>
    <xf numFmtId="0" fontId="11" fillId="0" borderId="33" xfId="7" applyFont="1" applyFill="1" applyBorder="1" applyAlignment="1" applyProtection="1">
      <protection hidden="1"/>
    </xf>
    <xf numFmtId="0" fontId="11" fillId="0" borderId="0" xfId="7" applyFont="1" applyFill="1" applyBorder="1" applyAlignment="1" applyProtection="1">
      <protection hidden="1"/>
    </xf>
    <xf numFmtId="0" fontId="11" fillId="0" borderId="0" xfId="7" applyFont="1" applyBorder="1" applyAlignment="1" applyProtection="1"/>
    <xf numFmtId="0" fontId="10" fillId="7" borderId="49" xfId="7" applyFont="1" applyFill="1" applyBorder="1" applyAlignment="1" applyProtection="1">
      <alignment horizontal="center"/>
      <protection locked="0"/>
    </xf>
    <xf numFmtId="0" fontId="10" fillId="7" borderId="48" xfId="7" applyFont="1" applyFill="1" applyBorder="1" applyAlignment="1" applyProtection="1">
      <alignment horizontal="center"/>
      <protection locked="0"/>
    </xf>
    <xf numFmtId="0" fontId="10" fillId="9" borderId="15" xfId="7" applyFont="1" applyFill="1" applyBorder="1" applyAlignment="1" applyProtection="1">
      <alignment horizontal="center" wrapText="1"/>
      <protection hidden="1"/>
    </xf>
    <xf numFmtId="0" fontId="11" fillId="0" borderId="38" xfId="7" applyFont="1" applyBorder="1" applyAlignment="1" applyProtection="1"/>
    <xf numFmtId="0" fontId="11" fillId="0" borderId="35" xfId="7" applyFont="1" applyBorder="1" applyAlignment="1" applyProtection="1"/>
    <xf numFmtId="0" fontId="10" fillId="7" borderId="46" xfId="7" applyFont="1" applyFill="1" applyBorder="1" applyAlignment="1" applyProtection="1">
      <alignment horizontal="center"/>
      <protection locked="0"/>
    </xf>
    <xf numFmtId="0" fontId="10" fillId="7" borderId="45" xfId="7" applyFont="1" applyFill="1" applyBorder="1" applyAlignment="1" applyProtection="1">
      <alignment horizontal="center"/>
      <protection locked="0"/>
    </xf>
    <xf numFmtId="0" fontId="10" fillId="7" borderId="47" xfId="7" applyFont="1" applyFill="1" applyBorder="1" applyAlignment="1" applyProtection="1">
      <alignment horizontal="center"/>
      <protection locked="0"/>
    </xf>
    <xf numFmtId="0" fontId="10" fillId="7" borderId="44" xfId="7" applyFont="1" applyFill="1" applyBorder="1" applyAlignment="1" applyProtection="1">
      <alignment horizontal="center"/>
      <protection locked="0"/>
    </xf>
    <xf numFmtId="0" fontId="11" fillId="0" borderId="33" xfId="7" applyFont="1" applyBorder="1" applyAlignment="1" applyProtection="1"/>
    <xf numFmtId="0" fontId="10" fillId="6" borderId="46" xfId="7" applyFont="1" applyFill="1" applyBorder="1" applyAlignment="1" applyProtection="1">
      <alignment horizontal="center"/>
      <protection locked="0"/>
    </xf>
    <xf numFmtId="0" fontId="10" fillId="6" borderId="45" xfId="7" applyFont="1" applyFill="1" applyBorder="1" applyAlignment="1" applyProtection="1">
      <alignment horizontal="center"/>
      <protection locked="0"/>
    </xf>
    <xf numFmtId="0" fontId="36" fillId="0" borderId="0" xfId="7" applyFont="1" applyFill="1" applyBorder="1" applyAlignment="1" applyProtection="1">
      <alignment horizontal="center"/>
      <protection hidden="1"/>
    </xf>
    <xf numFmtId="0" fontId="10" fillId="7" borderId="40" xfId="7" applyFont="1" applyFill="1" applyBorder="1" applyAlignment="1" applyProtection="1">
      <alignment horizontal="center"/>
      <protection locked="0"/>
    </xf>
    <xf numFmtId="0" fontId="10" fillId="7" borderId="39" xfId="7" applyFont="1" applyFill="1" applyBorder="1" applyAlignment="1" applyProtection="1">
      <alignment horizontal="center"/>
      <protection locked="0"/>
    </xf>
    <xf numFmtId="0" fontId="10" fillId="6" borderId="0" xfId="7" applyFont="1" applyFill="1" applyAlignment="1" applyProtection="1">
      <alignment horizontal="center"/>
      <protection hidden="1"/>
    </xf>
    <xf numFmtId="0" fontId="10" fillId="7" borderId="0" xfId="7" applyFont="1" applyFill="1" applyBorder="1" applyAlignment="1" applyProtection="1">
      <alignment horizontal="left" vertical="center" wrapText="1"/>
      <protection hidden="1"/>
    </xf>
    <xf numFmtId="0" fontId="10" fillId="7" borderId="0" xfId="7" applyFont="1" applyFill="1" applyBorder="1" applyAlignment="1">
      <alignment horizontal="left" vertical="center" wrapText="1"/>
    </xf>
    <xf numFmtId="0" fontId="10" fillId="9" borderId="5" xfId="7" applyFont="1" applyFill="1" applyBorder="1" applyAlignment="1" applyProtection="1">
      <alignment horizontal="center" wrapText="1"/>
      <protection hidden="1"/>
    </xf>
    <xf numFmtId="0" fontId="10" fillId="9" borderId="7" xfId="7" applyFont="1" applyFill="1" applyBorder="1" applyAlignment="1" applyProtection="1">
      <alignment horizontal="center" wrapText="1"/>
      <protection hidden="1"/>
    </xf>
    <xf numFmtId="0" fontId="10" fillId="9" borderId="1" xfId="7" applyFont="1" applyFill="1" applyBorder="1" applyAlignment="1" applyProtection="1">
      <alignment horizontal="center" wrapText="1"/>
      <protection hidden="1"/>
    </xf>
    <xf numFmtId="0" fontId="10" fillId="9" borderId="2" xfId="7" applyFont="1" applyFill="1" applyBorder="1" applyAlignment="1" applyProtection="1">
      <alignment horizontal="center" wrapText="1"/>
      <protection hidden="1"/>
    </xf>
    <xf numFmtId="0" fontId="10" fillId="9" borderId="11" xfId="7" applyFont="1" applyFill="1" applyBorder="1" applyAlignment="1" applyProtection="1">
      <alignment horizontal="center" wrapText="1"/>
      <protection hidden="1"/>
    </xf>
    <xf numFmtId="0" fontId="11" fillId="0" borderId="0" xfId="7" applyFont="1" applyBorder="1" applyAlignment="1" applyProtection="1">
      <alignment horizontal="right"/>
      <protection hidden="1"/>
    </xf>
    <xf numFmtId="0" fontId="10" fillId="9" borderId="13" xfId="7" applyFont="1" applyFill="1" applyBorder="1" applyAlignment="1" applyProtection="1">
      <alignment horizontal="center" wrapText="1"/>
      <protection hidden="1"/>
    </xf>
    <xf numFmtId="0" fontId="10" fillId="7" borderId="46" xfId="7" applyFont="1" applyFill="1" applyBorder="1" applyAlignment="1" applyProtection="1">
      <protection locked="0"/>
    </xf>
    <xf numFmtId="0" fontId="10" fillId="7" borderId="47" xfId="7" applyFont="1" applyFill="1" applyBorder="1" applyAlignment="1" applyProtection="1">
      <protection locked="0"/>
    </xf>
    <xf numFmtId="0" fontId="11" fillId="0" borderId="38" xfId="7" applyFont="1" applyFill="1" applyBorder="1" applyAlignment="1" applyProtection="1"/>
    <xf numFmtId="0" fontId="11" fillId="0" borderId="35" xfId="7" applyFont="1" applyFill="1" applyBorder="1" applyAlignment="1" applyProtection="1"/>
    <xf numFmtId="0" fontId="11" fillId="0" borderId="35" xfId="7" applyFont="1" applyBorder="1" applyAlignment="1" applyProtection="1">
      <alignment horizontal="center"/>
      <protection hidden="1"/>
    </xf>
    <xf numFmtId="0" fontId="11" fillId="0" borderId="53" xfId="7" applyFont="1" applyBorder="1" applyAlignment="1" applyProtection="1">
      <alignment horizontal="center"/>
      <protection hidden="1"/>
    </xf>
    <xf numFmtId="0" fontId="11" fillId="0" borderId="38" xfId="7" applyFont="1" applyFill="1" applyBorder="1" applyAlignment="1" applyProtection="1">
      <alignment horizontal="left"/>
      <protection hidden="1"/>
    </xf>
    <xf numFmtId="0" fontId="11" fillId="0" borderId="35" xfId="7" applyFont="1" applyFill="1" applyBorder="1" applyAlignment="1" applyProtection="1">
      <alignment horizontal="left"/>
      <protection hidden="1"/>
    </xf>
    <xf numFmtId="0" fontId="10" fillId="7" borderId="40" xfId="7" applyFont="1" applyFill="1" applyBorder="1" applyAlignment="1" applyProtection="1">
      <protection locked="0"/>
    </xf>
    <xf numFmtId="0" fontId="10" fillId="7" borderId="27" xfId="7" applyFont="1" applyFill="1" applyBorder="1" applyAlignment="1" applyProtection="1">
      <protection locked="0"/>
    </xf>
    <xf numFmtId="0" fontId="10" fillId="7" borderId="28" xfId="7" applyFont="1" applyFill="1" applyBorder="1" applyAlignment="1" applyProtection="1">
      <protection locked="0"/>
    </xf>
    <xf numFmtId="0" fontId="1" fillId="0" borderId="0" xfId="7" applyFont="1" applyBorder="1" applyAlignment="1"/>
    <xf numFmtId="0" fontId="10" fillId="7" borderId="47" xfId="7" applyFont="1" applyFill="1" applyBorder="1" applyAlignment="1" applyProtection="1">
      <protection locked="0" hidden="1"/>
    </xf>
    <xf numFmtId="0" fontId="33" fillId="7" borderId="44" xfId="7" applyFill="1" applyBorder="1" applyAlignment="1" applyProtection="1">
      <protection locked="0"/>
    </xf>
    <xf numFmtId="0" fontId="28" fillId="0" borderId="33" xfId="7" applyFont="1" applyBorder="1" applyAlignment="1" applyProtection="1">
      <protection hidden="1"/>
    </xf>
    <xf numFmtId="0" fontId="11" fillId="0" borderId="41" xfId="7" applyFont="1" applyBorder="1" applyAlignment="1" applyProtection="1">
      <protection hidden="1"/>
    </xf>
    <xf numFmtId="0" fontId="11" fillId="0" borderId="55" xfId="7" applyFont="1" applyFill="1" applyBorder="1" applyAlignment="1" applyProtection="1">
      <protection hidden="1"/>
    </xf>
    <xf numFmtId="0" fontId="11" fillId="0" borderId="53" xfId="7" applyFont="1" applyFill="1" applyBorder="1" applyAlignment="1" applyProtection="1">
      <protection hidden="1"/>
    </xf>
    <xf numFmtId="178" fontId="10" fillId="7" borderId="40" xfId="7" applyNumberFormat="1" applyFont="1" applyFill="1" applyBorder="1" applyAlignment="1" applyProtection="1">
      <protection locked="0"/>
    </xf>
    <xf numFmtId="0" fontId="10" fillId="7" borderId="53" xfId="7" applyFont="1" applyFill="1" applyBorder="1" applyAlignment="1" applyProtection="1">
      <protection locked="0"/>
    </xf>
    <xf numFmtId="0" fontId="11" fillId="0" borderId="33" xfId="7" applyFont="1" applyBorder="1" applyAlignment="1" applyProtection="1">
      <alignment wrapText="1"/>
    </xf>
    <xf numFmtId="0" fontId="10" fillId="7" borderId="27" xfId="7" applyFont="1" applyFill="1" applyBorder="1" applyAlignment="1" applyProtection="1"/>
    <xf numFmtId="0" fontId="10" fillId="7" borderId="28" xfId="7" applyFont="1" applyFill="1" applyBorder="1" applyAlignment="1" applyProtection="1"/>
    <xf numFmtId="0" fontId="10" fillId="7" borderId="53" xfId="7" applyFont="1" applyFill="1" applyBorder="1" applyAlignment="1" applyProtection="1"/>
    <xf numFmtId="0" fontId="28" fillId="0" borderId="55" xfId="7" applyFont="1" applyBorder="1" applyAlignment="1" applyProtection="1">
      <protection hidden="1"/>
    </xf>
    <xf numFmtId="0" fontId="11" fillId="0" borderId="53" xfId="7" applyFont="1" applyBorder="1" applyAlignment="1" applyProtection="1">
      <protection hidden="1"/>
    </xf>
    <xf numFmtId="0" fontId="11" fillId="0" borderId="52" xfId="7" applyFont="1" applyBorder="1" applyAlignment="1" applyProtection="1">
      <protection hidden="1"/>
    </xf>
    <xf numFmtId="0" fontId="10" fillId="10" borderId="0" xfId="7" applyFont="1" applyFill="1" applyAlignment="1" applyProtection="1">
      <alignment horizontal="center"/>
      <protection hidden="1"/>
    </xf>
    <xf numFmtId="0" fontId="10" fillId="7" borderId="52" xfId="7" applyFont="1" applyFill="1" applyBorder="1" applyAlignment="1" applyProtection="1">
      <protection locked="0"/>
    </xf>
  </cellXfs>
  <cellStyles count="10">
    <cellStyle name="Hyperlink" xfId="8" builtinId="8"/>
    <cellStyle name="Normal" xfId="0" builtinId="0"/>
    <cellStyle name="Normal 2" xfId="6"/>
    <cellStyle name="Normal 2 2" xfId="9"/>
    <cellStyle name="Normal 3" xfId="7"/>
    <cellStyle name="Normal_AB GTONLY FO ISO FLOWS" xfId="1"/>
    <cellStyle name="Normal_LBS GASES-o2,co2,co,nox,thc,gmsbhphr" xfId="2"/>
    <cellStyle name="Normal_LBS TSP-REVISED" xfId="3"/>
    <cellStyle name="Normal_NEW ISO FLOW BOOK" xfId="4"/>
    <cellStyle name="Normal_Run 001A"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SPREADSHEETS\Compliance\combined%20workbooks\new%20arcadis\EMISSION%20CEMS%20M29,%20M26%20M23%20HAPS%20TSP%20LF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TSP"/>
      <sheetName val="LBSHCL"/>
      <sheetName val="LBSHG"/>
      <sheetName val="m 23"/>
      <sheetName val="BENZOAP"/>
      <sheetName val="BENZ Run 3"/>
      <sheetName val="BENZ Run 2"/>
      <sheetName val="BENZ Run 1"/>
      <sheetName val="R3 met emm"/>
      <sheetName val="R2 met emm"/>
      <sheetName val="R1 met emm"/>
      <sheetName val="Sludge Feed Rate"/>
      <sheetName val="CEMS"/>
      <sheetName val="CEMS Run 001"/>
      <sheetName val="CEMS Run 002"/>
      <sheetName val="CEMS Run 003"/>
      <sheetName val=" TSPISO Run1"/>
      <sheetName val="TSP ISO Run2"/>
      <sheetName val="TSP ISO Run3"/>
      <sheetName val="HCLISORun3"/>
      <sheetName val="HCLISORun2"/>
      <sheetName val="HCLISORun1"/>
      <sheetName val="METISORun3"/>
      <sheetName val="METISORun2"/>
      <sheetName val="METISORun1"/>
      <sheetName val="DIOXISORun3"/>
      <sheetName val="DIOXISORun2"/>
      <sheetName val="DIOXISORun1"/>
      <sheetName val="VOST VOL-BENZ"/>
      <sheetName val="DIOXstack cond"/>
      <sheetName val="TSPstack cond"/>
      <sheetName val="HCLstack cond"/>
      <sheetName val="METstack cond"/>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refreshError="1"/>
      <sheetData sheetId="26" refreshError="1"/>
      <sheetData sheetId="27" refreshError="1"/>
      <sheetData sheetId="28"/>
      <sheetData sheetId="29" refreshError="1"/>
      <sheetData sheetId="30" refreshError="1"/>
      <sheetData sheetId="31" refreshError="1"/>
      <sheetData sheetId="3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26" transitionEvaluation="1" transitionEntry="1">
    <tabColor rgb="FFFFFF00"/>
    <pageSetUpPr fitToPage="1"/>
  </sheetPr>
  <dimension ref="A1:M58"/>
  <sheetViews>
    <sheetView showGridLines="0" topLeftCell="A26" zoomScale="70" zoomScaleNormal="70" workbookViewId="0">
      <selection activeCell="D45" sqref="D45"/>
    </sheetView>
  </sheetViews>
  <sheetFormatPr defaultColWidth="9.77734375" defaultRowHeight="15" x14ac:dyDescent="0.2"/>
  <cols>
    <col min="1" max="1" width="16.77734375" style="17" customWidth="1"/>
    <col min="2" max="2" width="7.77734375" style="17" customWidth="1"/>
    <col min="3" max="3" width="13.77734375" style="17" customWidth="1"/>
    <col min="4" max="6" width="12.77734375" style="17" customWidth="1"/>
    <col min="7" max="7" width="9.77734375" style="17"/>
    <col min="8" max="8" width="12.21875" style="17" customWidth="1"/>
    <col min="9" max="253" width="9.77734375" style="17"/>
    <col min="254" max="254" width="16.77734375" style="17" customWidth="1"/>
    <col min="255" max="255" width="7.77734375" style="17" customWidth="1"/>
    <col min="256" max="256" width="13.77734375" style="17" customWidth="1"/>
    <col min="257" max="259" width="12.77734375" style="17" customWidth="1"/>
    <col min="260" max="260" width="9.77734375" style="17"/>
    <col min="261" max="261" width="12.21875" style="17" customWidth="1"/>
    <col min="262" max="509" width="9.77734375" style="17"/>
    <col min="510" max="510" width="16.77734375" style="17" customWidth="1"/>
    <col min="511" max="511" width="7.77734375" style="17" customWidth="1"/>
    <col min="512" max="512" width="13.77734375" style="17" customWidth="1"/>
    <col min="513" max="515" width="12.77734375" style="17" customWidth="1"/>
    <col min="516" max="516" width="9.77734375" style="17"/>
    <col min="517" max="517" width="12.21875" style="17" customWidth="1"/>
    <col min="518" max="765" width="9.77734375" style="17"/>
    <col min="766" max="766" width="16.77734375" style="17" customWidth="1"/>
    <col min="767" max="767" width="7.77734375" style="17" customWidth="1"/>
    <col min="768" max="768" width="13.77734375" style="17" customWidth="1"/>
    <col min="769" max="771" width="12.77734375" style="17" customWidth="1"/>
    <col min="772" max="772" width="9.77734375" style="17"/>
    <col min="773" max="773" width="12.21875" style="17" customWidth="1"/>
    <col min="774" max="1021" width="9.77734375" style="17"/>
    <col min="1022" max="1022" width="16.77734375" style="17" customWidth="1"/>
    <col min="1023" max="1023" width="7.77734375" style="17" customWidth="1"/>
    <col min="1024" max="1024" width="13.77734375" style="17" customWidth="1"/>
    <col min="1025" max="1027" width="12.77734375" style="17" customWidth="1"/>
    <col min="1028" max="1028" width="9.77734375" style="17"/>
    <col min="1029" max="1029" width="12.21875" style="17" customWidth="1"/>
    <col min="1030" max="1277" width="9.77734375" style="17"/>
    <col min="1278" max="1278" width="16.77734375" style="17" customWidth="1"/>
    <col min="1279" max="1279" width="7.77734375" style="17" customWidth="1"/>
    <col min="1280" max="1280" width="13.77734375" style="17" customWidth="1"/>
    <col min="1281" max="1283" width="12.77734375" style="17" customWidth="1"/>
    <col min="1284" max="1284" width="9.77734375" style="17"/>
    <col min="1285" max="1285" width="12.21875" style="17" customWidth="1"/>
    <col min="1286" max="1533" width="9.77734375" style="17"/>
    <col min="1534" max="1534" width="16.77734375" style="17" customWidth="1"/>
    <col min="1535" max="1535" width="7.77734375" style="17" customWidth="1"/>
    <col min="1536" max="1536" width="13.77734375" style="17" customWidth="1"/>
    <col min="1537" max="1539" width="12.77734375" style="17" customWidth="1"/>
    <col min="1540" max="1540" width="9.77734375" style="17"/>
    <col min="1541" max="1541" width="12.21875" style="17" customWidth="1"/>
    <col min="1542" max="1789" width="9.77734375" style="17"/>
    <col min="1790" max="1790" width="16.77734375" style="17" customWidth="1"/>
    <col min="1791" max="1791" width="7.77734375" style="17" customWidth="1"/>
    <col min="1792" max="1792" width="13.77734375" style="17" customWidth="1"/>
    <col min="1793" max="1795" width="12.77734375" style="17" customWidth="1"/>
    <col min="1796" max="1796" width="9.77734375" style="17"/>
    <col min="1797" max="1797" width="12.21875" style="17" customWidth="1"/>
    <col min="1798" max="2045" width="9.77734375" style="17"/>
    <col min="2046" max="2046" width="16.77734375" style="17" customWidth="1"/>
    <col min="2047" max="2047" width="7.77734375" style="17" customWidth="1"/>
    <col min="2048" max="2048" width="13.77734375" style="17" customWidth="1"/>
    <col min="2049" max="2051" width="12.77734375" style="17" customWidth="1"/>
    <col min="2052" max="2052" width="9.77734375" style="17"/>
    <col min="2053" max="2053" width="12.21875" style="17" customWidth="1"/>
    <col min="2054" max="2301" width="9.77734375" style="17"/>
    <col min="2302" max="2302" width="16.77734375" style="17" customWidth="1"/>
    <col min="2303" max="2303" width="7.77734375" style="17" customWidth="1"/>
    <col min="2304" max="2304" width="13.77734375" style="17" customWidth="1"/>
    <col min="2305" max="2307" width="12.77734375" style="17" customWidth="1"/>
    <col min="2308" max="2308" width="9.77734375" style="17"/>
    <col min="2309" max="2309" width="12.21875" style="17" customWidth="1"/>
    <col min="2310" max="2557" width="9.77734375" style="17"/>
    <col min="2558" max="2558" width="16.77734375" style="17" customWidth="1"/>
    <col min="2559" max="2559" width="7.77734375" style="17" customWidth="1"/>
    <col min="2560" max="2560" width="13.77734375" style="17" customWidth="1"/>
    <col min="2561" max="2563" width="12.77734375" style="17" customWidth="1"/>
    <col min="2564" max="2564" width="9.77734375" style="17"/>
    <col min="2565" max="2565" width="12.21875" style="17" customWidth="1"/>
    <col min="2566" max="2813" width="9.77734375" style="17"/>
    <col min="2814" max="2814" width="16.77734375" style="17" customWidth="1"/>
    <col min="2815" max="2815" width="7.77734375" style="17" customWidth="1"/>
    <col min="2816" max="2816" width="13.77734375" style="17" customWidth="1"/>
    <col min="2817" max="2819" width="12.77734375" style="17" customWidth="1"/>
    <col min="2820" max="2820" width="9.77734375" style="17"/>
    <col min="2821" max="2821" width="12.21875" style="17" customWidth="1"/>
    <col min="2822" max="3069" width="9.77734375" style="17"/>
    <col min="3070" max="3070" width="16.77734375" style="17" customWidth="1"/>
    <col min="3071" max="3071" width="7.77734375" style="17" customWidth="1"/>
    <col min="3072" max="3072" width="13.77734375" style="17" customWidth="1"/>
    <col min="3073" max="3075" width="12.77734375" style="17" customWidth="1"/>
    <col min="3076" max="3076" width="9.77734375" style="17"/>
    <col min="3077" max="3077" width="12.21875" style="17" customWidth="1"/>
    <col min="3078" max="3325" width="9.77734375" style="17"/>
    <col min="3326" max="3326" width="16.77734375" style="17" customWidth="1"/>
    <col min="3327" max="3327" width="7.77734375" style="17" customWidth="1"/>
    <col min="3328" max="3328" width="13.77734375" style="17" customWidth="1"/>
    <col min="3329" max="3331" width="12.77734375" style="17" customWidth="1"/>
    <col min="3332" max="3332" width="9.77734375" style="17"/>
    <col min="3333" max="3333" width="12.21875" style="17" customWidth="1"/>
    <col min="3334" max="3581" width="9.77734375" style="17"/>
    <col min="3582" max="3582" width="16.77734375" style="17" customWidth="1"/>
    <col min="3583" max="3583" width="7.77734375" style="17" customWidth="1"/>
    <col min="3584" max="3584" width="13.77734375" style="17" customWidth="1"/>
    <col min="3585" max="3587" width="12.77734375" style="17" customWidth="1"/>
    <col min="3588" max="3588" width="9.77734375" style="17"/>
    <col min="3589" max="3589" width="12.21875" style="17" customWidth="1"/>
    <col min="3590" max="3837" width="9.77734375" style="17"/>
    <col min="3838" max="3838" width="16.77734375" style="17" customWidth="1"/>
    <col min="3839" max="3839" width="7.77734375" style="17" customWidth="1"/>
    <col min="3840" max="3840" width="13.77734375" style="17" customWidth="1"/>
    <col min="3841" max="3843" width="12.77734375" style="17" customWidth="1"/>
    <col min="3844" max="3844" width="9.77734375" style="17"/>
    <col min="3845" max="3845" width="12.21875" style="17" customWidth="1"/>
    <col min="3846" max="4093" width="9.77734375" style="17"/>
    <col min="4094" max="4094" width="16.77734375" style="17" customWidth="1"/>
    <col min="4095" max="4095" width="7.77734375" style="17" customWidth="1"/>
    <col min="4096" max="4096" width="13.77734375" style="17" customWidth="1"/>
    <col min="4097" max="4099" width="12.77734375" style="17" customWidth="1"/>
    <col min="4100" max="4100" width="9.77734375" style="17"/>
    <col min="4101" max="4101" width="12.21875" style="17" customWidth="1"/>
    <col min="4102" max="4349" width="9.77734375" style="17"/>
    <col min="4350" max="4350" width="16.77734375" style="17" customWidth="1"/>
    <col min="4351" max="4351" width="7.77734375" style="17" customWidth="1"/>
    <col min="4352" max="4352" width="13.77734375" style="17" customWidth="1"/>
    <col min="4353" max="4355" width="12.77734375" style="17" customWidth="1"/>
    <col min="4356" max="4356" width="9.77734375" style="17"/>
    <col min="4357" max="4357" width="12.21875" style="17" customWidth="1"/>
    <col min="4358" max="4605" width="9.77734375" style="17"/>
    <col min="4606" max="4606" width="16.77734375" style="17" customWidth="1"/>
    <col min="4607" max="4607" width="7.77734375" style="17" customWidth="1"/>
    <col min="4608" max="4608" width="13.77734375" style="17" customWidth="1"/>
    <col min="4609" max="4611" width="12.77734375" style="17" customWidth="1"/>
    <col min="4612" max="4612" width="9.77734375" style="17"/>
    <col min="4613" max="4613" width="12.21875" style="17" customWidth="1"/>
    <col min="4614" max="4861" width="9.77734375" style="17"/>
    <col min="4862" max="4862" width="16.77734375" style="17" customWidth="1"/>
    <col min="4863" max="4863" width="7.77734375" style="17" customWidth="1"/>
    <col min="4864" max="4864" width="13.77734375" style="17" customWidth="1"/>
    <col min="4865" max="4867" width="12.77734375" style="17" customWidth="1"/>
    <col min="4868" max="4868" width="9.77734375" style="17"/>
    <col min="4869" max="4869" width="12.21875" style="17" customWidth="1"/>
    <col min="4870" max="5117" width="9.77734375" style="17"/>
    <col min="5118" max="5118" width="16.77734375" style="17" customWidth="1"/>
    <col min="5119" max="5119" width="7.77734375" style="17" customWidth="1"/>
    <col min="5120" max="5120" width="13.77734375" style="17" customWidth="1"/>
    <col min="5121" max="5123" width="12.77734375" style="17" customWidth="1"/>
    <col min="5124" max="5124" width="9.77734375" style="17"/>
    <col min="5125" max="5125" width="12.21875" style="17" customWidth="1"/>
    <col min="5126" max="5373" width="9.77734375" style="17"/>
    <col min="5374" max="5374" width="16.77734375" style="17" customWidth="1"/>
    <col min="5375" max="5375" width="7.77734375" style="17" customWidth="1"/>
    <col min="5376" max="5376" width="13.77734375" style="17" customWidth="1"/>
    <col min="5377" max="5379" width="12.77734375" style="17" customWidth="1"/>
    <col min="5380" max="5380" width="9.77734375" style="17"/>
    <col min="5381" max="5381" width="12.21875" style="17" customWidth="1"/>
    <col min="5382" max="5629" width="9.77734375" style="17"/>
    <col min="5630" max="5630" width="16.77734375" style="17" customWidth="1"/>
    <col min="5631" max="5631" width="7.77734375" style="17" customWidth="1"/>
    <col min="5632" max="5632" width="13.77734375" style="17" customWidth="1"/>
    <col min="5633" max="5635" width="12.77734375" style="17" customWidth="1"/>
    <col min="5636" max="5636" width="9.77734375" style="17"/>
    <col min="5637" max="5637" width="12.21875" style="17" customWidth="1"/>
    <col min="5638" max="5885" width="9.77734375" style="17"/>
    <col min="5886" max="5886" width="16.77734375" style="17" customWidth="1"/>
    <col min="5887" max="5887" width="7.77734375" style="17" customWidth="1"/>
    <col min="5888" max="5888" width="13.77734375" style="17" customWidth="1"/>
    <col min="5889" max="5891" width="12.77734375" style="17" customWidth="1"/>
    <col min="5892" max="5892" width="9.77734375" style="17"/>
    <col min="5893" max="5893" width="12.21875" style="17" customWidth="1"/>
    <col min="5894" max="6141" width="9.77734375" style="17"/>
    <col min="6142" max="6142" width="16.77734375" style="17" customWidth="1"/>
    <col min="6143" max="6143" width="7.77734375" style="17" customWidth="1"/>
    <col min="6144" max="6144" width="13.77734375" style="17" customWidth="1"/>
    <col min="6145" max="6147" width="12.77734375" style="17" customWidth="1"/>
    <col min="6148" max="6148" width="9.77734375" style="17"/>
    <col min="6149" max="6149" width="12.21875" style="17" customWidth="1"/>
    <col min="6150" max="6397" width="9.77734375" style="17"/>
    <col min="6398" max="6398" width="16.77734375" style="17" customWidth="1"/>
    <col min="6399" max="6399" width="7.77734375" style="17" customWidth="1"/>
    <col min="6400" max="6400" width="13.77734375" style="17" customWidth="1"/>
    <col min="6401" max="6403" width="12.77734375" style="17" customWidth="1"/>
    <col min="6404" max="6404" width="9.77734375" style="17"/>
    <col min="6405" max="6405" width="12.21875" style="17" customWidth="1"/>
    <col min="6406" max="6653" width="9.77734375" style="17"/>
    <col min="6654" max="6654" width="16.77734375" style="17" customWidth="1"/>
    <col min="6655" max="6655" width="7.77734375" style="17" customWidth="1"/>
    <col min="6656" max="6656" width="13.77734375" style="17" customWidth="1"/>
    <col min="6657" max="6659" width="12.77734375" style="17" customWidth="1"/>
    <col min="6660" max="6660" width="9.77734375" style="17"/>
    <col min="6661" max="6661" width="12.21875" style="17" customWidth="1"/>
    <col min="6662" max="6909" width="9.77734375" style="17"/>
    <col min="6910" max="6910" width="16.77734375" style="17" customWidth="1"/>
    <col min="6911" max="6911" width="7.77734375" style="17" customWidth="1"/>
    <col min="6912" max="6912" width="13.77734375" style="17" customWidth="1"/>
    <col min="6913" max="6915" width="12.77734375" style="17" customWidth="1"/>
    <col min="6916" max="6916" width="9.77734375" style="17"/>
    <col min="6917" max="6917" width="12.21875" style="17" customWidth="1"/>
    <col min="6918" max="7165" width="9.77734375" style="17"/>
    <col min="7166" max="7166" width="16.77734375" style="17" customWidth="1"/>
    <col min="7167" max="7167" width="7.77734375" style="17" customWidth="1"/>
    <col min="7168" max="7168" width="13.77734375" style="17" customWidth="1"/>
    <col min="7169" max="7171" width="12.77734375" style="17" customWidth="1"/>
    <col min="7172" max="7172" width="9.77734375" style="17"/>
    <col min="7173" max="7173" width="12.21875" style="17" customWidth="1"/>
    <col min="7174" max="7421" width="9.77734375" style="17"/>
    <col min="7422" max="7422" width="16.77734375" style="17" customWidth="1"/>
    <col min="7423" max="7423" width="7.77734375" style="17" customWidth="1"/>
    <col min="7424" max="7424" width="13.77734375" style="17" customWidth="1"/>
    <col min="7425" max="7427" width="12.77734375" style="17" customWidth="1"/>
    <col min="7428" max="7428" width="9.77734375" style="17"/>
    <col min="7429" max="7429" width="12.21875" style="17" customWidth="1"/>
    <col min="7430" max="7677" width="9.77734375" style="17"/>
    <col min="7678" max="7678" width="16.77734375" style="17" customWidth="1"/>
    <col min="7679" max="7679" width="7.77734375" style="17" customWidth="1"/>
    <col min="7680" max="7680" width="13.77734375" style="17" customWidth="1"/>
    <col min="7681" max="7683" width="12.77734375" style="17" customWidth="1"/>
    <col min="7684" max="7684" width="9.77734375" style="17"/>
    <col min="7685" max="7685" width="12.21875" style="17" customWidth="1"/>
    <col min="7686" max="7933" width="9.77734375" style="17"/>
    <col min="7934" max="7934" width="16.77734375" style="17" customWidth="1"/>
    <col min="7935" max="7935" width="7.77734375" style="17" customWidth="1"/>
    <col min="7936" max="7936" width="13.77734375" style="17" customWidth="1"/>
    <col min="7937" max="7939" width="12.77734375" style="17" customWidth="1"/>
    <col min="7940" max="7940" width="9.77734375" style="17"/>
    <col min="7941" max="7941" width="12.21875" style="17" customWidth="1"/>
    <col min="7942" max="8189" width="9.77734375" style="17"/>
    <col min="8190" max="8190" width="16.77734375" style="17" customWidth="1"/>
    <col min="8191" max="8191" width="7.77734375" style="17" customWidth="1"/>
    <col min="8192" max="8192" width="13.77734375" style="17" customWidth="1"/>
    <col min="8193" max="8195" width="12.77734375" style="17" customWidth="1"/>
    <col min="8196" max="8196" width="9.77734375" style="17"/>
    <col min="8197" max="8197" width="12.21875" style="17" customWidth="1"/>
    <col min="8198" max="8445" width="9.77734375" style="17"/>
    <col min="8446" max="8446" width="16.77734375" style="17" customWidth="1"/>
    <col min="8447" max="8447" width="7.77734375" style="17" customWidth="1"/>
    <col min="8448" max="8448" width="13.77734375" style="17" customWidth="1"/>
    <col min="8449" max="8451" width="12.77734375" style="17" customWidth="1"/>
    <col min="8452" max="8452" width="9.77734375" style="17"/>
    <col min="8453" max="8453" width="12.21875" style="17" customWidth="1"/>
    <col min="8454" max="8701" width="9.77734375" style="17"/>
    <col min="8702" max="8702" width="16.77734375" style="17" customWidth="1"/>
    <col min="8703" max="8703" width="7.77734375" style="17" customWidth="1"/>
    <col min="8704" max="8704" width="13.77734375" style="17" customWidth="1"/>
    <col min="8705" max="8707" width="12.77734375" style="17" customWidth="1"/>
    <col min="8708" max="8708" width="9.77734375" style="17"/>
    <col min="8709" max="8709" width="12.21875" style="17" customWidth="1"/>
    <col min="8710" max="8957" width="9.77734375" style="17"/>
    <col min="8958" max="8958" width="16.77734375" style="17" customWidth="1"/>
    <col min="8959" max="8959" width="7.77734375" style="17" customWidth="1"/>
    <col min="8960" max="8960" width="13.77734375" style="17" customWidth="1"/>
    <col min="8961" max="8963" width="12.77734375" style="17" customWidth="1"/>
    <col min="8964" max="8964" width="9.77734375" style="17"/>
    <col min="8965" max="8965" width="12.21875" style="17" customWidth="1"/>
    <col min="8966" max="9213" width="9.77734375" style="17"/>
    <col min="9214" max="9214" width="16.77734375" style="17" customWidth="1"/>
    <col min="9215" max="9215" width="7.77734375" style="17" customWidth="1"/>
    <col min="9216" max="9216" width="13.77734375" style="17" customWidth="1"/>
    <col min="9217" max="9219" width="12.77734375" style="17" customWidth="1"/>
    <col min="9220" max="9220" width="9.77734375" style="17"/>
    <col min="9221" max="9221" width="12.21875" style="17" customWidth="1"/>
    <col min="9222" max="9469" width="9.77734375" style="17"/>
    <col min="9470" max="9470" width="16.77734375" style="17" customWidth="1"/>
    <col min="9471" max="9471" width="7.77734375" style="17" customWidth="1"/>
    <col min="9472" max="9472" width="13.77734375" style="17" customWidth="1"/>
    <col min="9473" max="9475" width="12.77734375" style="17" customWidth="1"/>
    <col min="9476" max="9476" width="9.77734375" style="17"/>
    <col min="9477" max="9477" width="12.21875" style="17" customWidth="1"/>
    <col min="9478" max="9725" width="9.77734375" style="17"/>
    <col min="9726" max="9726" width="16.77734375" style="17" customWidth="1"/>
    <col min="9727" max="9727" width="7.77734375" style="17" customWidth="1"/>
    <col min="9728" max="9728" width="13.77734375" style="17" customWidth="1"/>
    <col min="9729" max="9731" width="12.77734375" style="17" customWidth="1"/>
    <col min="9732" max="9732" width="9.77734375" style="17"/>
    <col min="9733" max="9733" width="12.21875" style="17" customWidth="1"/>
    <col min="9734" max="9981" width="9.77734375" style="17"/>
    <col min="9982" max="9982" width="16.77734375" style="17" customWidth="1"/>
    <col min="9983" max="9983" width="7.77734375" style="17" customWidth="1"/>
    <col min="9984" max="9984" width="13.77734375" style="17" customWidth="1"/>
    <col min="9985" max="9987" width="12.77734375" style="17" customWidth="1"/>
    <col min="9988" max="9988" width="9.77734375" style="17"/>
    <col min="9989" max="9989" width="12.21875" style="17" customWidth="1"/>
    <col min="9990" max="10237" width="9.77734375" style="17"/>
    <col min="10238" max="10238" width="16.77734375" style="17" customWidth="1"/>
    <col min="10239" max="10239" width="7.77734375" style="17" customWidth="1"/>
    <col min="10240" max="10240" width="13.77734375" style="17" customWidth="1"/>
    <col min="10241" max="10243" width="12.77734375" style="17" customWidth="1"/>
    <col min="10244" max="10244" width="9.77734375" style="17"/>
    <col min="10245" max="10245" width="12.21875" style="17" customWidth="1"/>
    <col min="10246" max="10493" width="9.77734375" style="17"/>
    <col min="10494" max="10494" width="16.77734375" style="17" customWidth="1"/>
    <col min="10495" max="10495" width="7.77734375" style="17" customWidth="1"/>
    <col min="10496" max="10496" width="13.77734375" style="17" customWidth="1"/>
    <col min="10497" max="10499" width="12.77734375" style="17" customWidth="1"/>
    <col min="10500" max="10500" width="9.77734375" style="17"/>
    <col min="10501" max="10501" width="12.21875" style="17" customWidth="1"/>
    <col min="10502" max="10749" width="9.77734375" style="17"/>
    <col min="10750" max="10750" width="16.77734375" style="17" customWidth="1"/>
    <col min="10751" max="10751" width="7.77734375" style="17" customWidth="1"/>
    <col min="10752" max="10752" width="13.77734375" style="17" customWidth="1"/>
    <col min="10753" max="10755" width="12.77734375" style="17" customWidth="1"/>
    <col min="10756" max="10756" width="9.77734375" style="17"/>
    <col min="10757" max="10757" width="12.21875" style="17" customWidth="1"/>
    <col min="10758" max="11005" width="9.77734375" style="17"/>
    <col min="11006" max="11006" width="16.77734375" style="17" customWidth="1"/>
    <col min="11007" max="11007" width="7.77734375" style="17" customWidth="1"/>
    <col min="11008" max="11008" width="13.77734375" style="17" customWidth="1"/>
    <col min="11009" max="11011" width="12.77734375" style="17" customWidth="1"/>
    <col min="11012" max="11012" width="9.77734375" style="17"/>
    <col min="11013" max="11013" width="12.21875" style="17" customWidth="1"/>
    <col min="11014" max="11261" width="9.77734375" style="17"/>
    <col min="11262" max="11262" width="16.77734375" style="17" customWidth="1"/>
    <col min="11263" max="11263" width="7.77734375" style="17" customWidth="1"/>
    <col min="11264" max="11264" width="13.77734375" style="17" customWidth="1"/>
    <col min="11265" max="11267" width="12.77734375" style="17" customWidth="1"/>
    <col min="11268" max="11268" width="9.77734375" style="17"/>
    <col min="11269" max="11269" width="12.21875" style="17" customWidth="1"/>
    <col min="11270" max="11517" width="9.77734375" style="17"/>
    <col min="11518" max="11518" width="16.77734375" style="17" customWidth="1"/>
    <col min="11519" max="11519" width="7.77734375" style="17" customWidth="1"/>
    <col min="11520" max="11520" width="13.77734375" style="17" customWidth="1"/>
    <col min="11521" max="11523" width="12.77734375" style="17" customWidth="1"/>
    <col min="11524" max="11524" width="9.77734375" style="17"/>
    <col min="11525" max="11525" width="12.21875" style="17" customWidth="1"/>
    <col min="11526" max="11773" width="9.77734375" style="17"/>
    <col min="11774" max="11774" width="16.77734375" style="17" customWidth="1"/>
    <col min="11775" max="11775" width="7.77734375" style="17" customWidth="1"/>
    <col min="11776" max="11776" width="13.77734375" style="17" customWidth="1"/>
    <col min="11777" max="11779" width="12.77734375" style="17" customWidth="1"/>
    <col min="11780" max="11780" width="9.77734375" style="17"/>
    <col min="11781" max="11781" width="12.21875" style="17" customWidth="1"/>
    <col min="11782" max="12029" width="9.77734375" style="17"/>
    <col min="12030" max="12030" width="16.77734375" style="17" customWidth="1"/>
    <col min="12031" max="12031" width="7.77734375" style="17" customWidth="1"/>
    <col min="12032" max="12032" width="13.77734375" style="17" customWidth="1"/>
    <col min="12033" max="12035" width="12.77734375" style="17" customWidth="1"/>
    <col min="12036" max="12036" width="9.77734375" style="17"/>
    <col min="12037" max="12037" width="12.21875" style="17" customWidth="1"/>
    <col min="12038" max="12285" width="9.77734375" style="17"/>
    <col min="12286" max="12286" width="16.77734375" style="17" customWidth="1"/>
    <col min="12287" max="12287" width="7.77734375" style="17" customWidth="1"/>
    <col min="12288" max="12288" width="13.77734375" style="17" customWidth="1"/>
    <col min="12289" max="12291" width="12.77734375" style="17" customWidth="1"/>
    <col min="12292" max="12292" width="9.77734375" style="17"/>
    <col min="12293" max="12293" width="12.21875" style="17" customWidth="1"/>
    <col min="12294" max="12541" width="9.77734375" style="17"/>
    <col min="12542" max="12542" width="16.77734375" style="17" customWidth="1"/>
    <col min="12543" max="12543" width="7.77734375" style="17" customWidth="1"/>
    <col min="12544" max="12544" width="13.77734375" style="17" customWidth="1"/>
    <col min="12545" max="12547" width="12.77734375" style="17" customWidth="1"/>
    <col min="12548" max="12548" width="9.77734375" style="17"/>
    <col min="12549" max="12549" width="12.21875" style="17" customWidth="1"/>
    <col min="12550" max="12797" width="9.77734375" style="17"/>
    <col min="12798" max="12798" width="16.77734375" style="17" customWidth="1"/>
    <col min="12799" max="12799" width="7.77734375" style="17" customWidth="1"/>
    <col min="12800" max="12800" width="13.77734375" style="17" customWidth="1"/>
    <col min="12801" max="12803" width="12.77734375" style="17" customWidth="1"/>
    <col min="12804" max="12804" width="9.77734375" style="17"/>
    <col min="12805" max="12805" width="12.21875" style="17" customWidth="1"/>
    <col min="12806" max="13053" width="9.77734375" style="17"/>
    <col min="13054" max="13054" width="16.77734375" style="17" customWidth="1"/>
    <col min="13055" max="13055" width="7.77734375" style="17" customWidth="1"/>
    <col min="13056" max="13056" width="13.77734375" style="17" customWidth="1"/>
    <col min="13057" max="13059" width="12.77734375" style="17" customWidth="1"/>
    <col min="13060" max="13060" width="9.77734375" style="17"/>
    <col min="13061" max="13061" width="12.21875" style="17" customWidth="1"/>
    <col min="13062" max="13309" width="9.77734375" style="17"/>
    <col min="13310" max="13310" width="16.77734375" style="17" customWidth="1"/>
    <col min="13311" max="13311" width="7.77734375" style="17" customWidth="1"/>
    <col min="13312" max="13312" width="13.77734375" style="17" customWidth="1"/>
    <col min="13313" max="13315" width="12.77734375" style="17" customWidth="1"/>
    <col min="13316" max="13316" width="9.77734375" style="17"/>
    <col min="13317" max="13317" width="12.21875" style="17" customWidth="1"/>
    <col min="13318" max="13565" width="9.77734375" style="17"/>
    <col min="13566" max="13566" width="16.77734375" style="17" customWidth="1"/>
    <col min="13567" max="13567" width="7.77734375" style="17" customWidth="1"/>
    <col min="13568" max="13568" width="13.77734375" style="17" customWidth="1"/>
    <col min="13569" max="13571" width="12.77734375" style="17" customWidth="1"/>
    <col min="13572" max="13572" width="9.77734375" style="17"/>
    <col min="13573" max="13573" width="12.21875" style="17" customWidth="1"/>
    <col min="13574" max="13821" width="9.77734375" style="17"/>
    <col min="13822" max="13822" width="16.77734375" style="17" customWidth="1"/>
    <col min="13823" max="13823" width="7.77734375" style="17" customWidth="1"/>
    <col min="13824" max="13824" width="13.77734375" style="17" customWidth="1"/>
    <col min="13825" max="13827" width="12.77734375" style="17" customWidth="1"/>
    <col min="13828" max="13828" width="9.77734375" style="17"/>
    <col min="13829" max="13829" width="12.21875" style="17" customWidth="1"/>
    <col min="13830" max="14077" width="9.77734375" style="17"/>
    <col min="14078" max="14078" width="16.77734375" style="17" customWidth="1"/>
    <col min="14079" max="14079" width="7.77734375" style="17" customWidth="1"/>
    <col min="14080" max="14080" width="13.77734375" style="17" customWidth="1"/>
    <col min="14081" max="14083" width="12.77734375" style="17" customWidth="1"/>
    <col min="14084" max="14084" width="9.77734375" style="17"/>
    <col min="14085" max="14085" width="12.21875" style="17" customWidth="1"/>
    <col min="14086" max="14333" width="9.77734375" style="17"/>
    <col min="14334" max="14334" width="16.77734375" style="17" customWidth="1"/>
    <col min="14335" max="14335" width="7.77734375" style="17" customWidth="1"/>
    <col min="14336" max="14336" width="13.77734375" style="17" customWidth="1"/>
    <col min="14337" max="14339" width="12.77734375" style="17" customWidth="1"/>
    <col min="14340" max="14340" width="9.77734375" style="17"/>
    <col min="14341" max="14341" width="12.21875" style="17" customWidth="1"/>
    <col min="14342" max="14589" width="9.77734375" style="17"/>
    <col min="14590" max="14590" width="16.77734375" style="17" customWidth="1"/>
    <col min="14591" max="14591" width="7.77734375" style="17" customWidth="1"/>
    <col min="14592" max="14592" width="13.77734375" style="17" customWidth="1"/>
    <col min="14593" max="14595" width="12.77734375" style="17" customWidth="1"/>
    <col min="14596" max="14596" width="9.77734375" style="17"/>
    <col min="14597" max="14597" width="12.21875" style="17" customWidth="1"/>
    <col min="14598" max="14845" width="9.77734375" style="17"/>
    <col min="14846" max="14846" width="16.77734375" style="17" customWidth="1"/>
    <col min="14847" max="14847" width="7.77734375" style="17" customWidth="1"/>
    <col min="14848" max="14848" width="13.77734375" style="17" customWidth="1"/>
    <col min="14849" max="14851" width="12.77734375" style="17" customWidth="1"/>
    <col min="14852" max="14852" width="9.77734375" style="17"/>
    <col min="14853" max="14853" width="12.21875" style="17" customWidth="1"/>
    <col min="14854" max="15101" width="9.77734375" style="17"/>
    <col min="15102" max="15102" width="16.77734375" style="17" customWidth="1"/>
    <col min="15103" max="15103" width="7.77734375" style="17" customWidth="1"/>
    <col min="15104" max="15104" width="13.77734375" style="17" customWidth="1"/>
    <col min="15105" max="15107" width="12.77734375" style="17" customWidth="1"/>
    <col min="15108" max="15108" width="9.77734375" style="17"/>
    <col min="15109" max="15109" width="12.21875" style="17" customWidth="1"/>
    <col min="15110" max="15357" width="9.77734375" style="17"/>
    <col min="15358" max="15358" width="16.77734375" style="17" customWidth="1"/>
    <col min="15359" max="15359" width="7.77734375" style="17" customWidth="1"/>
    <col min="15360" max="15360" width="13.77734375" style="17" customWidth="1"/>
    <col min="15361" max="15363" width="12.77734375" style="17" customWidth="1"/>
    <col min="15364" max="15364" width="9.77734375" style="17"/>
    <col min="15365" max="15365" width="12.21875" style="17" customWidth="1"/>
    <col min="15366" max="15613" width="9.77734375" style="17"/>
    <col min="15614" max="15614" width="16.77734375" style="17" customWidth="1"/>
    <col min="15615" max="15615" width="7.77734375" style="17" customWidth="1"/>
    <col min="15616" max="15616" width="13.77734375" style="17" customWidth="1"/>
    <col min="15617" max="15619" width="12.77734375" style="17" customWidth="1"/>
    <col min="15620" max="15620" width="9.77734375" style="17"/>
    <col min="15621" max="15621" width="12.21875" style="17" customWidth="1"/>
    <col min="15622" max="15869" width="9.77734375" style="17"/>
    <col min="15870" max="15870" width="16.77734375" style="17" customWidth="1"/>
    <col min="15871" max="15871" width="7.77734375" style="17" customWidth="1"/>
    <col min="15872" max="15872" width="13.77734375" style="17" customWidth="1"/>
    <col min="15873" max="15875" width="12.77734375" style="17" customWidth="1"/>
    <col min="15876" max="15876" width="9.77734375" style="17"/>
    <col min="15877" max="15877" width="12.21875" style="17" customWidth="1"/>
    <col min="15878" max="16125" width="9.77734375" style="17"/>
    <col min="16126" max="16126" width="16.77734375" style="17" customWidth="1"/>
    <col min="16127" max="16127" width="7.77734375" style="17" customWidth="1"/>
    <col min="16128" max="16128" width="13.77734375" style="17" customWidth="1"/>
    <col min="16129" max="16131" width="12.77734375" style="17" customWidth="1"/>
    <col min="16132" max="16132" width="9.77734375" style="17"/>
    <col min="16133" max="16133" width="12.21875" style="17" customWidth="1"/>
    <col min="16134" max="16384" width="9.77734375" style="17"/>
  </cols>
  <sheetData>
    <row r="1" spans="1:13" s="2" customFormat="1" ht="24" thickBot="1" x14ac:dyDescent="0.25">
      <c r="A1" s="431" t="s">
        <v>137</v>
      </c>
      <c r="B1" s="432"/>
      <c r="C1" s="432"/>
      <c r="D1" s="432"/>
      <c r="E1" s="432"/>
      <c r="F1" s="432"/>
      <c r="G1" s="432"/>
      <c r="H1" s="433"/>
    </row>
    <row r="2" spans="1:13" x14ac:dyDescent="0.2">
      <c r="A2" s="16"/>
    </row>
    <row r="3" spans="1:13" x14ac:dyDescent="0.2">
      <c r="A3" s="5" t="str">
        <f>'TSP HG-ISO Run1'!C3</f>
        <v>NoSouth Sway</v>
      </c>
      <c r="B3" s="2"/>
      <c r="C3" s="2"/>
    </row>
    <row r="4" spans="1:13" x14ac:dyDescent="0.2">
      <c r="A4" s="6" t="s">
        <v>225</v>
      </c>
      <c r="B4" s="2" t="str">
        <f>'TSP HG-ISO Run1'!C6</f>
        <v>BB019012.0000</v>
      </c>
      <c r="C4" s="2"/>
    </row>
    <row r="5" spans="1:13" ht="15.75" x14ac:dyDescent="0.25">
      <c r="A5" s="7" t="str">
        <f>'TSP HG-ISO Run1'!C5</f>
        <v>Scrubber (Boiler 7)</v>
      </c>
      <c r="B5" s="8"/>
      <c r="C5" s="8"/>
    </row>
    <row r="7" spans="1:13" x14ac:dyDescent="0.2">
      <c r="A7" s="16" t="s">
        <v>0</v>
      </c>
      <c r="D7" s="20" t="s">
        <v>1</v>
      </c>
      <c r="E7" s="20" t="s">
        <v>2</v>
      </c>
      <c r="F7" s="20" t="s">
        <v>58</v>
      </c>
    </row>
    <row r="8" spans="1:13" x14ac:dyDescent="0.2">
      <c r="A8" s="16" t="s">
        <v>3</v>
      </c>
      <c r="D8" s="9">
        <f>'TSP HG-ISO Run1'!$C7</f>
        <v>41855</v>
      </c>
      <c r="E8" s="9">
        <f>'TSP HG-ISO Run2'!$C7</f>
        <v>41855</v>
      </c>
      <c r="F8" s="9">
        <f>'TSP HG-ISO Run3'!$C7</f>
        <v>41855</v>
      </c>
    </row>
    <row r="9" spans="1:13" x14ac:dyDescent="0.2">
      <c r="A9" s="16" t="s">
        <v>4</v>
      </c>
      <c r="D9" s="10" t="str">
        <f>'TSP HG-ISO Run1'!$C10</f>
        <v>1035-1240</v>
      </c>
      <c r="E9" s="10" t="str">
        <f>'TSP HG-ISO Run2'!$C10</f>
        <v>1330-1535</v>
      </c>
      <c r="F9" s="10" t="str">
        <f>'TSP HG-ISO Run3'!$C10</f>
        <v>1610-1815</v>
      </c>
      <c r="M9" s="16"/>
    </row>
    <row r="10" spans="1:13" x14ac:dyDescent="0.2">
      <c r="A10" s="16"/>
      <c r="D10" s="10"/>
      <c r="E10" s="10"/>
      <c r="F10" s="10"/>
      <c r="M10" s="16"/>
    </row>
    <row r="11" spans="1:13" x14ac:dyDescent="0.2">
      <c r="D11" s="3"/>
      <c r="E11" s="3"/>
      <c r="F11" s="3"/>
    </row>
    <row r="12" spans="1:13" x14ac:dyDescent="0.2">
      <c r="A12" s="16" t="s">
        <v>138</v>
      </c>
      <c r="D12" s="11">
        <f>'TSP HG-ISO Run1'!$E44</f>
        <v>26901.59499818835</v>
      </c>
      <c r="E12" s="11">
        <f>'TSP HG-ISO Run2'!$E44</f>
        <v>27302.363699969515</v>
      </c>
      <c r="F12" s="11">
        <f>'TSP HG-ISO Run3'!$E44</f>
        <v>27439.100790044729</v>
      </c>
    </row>
    <row r="13" spans="1:13" x14ac:dyDescent="0.2">
      <c r="A13" s="16" t="s">
        <v>139</v>
      </c>
      <c r="D13" s="12">
        <f>'TSP HG-ISO Run1'!$E33</f>
        <v>9.3697121686107074</v>
      </c>
      <c r="E13" s="12">
        <f>'TSP HG-ISO Run2'!$E33</f>
        <v>9.8413001421258048</v>
      </c>
      <c r="F13" s="12">
        <f>'TSP HG-ISO Run3'!$E33</f>
        <v>9.585783880855983</v>
      </c>
    </row>
    <row r="14" spans="1:13" x14ac:dyDescent="0.2">
      <c r="A14" s="16" t="s">
        <v>140</v>
      </c>
      <c r="D14" s="13">
        <f>'TSP HG-ISO Run1'!$E31</f>
        <v>108.45271540419591</v>
      </c>
      <c r="E14" s="13">
        <f>'TSP HG-ISO Run2'!$E31</f>
        <v>112.87362548733758</v>
      </c>
      <c r="F14" s="13">
        <f>'TSP HG-ISO Run3'!$E31</f>
        <v>114.74256903799498</v>
      </c>
    </row>
    <row r="15" spans="1:13" x14ac:dyDescent="0.2">
      <c r="A15" s="16" t="s">
        <v>141</v>
      </c>
      <c r="D15" s="14">
        <f>'TSP HG-ISO Run1'!$E20</f>
        <v>13.216702741702736</v>
      </c>
      <c r="E15" s="14">
        <f>'TSP HG-ISO Run2'!$E20</f>
        <v>12.26253591954023</v>
      </c>
      <c r="F15" s="14">
        <f>'TSP HG-ISO Run3'!$E20</f>
        <v>12.688997113997111</v>
      </c>
    </row>
    <row r="16" spans="1:13" x14ac:dyDescent="0.2">
      <c r="A16" s="16" t="s">
        <v>226</v>
      </c>
      <c r="D16" s="34"/>
      <c r="E16" s="34"/>
      <c r="F16" s="34"/>
    </row>
    <row r="17" spans="1:6" x14ac:dyDescent="0.2">
      <c r="A17" s="16" t="s">
        <v>142</v>
      </c>
      <c r="D17" s="34">
        <v>9780</v>
      </c>
      <c r="E17" s="34">
        <f>D17</f>
        <v>9780</v>
      </c>
      <c r="F17" s="34">
        <f>E17</f>
        <v>9780</v>
      </c>
    </row>
    <row r="18" spans="1:6" x14ac:dyDescent="0.2">
      <c r="A18" s="16" t="s">
        <v>143</v>
      </c>
      <c r="C18" s="34">
        <v>7</v>
      </c>
      <c r="D18" s="16" t="s">
        <v>144</v>
      </c>
    </row>
    <row r="20" spans="1:6" ht="15.75" x14ac:dyDescent="0.25">
      <c r="A20" s="176" t="s">
        <v>145</v>
      </c>
      <c r="B20" s="177"/>
      <c r="C20" s="177"/>
      <c r="D20" s="177"/>
      <c r="E20" s="177"/>
      <c r="F20" s="223"/>
    </row>
    <row r="22" spans="1:6" x14ac:dyDescent="0.2">
      <c r="A22" s="16"/>
      <c r="D22" s="34"/>
      <c r="E22" s="34"/>
      <c r="F22" s="34"/>
    </row>
    <row r="23" spans="1:6" ht="15.75" x14ac:dyDescent="0.25">
      <c r="A23" s="178" t="s">
        <v>227</v>
      </c>
      <c r="B23" s="223"/>
    </row>
    <row r="24" spans="1:6" ht="15.75" x14ac:dyDescent="0.25">
      <c r="A24" s="216"/>
      <c r="B24" s="217"/>
    </row>
    <row r="25" spans="1:6" x14ac:dyDescent="0.2">
      <c r="A25" s="16" t="s">
        <v>228</v>
      </c>
      <c r="B25" s="34">
        <v>95</v>
      </c>
      <c r="C25" s="20" t="s">
        <v>229</v>
      </c>
      <c r="D25" s="34">
        <v>86</v>
      </c>
      <c r="E25" s="34">
        <v>81</v>
      </c>
      <c r="F25" s="34">
        <v>84</v>
      </c>
    </row>
    <row r="26" spans="1:6" ht="15.75" x14ac:dyDescent="0.25">
      <c r="A26" s="16"/>
      <c r="B26" s="34"/>
      <c r="C26" s="218"/>
      <c r="D26" s="34"/>
      <c r="E26" s="34"/>
      <c r="F26" s="34"/>
    </row>
    <row r="27" spans="1:6" ht="15.75" x14ac:dyDescent="0.25">
      <c r="A27" s="176" t="s">
        <v>230</v>
      </c>
      <c r="B27" s="223"/>
      <c r="D27" s="28"/>
      <c r="E27" s="22"/>
      <c r="F27" s="22"/>
    </row>
    <row r="28" spans="1:6" ht="15.75" x14ac:dyDescent="0.25">
      <c r="A28" s="216"/>
      <c r="B28" s="217"/>
      <c r="D28" s="28"/>
      <c r="E28" s="22"/>
      <c r="F28" s="22"/>
    </row>
    <row r="29" spans="1:6" ht="15.75" x14ac:dyDescent="0.25">
      <c r="C29" s="219" t="s">
        <v>231</v>
      </c>
      <c r="D29" s="220">
        <v>0.191</v>
      </c>
      <c r="E29" s="220">
        <v>0.189</v>
      </c>
      <c r="F29" s="220">
        <v>0.20100000000000001</v>
      </c>
    </row>
    <row r="30" spans="1:6" ht="15.75" x14ac:dyDescent="0.25">
      <c r="C30" s="218"/>
      <c r="D30" s="220"/>
      <c r="E30" s="220"/>
      <c r="F30" s="220"/>
    </row>
    <row r="31" spans="1:6" ht="15.75" x14ac:dyDescent="0.25">
      <c r="C31" s="219" t="s">
        <v>232</v>
      </c>
      <c r="D31" s="220"/>
      <c r="E31" s="220"/>
      <c r="F31" s="220"/>
    </row>
    <row r="32" spans="1:6" ht="15.75" x14ac:dyDescent="0.25">
      <c r="A32" s="18" t="s">
        <v>233</v>
      </c>
      <c r="B32" s="220">
        <v>6.9999999999999999E-4</v>
      </c>
      <c r="C32" s="218" t="s">
        <v>234</v>
      </c>
      <c r="D32" s="220">
        <v>4.7000000000000002E-3</v>
      </c>
      <c r="E32" s="220">
        <v>5.1999999999999998E-3</v>
      </c>
      <c r="F32" s="220">
        <v>3.3E-3</v>
      </c>
    </row>
    <row r="33" spans="1:8" ht="15.75" x14ac:dyDescent="0.25">
      <c r="A33" s="16"/>
      <c r="B33" s="220"/>
      <c r="C33" s="218"/>
      <c r="D33" s="220"/>
      <c r="E33" s="220"/>
      <c r="F33" s="220"/>
    </row>
    <row r="34" spans="1:8" ht="15.75" x14ac:dyDescent="0.25">
      <c r="C34" s="218" t="s">
        <v>235</v>
      </c>
      <c r="D34" s="220">
        <f>(D32-(($B32/$B25)*D25))</f>
        <v>4.0663157894736844E-3</v>
      </c>
      <c r="E34" s="220">
        <f>(E32-(($B32/$B25)*E25))</f>
        <v>4.603157894736842E-3</v>
      </c>
      <c r="F34" s="220">
        <f>(F32-(($B32/$B25)*F25))</f>
        <v>2.6810526315789473E-3</v>
      </c>
    </row>
    <row r="35" spans="1:8" x14ac:dyDescent="0.2">
      <c r="A35" s="16"/>
      <c r="D35" s="220"/>
      <c r="E35" s="220"/>
      <c r="F35" s="220"/>
    </row>
    <row r="36" spans="1:8" x14ac:dyDescent="0.2">
      <c r="D36" s="220"/>
      <c r="E36" s="220"/>
      <c r="F36" s="220"/>
    </row>
    <row r="37" spans="1:8" ht="15.75" x14ac:dyDescent="0.25">
      <c r="A37" s="18"/>
      <c r="D37" s="220"/>
      <c r="E37" s="220"/>
      <c r="F37" s="220"/>
    </row>
    <row r="40" spans="1:8" ht="15.75" x14ac:dyDescent="0.25">
      <c r="G40" s="4" t="s">
        <v>163</v>
      </c>
      <c r="H40" s="4" t="s">
        <v>146</v>
      </c>
    </row>
    <row r="41" spans="1:8" ht="15.75" x14ac:dyDescent="0.25">
      <c r="A41" s="176" t="s">
        <v>147</v>
      </c>
      <c r="B41" s="177"/>
      <c r="C41" s="223"/>
      <c r="G41" s="3"/>
      <c r="H41" s="4"/>
    </row>
    <row r="42" spans="1:8" ht="15.75" x14ac:dyDescent="0.25">
      <c r="A42" s="16" t="s">
        <v>148</v>
      </c>
      <c r="D42" s="221">
        <f>((D29+D34+D37)/D$14*15.43)*(100-D$13)/100</f>
        <v>2.5152498783026892E-2</v>
      </c>
      <c r="E42" s="221">
        <f>((E29+E34+E37)/E$14*15.43)*(100-E$13)/100</f>
        <v>2.3861268544486468E-2</v>
      </c>
      <c r="F42" s="221">
        <f>((F29+F34+F37)/F$14*15.43)*(100-F$13)/100</f>
        <v>2.4764451243214289E-2</v>
      </c>
      <c r="G42" s="15"/>
      <c r="H42" s="4"/>
    </row>
    <row r="43" spans="1:8" ht="15.75" x14ac:dyDescent="0.25">
      <c r="A43" s="16" t="s">
        <v>149</v>
      </c>
      <c r="D43" s="221">
        <f>((D29+D34+D37)/D$14*15.43)</f>
        <v>2.7752862078316672E-2</v>
      </c>
      <c r="E43" s="221">
        <f>((E29+E34+E37)/E$14*15.43)</f>
        <v>2.6465852526823562E-2</v>
      </c>
      <c r="F43" s="221">
        <f>((F29+F34+F37)/F$14*15.43)</f>
        <v>2.7389997177634927E-2</v>
      </c>
      <c r="G43" s="222"/>
      <c r="H43" s="4"/>
    </row>
    <row r="44" spans="1:8" x14ac:dyDescent="0.2">
      <c r="A44" s="16" t="s">
        <v>150</v>
      </c>
      <c r="D44" s="281">
        <f>((D29+D34+D37)/D$14*D$12*0.1323)</f>
        <v>6.401470163663868</v>
      </c>
      <c r="E44" s="281">
        <f>((E29+E34+E37)/E$14*E$12*0.1323)</f>
        <v>6.1955526787590118</v>
      </c>
      <c r="F44" s="281">
        <f>((F29+F34+F37)/F$14*F$12*0.1323)</f>
        <v>6.4440036921485868</v>
      </c>
      <c r="G44" s="226">
        <f>AVERAGE(B44,D44,F44)</f>
        <v>6.422736927906227</v>
      </c>
      <c r="H44" s="3"/>
    </row>
    <row r="45" spans="1:8" ht="15.75" x14ac:dyDescent="0.25">
      <c r="A45" s="18" t="s">
        <v>236</v>
      </c>
      <c r="B45" s="25"/>
      <c r="C45" s="25"/>
      <c r="D45" s="225">
        <f>(20.9/(20.9-D15))*(D17*(D29+D34+D37))/(D14*453.59)</f>
        <v>0.10549111555379515</v>
      </c>
      <c r="E45" s="225">
        <f>(20.9/(20.9-E15))*(E17*(E29+E34+E37))/(E14*453.59)</f>
        <v>8.9486058029734181E-2</v>
      </c>
      <c r="F45" s="225">
        <f>(20.9/(20.9-F15))*(F17*(F29+F34+F37))/(F14*453.59)</f>
        <v>9.7420762894691218E-2</v>
      </c>
      <c r="G45" s="292">
        <f>AVERAGE(D45:F45)</f>
        <v>9.746597882607351E-2</v>
      </c>
      <c r="H45" s="25">
        <v>0.309</v>
      </c>
    </row>
    <row r="46" spans="1:8" x14ac:dyDescent="0.2">
      <c r="A46" s="293" t="s">
        <v>278</v>
      </c>
      <c r="B46" s="293"/>
      <c r="C46" s="293"/>
      <c r="D46" s="293">
        <v>248</v>
      </c>
      <c r="E46" s="293">
        <v>248</v>
      </c>
      <c r="F46" s="293">
        <v>248</v>
      </c>
      <c r="G46" s="293"/>
    </row>
    <row r="47" spans="1:8" x14ac:dyDescent="0.2">
      <c r="A47" s="293" t="s">
        <v>281</v>
      </c>
      <c r="B47" s="293"/>
      <c r="C47" s="293"/>
      <c r="D47" s="294">
        <f>D46/D25</f>
        <v>2.8837209302325579</v>
      </c>
      <c r="E47" s="294">
        <f t="shared" ref="E47:F47" si="0">E46/E25</f>
        <v>3.0617283950617282</v>
      </c>
      <c r="F47" s="294">
        <f t="shared" si="0"/>
        <v>2.9523809523809526</v>
      </c>
      <c r="G47" s="293"/>
    </row>
    <row r="48" spans="1:8" ht="15.75" x14ac:dyDescent="0.25">
      <c r="A48" s="295" t="s">
        <v>279</v>
      </c>
      <c r="B48" s="293"/>
      <c r="C48" s="293"/>
      <c r="D48" s="297">
        <f>D45*D47</f>
        <v>0.3042069378760604</v>
      </c>
      <c r="E48" s="297">
        <f t="shared" ref="E48:F48" si="1">E45*E47</f>
        <v>0.2739820048317787</v>
      </c>
      <c r="F48" s="297">
        <f t="shared" si="1"/>
        <v>0.28762320473670744</v>
      </c>
      <c r="G48" s="296">
        <f>AVERAGE(D48:F48)</f>
        <v>0.28860404914818216</v>
      </c>
      <c r="H48" s="25">
        <v>0.309</v>
      </c>
    </row>
    <row r="49" spans="1:9" ht="15.75" x14ac:dyDescent="0.25">
      <c r="A49" s="18"/>
      <c r="D49" s="290"/>
      <c r="E49" s="290"/>
      <c r="F49" s="290"/>
      <c r="H49" s="25"/>
    </row>
    <row r="50" spans="1:9" x14ac:dyDescent="0.2">
      <c r="A50" s="224" t="s">
        <v>12</v>
      </c>
    </row>
    <row r="51" spans="1:9" x14ac:dyDescent="0.2">
      <c r="A51" s="16" t="s">
        <v>237</v>
      </c>
      <c r="B51" s="16"/>
      <c r="G51" s="291"/>
      <c r="H51" s="291"/>
      <c r="I51" s="291"/>
    </row>
    <row r="52" spans="1:9" x14ac:dyDescent="0.2">
      <c r="A52" s="16" t="s">
        <v>151</v>
      </c>
      <c r="B52" s="16"/>
    </row>
    <row r="53" spans="1:9" x14ac:dyDescent="0.2">
      <c r="A53" s="21" t="s">
        <v>265</v>
      </c>
      <c r="B53" s="21"/>
    </row>
    <row r="54" spans="1:9" x14ac:dyDescent="0.2">
      <c r="A54" s="21" t="s">
        <v>266</v>
      </c>
      <c r="B54" s="21"/>
    </row>
    <row r="55" spans="1:9" x14ac:dyDescent="0.2">
      <c r="A55" s="21" t="s">
        <v>262</v>
      </c>
      <c r="B55" s="16"/>
    </row>
    <row r="56" spans="1:9" x14ac:dyDescent="0.2">
      <c r="A56" s="21" t="s">
        <v>280</v>
      </c>
    </row>
    <row r="57" spans="1:9" x14ac:dyDescent="0.2">
      <c r="B57" s="16"/>
    </row>
    <row r="58" spans="1:9" x14ac:dyDescent="0.2">
      <c r="C58" s="16"/>
    </row>
  </sheetData>
  <mergeCells count="1">
    <mergeCell ref="A1:H1"/>
  </mergeCells>
  <pageMargins left="0.95" right="0.7" top="0.75" bottom="0.75" header="0.3" footer="0.3"/>
  <pageSetup scale="7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62"/>
  <sheetViews>
    <sheetView showGridLines="0" zoomScale="80" zoomScaleNormal="80" workbookViewId="0">
      <selection activeCell="C7" sqref="C7"/>
    </sheetView>
  </sheetViews>
  <sheetFormatPr defaultRowHeight="15" x14ac:dyDescent="0.2"/>
  <cols>
    <col min="1" max="1" width="10.77734375" style="53" customWidth="1"/>
    <col min="2" max="2" width="10.109375" style="53" customWidth="1"/>
    <col min="3" max="3" width="11.109375" style="53" customWidth="1"/>
    <col min="4" max="4" width="8.88671875" style="53"/>
    <col min="5" max="5" width="10.77734375" style="53" customWidth="1"/>
    <col min="6" max="6" width="1.77734375" style="53" customWidth="1"/>
    <col min="7" max="13" width="8.44140625" style="53" customWidth="1"/>
    <col min="14" max="14" width="4.77734375" style="53" customWidth="1"/>
    <col min="15" max="20" width="8.88671875" style="53"/>
    <col min="21" max="21" width="17.77734375" style="53" customWidth="1"/>
    <col min="22" max="22" width="8.88671875" style="53"/>
    <col min="23" max="23" width="6.77734375" style="53" customWidth="1"/>
    <col min="24" max="24" width="11.77734375" style="53" customWidth="1"/>
    <col min="25" max="25" width="10.77734375" style="53" customWidth="1"/>
    <col min="26" max="26" width="6.77734375" style="53" customWidth="1"/>
    <col min="27" max="27" width="8.88671875" style="53"/>
    <col min="28" max="28" width="3.77734375" style="53" customWidth="1"/>
    <col min="29" max="16384" width="8.88671875" style="53"/>
  </cols>
  <sheetData>
    <row r="1" spans="1:47" ht="30" x14ac:dyDescent="0.4">
      <c r="D1" s="54" t="s">
        <v>37</v>
      </c>
      <c r="E1" s="55"/>
      <c r="F1" s="56"/>
      <c r="U1" s="57"/>
      <c r="X1" s="57"/>
      <c r="AU1" s="57"/>
    </row>
    <row r="3" spans="1:47" ht="15.75" x14ac:dyDescent="0.25">
      <c r="A3" s="153"/>
      <c r="B3" s="154" t="s">
        <v>38</v>
      </c>
      <c r="C3" s="58" t="s">
        <v>446</v>
      </c>
      <c r="D3" s="59"/>
      <c r="E3" s="60"/>
      <c r="F3" s="61"/>
      <c r="G3" s="160" t="s">
        <v>39</v>
      </c>
      <c r="H3" s="160" t="s">
        <v>40</v>
      </c>
      <c r="I3" s="160" t="s">
        <v>41</v>
      </c>
      <c r="J3" s="161" t="s">
        <v>42</v>
      </c>
      <c r="K3" s="162"/>
      <c r="L3" s="163" t="s">
        <v>43</v>
      </c>
      <c r="M3" s="163" t="s">
        <v>44</v>
      </c>
      <c r="U3" s="57"/>
      <c r="X3" s="57"/>
    </row>
    <row r="4" spans="1:47" ht="15.75" x14ac:dyDescent="0.25">
      <c r="A4" s="155"/>
      <c r="B4" s="156" t="s">
        <v>46</v>
      </c>
      <c r="C4" s="62" t="s">
        <v>447</v>
      </c>
      <c r="D4" s="63"/>
      <c r="E4" s="64"/>
      <c r="F4" s="61"/>
      <c r="G4" s="164" t="s">
        <v>47</v>
      </c>
      <c r="H4" s="164" t="s">
        <v>48</v>
      </c>
      <c r="I4" s="164" t="s">
        <v>48</v>
      </c>
      <c r="J4" s="160" t="s">
        <v>49</v>
      </c>
      <c r="K4" s="160" t="s">
        <v>50</v>
      </c>
      <c r="L4" s="164" t="s">
        <v>51</v>
      </c>
      <c r="M4" s="165" t="s">
        <v>52</v>
      </c>
      <c r="U4" s="57"/>
      <c r="AU4" s="57"/>
    </row>
    <row r="5" spans="1:47" ht="15.75" x14ac:dyDescent="0.25">
      <c r="A5" s="155"/>
      <c r="B5" s="157" t="s">
        <v>53</v>
      </c>
      <c r="C5" s="65" t="s">
        <v>243</v>
      </c>
      <c r="D5" s="63"/>
      <c r="E5" s="64"/>
      <c r="F5" s="61"/>
      <c r="G5" s="166"/>
      <c r="H5" s="166"/>
      <c r="I5" s="167"/>
      <c r="J5" s="164" t="s">
        <v>54</v>
      </c>
      <c r="K5" s="164" t="s">
        <v>54</v>
      </c>
      <c r="L5" s="164" t="s">
        <v>54</v>
      </c>
      <c r="M5" s="165" t="s">
        <v>40</v>
      </c>
      <c r="W5" s="57"/>
    </row>
    <row r="6" spans="1:47" ht="15.75" x14ac:dyDescent="0.25">
      <c r="A6" s="155"/>
      <c r="B6" s="157" t="s">
        <v>220</v>
      </c>
      <c r="C6" s="65" t="s">
        <v>258</v>
      </c>
      <c r="D6" s="63"/>
      <c r="E6" s="64"/>
      <c r="G6" s="66" t="s">
        <v>1</v>
      </c>
      <c r="H6" s="185">
        <v>0.05</v>
      </c>
      <c r="I6" s="186">
        <f t="shared" ref="I6:I29" si="0">H6*$J$35</f>
        <v>2.3000000000000003</v>
      </c>
      <c r="J6" s="187">
        <v>74</v>
      </c>
      <c r="K6" s="187">
        <f t="shared" ref="K6:K29" si="1">J6</f>
        <v>74</v>
      </c>
      <c r="L6" s="187">
        <v>108</v>
      </c>
      <c r="M6" s="188">
        <f t="shared" ref="M6:M30" si="2">SQRT(H6)</f>
        <v>0.22360679774997896</v>
      </c>
      <c r="N6" s="67"/>
      <c r="U6" s="57"/>
      <c r="X6" s="63"/>
      <c r="AU6" s="57"/>
    </row>
    <row r="7" spans="1:47" ht="15.75" x14ac:dyDescent="0.25">
      <c r="A7" s="155"/>
      <c r="B7" s="157" t="s">
        <v>55</v>
      </c>
      <c r="C7" s="68">
        <v>41855</v>
      </c>
      <c r="D7" s="63"/>
      <c r="E7" s="64"/>
      <c r="G7" s="69" t="s">
        <v>2</v>
      </c>
      <c r="H7" s="189">
        <v>0.05</v>
      </c>
      <c r="I7" s="186">
        <f t="shared" si="0"/>
        <v>2.3000000000000003</v>
      </c>
      <c r="J7" s="190">
        <v>74</v>
      </c>
      <c r="K7" s="190">
        <f t="shared" si="1"/>
        <v>74</v>
      </c>
      <c r="L7" s="190">
        <v>108</v>
      </c>
      <c r="M7" s="173">
        <f t="shared" si="2"/>
        <v>0.22360679774997896</v>
      </c>
      <c r="N7" s="67"/>
      <c r="Z7" s="57"/>
    </row>
    <row r="8" spans="1:47" ht="15.75" x14ac:dyDescent="0.25">
      <c r="A8" s="155"/>
      <c r="B8" s="157" t="s">
        <v>56</v>
      </c>
      <c r="C8" s="115" t="s">
        <v>57</v>
      </c>
      <c r="D8" s="63"/>
      <c r="E8" s="64"/>
      <c r="G8" s="69" t="s">
        <v>58</v>
      </c>
      <c r="H8" s="189">
        <v>5.5E-2</v>
      </c>
      <c r="I8" s="186">
        <f t="shared" si="0"/>
        <v>2.5299999999999998</v>
      </c>
      <c r="J8" s="190">
        <v>75</v>
      </c>
      <c r="K8" s="190">
        <f t="shared" si="1"/>
        <v>75</v>
      </c>
      <c r="L8" s="190">
        <v>107</v>
      </c>
      <c r="M8" s="173">
        <f t="shared" si="2"/>
        <v>0.23452078799117149</v>
      </c>
      <c r="N8" s="67"/>
      <c r="U8" s="57"/>
      <c r="AU8" s="57"/>
    </row>
    <row r="9" spans="1:47" ht="15.75" x14ac:dyDescent="0.25">
      <c r="A9" s="155"/>
      <c r="B9" s="156" t="s">
        <v>60</v>
      </c>
      <c r="C9" s="70">
        <v>3</v>
      </c>
      <c r="D9" s="71"/>
      <c r="E9" s="64"/>
      <c r="G9" s="69" t="s">
        <v>61</v>
      </c>
      <c r="H9" s="189">
        <v>0.06</v>
      </c>
      <c r="I9" s="186">
        <f t="shared" si="0"/>
        <v>2.76</v>
      </c>
      <c r="J9" s="190">
        <v>75</v>
      </c>
      <c r="K9" s="190">
        <f t="shared" si="1"/>
        <v>75</v>
      </c>
      <c r="L9" s="190">
        <v>107</v>
      </c>
      <c r="M9" s="173">
        <f t="shared" si="2"/>
        <v>0.2449489742783178</v>
      </c>
      <c r="N9" s="67"/>
      <c r="U9" s="57"/>
    </row>
    <row r="10" spans="1:47" ht="15.75" x14ac:dyDescent="0.25">
      <c r="A10" s="158"/>
      <c r="B10" s="159" t="s">
        <v>65</v>
      </c>
      <c r="C10" s="72" t="s">
        <v>257</v>
      </c>
      <c r="D10" s="73"/>
      <c r="E10" s="74" t="s">
        <v>445</v>
      </c>
      <c r="G10" s="69" t="s">
        <v>66</v>
      </c>
      <c r="H10" s="189">
        <v>0.06</v>
      </c>
      <c r="I10" s="186">
        <f t="shared" si="0"/>
        <v>2.76</v>
      </c>
      <c r="J10" s="190">
        <v>76</v>
      </c>
      <c r="K10" s="190">
        <f t="shared" si="1"/>
        <v>76</v>
      </c>
      <c r="L10" s="190">
        <v>108</v>
      </c>
      <c r="M10" s="173">
        <f t="shared" si="2"/>
        <v>0.2449489742783178</v>
      </c>
      <c r="N10" s="67"/>
    </row>
    <row r="11" spans="1:47" x14ac:dyDescent="0.2">
      <c r="G11" s="69" t="s">
        <v>67</v>
      </c>
      <c r="H11" s="189">
        <v>0.06</v>
      </c>
      <c r="I11" s="186">
        <f t="shared" si="0"/>
        <v>2.76</v>
      </c>
      <c r="J11" s="190">
        <v>77</v>
      </c>
      <c r="K11" s="190">
        <f t="shared" si="1"/>
        <v>77</v>
      </c>
      <c r="L11" s="190">
        <v>107</v>
      </c>
      <c r="M11" s="173">
        <f t="shared" si="2"/>
        <v>0.2449489742783178</v>
      </c>
      <c r="N11" s="67"/>
      <c r="U11" s="57"/>
      <c r="W11" s="57"/>
      <c r="X11" s="57"/>
    </row>
    <row r="12" spans="1:47" ht="15.75" x14ac:dyDescent="0.25">
      <c r="A12" s="151"/>
      <c r="B12" s="152" t="s">
        <v>68</v>
      </c>
      <c r="C12" s="149"/>
      <c r="D12" s="149"/>
      <c r="E12" s="150"/>
      <c r="G12" s="69" t="s">
        <v>69</v>
      </c>
      <c r="H12" s="189">
        <v>6.5000000000000002E-2</v>
      </c>
      <c r="I12" s="186">
        <f t="shared" si="0"/>
        <v>2.99</v>
      </c>
      <c r="J12" s="190">
        <v>77</v>
      </c>
      <c r="K12" s="190">
        <f t="shared" si="1"/>
        <v>77</v>
      </c>
      <c r="L12" s="190">
        <v>107</v>
      </c>
      <c r="M12" s="173">
        <f t="shared" si="2"/>
        <v>0.25495097567963926</v>
      </c>
      <c r="N12" s="67"/>
      <c r="U12" s="57"/>
      <c r="V12" s="63"/>
      <c r="W12" s="57"/>
      <c r="X12" s="57"/>
      <c r="AA12" s="63"/>
    </row>
    <row r="13" spans="1:47" x14ac:dyDescent="0.2">
      <c r="A13" s="75" t="s">
        <v>70</v>
      </c>
      <c r="B13" s="76"/>
      <c r="C13" s="76"/>
      <c r="D13" s="76"/>
      <c r="E13" s="77">
        <v>20.632999999999999</v>
      </c>
      <c r="G13" s="69" t="s">
        <v>71</v>
      </c>
      <c r="H13" s="189">
        <v>6.5000000000000002E-2</v>
      </c>
      <c r="I13" s="186">
        <f t="shared" si="0"/>
        <v>2.99</v>
      </c>
      <c r="J13" s="190">
        <v>78</v>
      </c>
      <c r="K13" s="190">
        <f t="shared" si="1"/>
        <v>78</v>
      </c>
      <c r="L13" s="190">
        <v>108</v>
      </c>
      <c r="M13" s="173">
        <f t="shared" si="2"/>
        <v>0.25495097567963926</v>
      </c>
      <c r="N13" s="67"/>
      <c r="U13" s="57"/>
      <c r="V13" s="63"/>
      <c r="W13" s="57"/>
      <c r="X13" s="57"/>
      <c r="AA13" s="63"/>
    </row>
    <row r="14" spans="1:47" x14ac:dyDescent="0.2">
      <c r="A14" s="78" t="s">
        <v>72</v>
      </c>
      <c r="B14" s="79"/>
      <c r="C14" s="79"/>
      <c r="D14" s="79"/>
      <c r="E14" s="80">
        <v>137.768</v>
      </c>
      <c r="F14" s="81"/>
      <c r="G14" s="69" t="s">
        <v>73</v>
      </c>
      <c r="H14" s="189">
        <v>0.06</v>
      </c>
      <c r="I14" s="186">
        <f t="shared" si="0"/>
        <v>2.76</v>
      </c>
      <c r="J14" s="190">
        <v>79</v>
      </c>
      <c r="K14" s="190">
        <f t="shared" si="1"/>
        <v>79</v>
      </c>
      <c r="L14" s="190">
        <v>108</v>
      </c>
      <c r="M14" s="173">
        <f t="shared" si="2"/>
        <v>0.2449489742783178</v>
      </c>
      <c r="N14" s="67"/>
    </row>
    <row r="15" spans="1:47" x14ac:dyDescent="0.2">
      <c r="A15" s="82" t="s">
        <v>74</v>
      </c>
      <c r="B15" s="79"/>
      <c r="C15" s="79"/>
      <c r="D15" s="79"/>
      <c r="E15" s="80">
        <f>E14-E13</f>
        <v>117.13500000000001</v>
      </c>
      <c r="F15" s="81"/>
      <c r="G15" s="69" t="s">
        <v>75</v>
      </c>
      <c r="H15" s="189">
        <v>5.5E-2</v>
      </c>
      <c r="I15" s="186">
        <f t="shared" si="0"/>
        <v>2.5299999999999998</v>
      </c>
      <c r="J15" s="190">
        <v>80</v>
      </c>
      <c r="K15" s="190">
        <f t="shared" si="1"/>
        <v>80</v>
      </c>
      <c r="L15" s="190">
        <v>106</v>
      </c>
      <c r="M15" s="173">
        <f t="shared" si="2"/>
        <v>0.23452078799117149</v>
      </c>
      <c r="N15" s="67"/>
      <c r="U15" s="57"/>
    </row>
    <row r="16" spans="1:47" x14ac:dyDescent="0.2">
      <c r="A16" s="82" t="s">
        <v>76</v>
      </c>
      <c r="B16" s="79"/>
      <c r="C16" s="79"/>
      <c r="D16" s="79"/>
      <c r="E16" s="83">
        <f>K46</f>
        <v>257.89999999999998</v>
      </c>
      <c r="F16" s="81"/>
      <c r="G16" s="69" t="s">
        <v>77</v>
      </c>
      <c r="H16" s="189">
        <v>0.05</v>
      </c>
      <c r="I16" s="186">
        <f t="shared" si="0"/>
        <v>2.3000000000000003</v>
      </c>
      <c r="J16" s="190">
        <v>81</v>
      </c>
      <c r="K16" s="190">
        <f t="shared" si="1"/>
        <v>81</v>
      </c>
      <c r="L16" s="190">
        <v>107</v>
      </c>
      <c r="M16" s="173">
        <f t="shared" si="2"/>
        <v>0.22360679774997896</v>
      </c>
      <c r="N16" s="67"/>
    </row>
    <row r="17" spans="1:24" ht="15.75" x14ac:dyDescent="0.25">
      <c r="A17" s="84" t="s">
        <v>78</v>
      </c>
      <c r="B17" s="79"/>
      <c r="C17" s="79"/>
      <c r="D17" s="79"/>
      <c r="E17" s="282">
        <v>-0.08</v>
      </c>
      <c r="F17" s="81"/>
      <c r="G17" s="69" t="s">
        <v>79</v>
      </c>
      <c r="H17" s="189">
        <v>0.05</v>
      </c>
      <c r="I17" s="186">
        <f t="shared" si="0"/>
        <v>2.3000000000000003</v>
      </c>
      <c r="J17" s="190">
        <v>81</v>
      </c>
      <c r="K17" s="190">
        <f t="shared" si="1"/>
        <v>81</v>
      </c>
      <c r="L17" s="190">
        <v>107</v>
      </c>
      <c r="M17" s="173">
        <f t="shared" si="2"/>
        <v>0.22360679774997896</v>
      </c>
      <c r="N17" s="67"/>
      <c r="U17" s="57"/>
    </row>
    <row r="18" spans="1:24" ht="15.75" x14ac:dyDescent="0.25">
      <c r="A18" s="84" t="s">
        <v>80</v>
      </c>
      <c r="B18" s="79"/>
      <c r="C18" s="79"/>
      <c r="D18" s="79"/>
      <c r="E18" s="85">
        <v>30.02</v>
      </c>
      <c r="F18" s="81"/>
      <c r="G18" s="69" t="s">
        <v>81</v>
      </c>
      <c r="H18" s="189">
        <v>5.5E-2</v>
      </c>
      <c r="I18" s="186">
        <f t="shared" si="0"/>
        <v>2.5299999999999998</v>
      </c>
      <c r="J18" s="190">
        <v>81</v>
      </c>
      <c r="K18" s="190">
        <f t="shared" si="1"/>
        <v>81</v>
      </c>
      <c r="L18" s="190">
        <v>107</v>
      </c>
      <c r="M18" s="173">
        <f t="shared" si="2"/>
        <v>0.23452078799117149</v>
      </c>
      <c r="N18" s="67"/>
    </row>
    <row r="19" spans="1:24" x14ac:dyDescent="0.2">
      <c r="A19" s="82" t="s">
        <v>247</v>
      </c>
      <c r="B19" s="79"/>
      <c r="C19" s="79"/>
      <c r="D19" s="79"/>
      <c r="E19" s="86">
        <f>CEMS!F28</f>
        <v>7.3964114285714295</v>
      </c>
      <c r="F19" s="81"/>
      <c r="G19" s="69" t="s">
        <v>82</v>
      </c>
      <c r="H19" s="189">
        <v>5.5E-2</v>
      </c>
      <c r="I19" s="186">
        <f t="shared" si="0"/>
        <v>2.5299999999999998</v>
      </c>
      <c r="J19" s="190">
        <v>81</v>
      </c>
      <c r="K19" s="190">
        <f t="shared" si="1"/>
        <v>81</v>
      </c>
      <c r="L19" s="190">
        <v>108</v>
      </c>
      <c r="M19" s="173">
        <f t="shared" si="2"/>
        <v>0.23452078799117149</v>
      </c>
      <c r="N19" s="67"/>
      <c r="U19" s="57"/>
      <c r="W19" s="57"/>
      <c r="X19" s="57"/>
    </row>
    <row r="20" spans="1:24" x14ac:dyDescent="0.2">
      <c r="A20" s="82" t="s">
        <v>83</v>
      </c>
      <c r="B20" s="79"/>
      <c r="C20" s="79"/>
      <c r="D20" s="79"/>
      <c r="E20" s="86">
        <f>CEMS!F21</f>
        <v>12.688997113997111</v>
      </c>
      <c r="F20" s="81"/>
      <c r="G20" s="69" t="s">
        <v>84</v>
      </c>
      <c r="H20" s="189">
        <v>0.06</v>
      </c>
      <c r="I20" s="186">
        <f t="shared" si="0"/>
        <v>2.76</v>
      </c>
      <c r="J20" s="190">
        <v>81</v>
      </c>
      <c r="K20" s="190">
        <f t="shared" si="1"/>
        <v>81</v>
      </c>
      <c r="L20" s="190">
        <v>109</v>
      </c>
      <c r="M20" s="173">
        <f t="shared" si="2"/>
        <v>0.2449489742783178</v>
      </c>
      <c r="N20" s="67"/>
      <c r="U20" s="57"/>
      <c r="W20" s="57"/>
    </row>
    <row r="21" spans="1:24" x14ac:dyDescent="0.2">
      <c r="A21" s="82" t="s">
        <v>85</v>
      </c>
      <c r="B21" s="79"/>
      <c r="C21" s="79"/>
      <c r="D21" s="79"/>
      <c r="E21" s="80">
        <v>0.502</v>
      </c>
      <c r="F21" s="81"/>
      <c r="G21" s="69" t="s">
        <v>86</v>
      </c>
      <c r="H21" s="189">
        <v>0.06</v>
      </c>
      <c r="I21" s="186">
        <f t="shared" si="0"/>
        <v>2.76</v>
      </c>
      <c r="J21" s="190">
        <v>81</v>
      </c>
      <c r="K21" s="190">
        <f t="shared" si="1"/>
        <v>81</v>
      </c>
      <c r="L21" s="190">
        <v>107</v>
      </c>
      <c r="M21" s="173">
        <f t="shared" si="2"/>
        <v>0.2449489742783178</v>
      </c>
      <c r="N21" s="67"/>
      <c r="W21" s="57"/>
      <c r="X21" s="57"/>
    </row>
    <row r="22" spans="1:24" x14ac:dyDescent="0.2">
      <c r="A22" s="82" t="s">
        <v>87</v>
      </c>
      <c r="B22" s="79"/>
      <c r="C22" s="79"/>
      <c r="D22" s="79"/>
      <c r="E22" s="87">
        <v>0.83</v>
      </c>
      <c r="F22" s="81"/>
      <c r="G22" s="69" t="s">
        <v>88</v>
      </c>
      <c r="H22" s="189">
        <v>5.5E-2</v>
      </c>
      <c r="I22" s="186">
        <f t="shared" si="0"/>
        <v>2.5299999999999998</v>
      </c>
      <c r="J22" s="190">
        <v>81</v>
      </c>
      <c r="K22" s="190">
        <f t="shared" si="1"/>
        <v>81</v>
      </c>
      <c r="L22" s="190">
        <v>108</v>
      </c>
      <c r="M22" s="173">
        <f t="shared" si="2"/>
        <v>0.23452078799117149</v>
      </c>
      <c r="N22" s="67"/>
      <c r="W22" s="57"/>
    </row>
    <row r="23" spans="1:24" x14ac:dyDescent="0.2">
      <c r="A23" s="82" t="s">
        <v>89</v>
      </c>
      <c r="B23" s="79"/>
      <c r="C23" s="79"/>
      <c r="D23" s="79"/>
      <c r="E23" s="86">
        <v>0.99</v>
      </c>
      <c r="F23" s="81"/>
      <c r="G23" s="69" t="s">
        <v>90</v>
      </c>
      <c r="H23" s="189">
        <v>5.5E-2</v>
      </c>
      <c r="I23" s="186">
        <f t="shared" si="0"/>
        <v>2.5299999999999998</v>
      </c>
      <c r="J23" s="190">
        <v>80</v>
      </c>
      <c r="K23" s="190">
        <f t="shared" si="1"/>
        <v>80</v>
      </c>
      <c r="L23" s="190">
        <v>109</v>
      </c>
      <c r="M23" s="173">
        <f t="shared" si="2"/>
        <v>0.23452078799117149</v>
      </c>
      <c r="N23" s="67"/>
      <c r="U23" s="57"/>
      <c r="W23" s="57"/>
      <c r="X23" s="57"/>
    </row>
    <row r="24" spans="1:24" x14ac:dyDescent="0.2">
      <c r="A24" s="82" t="s">
        <v>91</v>
      </c>
      <c r="B24" s="79"/>
      <c r="C24" s="79"/>
      <c r="D24" s="79"/>
      <c r="E24" s="83">
        <v>85</v>
      </c>
      <c r="G24" s="69" t="s">
        <v>92</v>
      </c>
      <c r="H24" s="189">
        <v>0.06</v>
      </c>
      <c r="I24" s="186">
        <f t="shared" si="0"/>
        <v>2.76</v>
      </c>
      <c r="J24" s="190">
        <v>80</v>
      </c>
      <c r="K24" s="190">
        <f t="shared" si="1"/>
        <v>80</v>
      </c>
      <c r="L24" s="190">
        <v>108</v>
      </c>
      <c r="M24" s="173">
        <f t="shared" si="2"/>
        <v>0.2449489742783178</v>
      </c>
      <c r="N24" s="67"/>
      <c r="W24" s="57"/>
      <c r="X24" s="57"/>
    </row>
    <row r="25" spans="1:24" x14ac:dyDescent="0.2">
      <c r="A25" s="82" t="s">
        <v>93</v>
      </c>
      <c r="B25" s="79"/>
      <c r="C25" s="79"/>
      <c r="D25" s="79"/>
      <c r="E25" s="80">
        <f>E24*E24/183.3465</f>
        <v>39.406260823086342</v>
      </c>
      <c r="G25" s="69" t="s">
        <v>94</v>
      </c>
      <c r="H25" s="189">
        <v>6.5000000000000002E-2</v>
      </c>
      <c r="I25" s="186">
        <f t="shared" si="0"/>
        <v>2.99</v>
      </c>
      <c r="J25" s="190">
        <v>80</v>
      </c>
      <c r="K25" s="190">
        <f t="shared" si="1"/>
        <v>80</v>
      </c>
      <c r="L25" s="190">
        <v>107</v>
      </c>
      <c r="M25" s="173">
        <f t="shared" si="2"/>
        <v>0.25495097567963926</v>
      </c>
      <c r="N25" s="67"/>
      <c r="W25" s="57"/>
      <c r="X25" s="57"/>
    </row>
    <row r="26" spans="1:24" x14ac:dyDescent="0.2">
      <c r="A26" s="88" t="s">
        <v>95</v>
      </c>
      <c r="B26" s="89"/>
      <c r="C26" s="89"/>
      <c r="D26" s="89"/>
      <c r="E26" s="90">
        <v>120</v>
      </c>
      <c r="G26" s="69" t="s">
        <v>96</v>
      </c>
      <c r="H26" s="189">
        <v>6.5000000000000002E-2</v>
      </c>
      <c r="I26" s="186">
        <f t="shared" si="0"/>
        <v>2.99</v>
      </c>
      <c r="J26" s="190">
        <v>80</v>
      </c>
      <c r="K26" s="190">
        <f t="shared" si="1"/>
        <v>80</v>
      </c>
      <c r="L26" s="190">
        <v>107</v>
      </c>
      <c r="M26" s="173">
        <f t="shared" si="2"/>
        <v>0.25495097567963926</v>
      </c>
      <c r="N26" s="67"/>
    </row>
    <row r="27" spans="1:24" x14ac:dyDescent="0.2">
      <c r="G27" s="69" t="s">
        <v>97</v>
      </c>
      <c r="H27" s="189">
        <v>5.5E-2</v>
      </c>
      <c r="I27" s="186">
        <f t="shared" si="0"/>
        <v>2.5299999999999998</v>
      </c>
      <c r="J27" s="190">
        <v>80</v>
      </c>
      <c r="K27" s="190">
        <f t="shared" si="1"/>
        <v>80</v>
      </c>
      <c r="L27" s="190">
        <v>107</v>
      </c>
      <c r="M27" s="173">
        <f t="shared" si="2"/>
        <v>0.23452078799117149</v>
      </c>
      <c r="N27" s="67"/>
      <c r="U27" s="57"/>
    </row>
    <row r="28" spans="1:24" x14ac:dyDescent="0.2">
      <c r="A28" s="174"/>
      <c r="E28" s="81"/>
      <c r="F28" s="81"/>
      <c r="G28" s="69" t="s">
        <v>98</v>
      </c>
      <c r="H28" s="189">
        <v>0.05</v>
      </c>
      <c r="I28" s="186">
        <f t="shared" si="0"/>
        <v>2.3000000000000003</v>
      </c>
      <c r="J28" s="190">
        <v>80</v>
      </c>
      <c r="K28" s="190">
        <f t="shared" si="1"/>
        <v>80</v>
      </c>
      <c r="L28" s="190">
        <v>107</v>
      </c>
      <c r="M28" s="173">
        <f t="shared" si="2"/>
        <v>0.22360679774997896</v>
      </c>
      <c r="N28" s="67"/>
      <c r="U28" s="57"/>
    </row>
    <row r="29" spans="1:24" x14ac:dyDescent="0.2">
      <c r="E29" s="81"/>
      <c r="F29" s="81"/>
      <c r="G29" s="69" t="s">
        <v>99</v>
      </c>
      <c r="H29" s="189">
        <v>0.05</v>
      </c>
      <c r="I29" s="186">
        <f t="shared" si="0"/>
        <v>2.3000000000000003</v>
      </c>
      <c r="J29" s="190">
        <v>80</v>
      </c>
      <c r="K29" s="190">
        <f t="shared" si="1"/>
        <v>80</v>
      </c>
      <c r="L29" s="190">
        <v>107</v>
      </c>
      <c r="M29" s="173">
        <f t="shared" si="2"/>
        <v>0.22360679774997896</v>
      </c>
      <c r="N29" s="67"/>
      <c r="U29" s="57"/>
    </row>
    <row r="30" spans="1:24" ht="15.75" x14ac:dyDescent="0.25">
      <c r="A30" s="151"/>
      <c r="B30" s="152" t="s">
        <v>100</v>
      </c>
      <c r="C30" s="149"/>
      <c r="D30" s="149"/>
      <c r="E30" s="150"/>
      <c r="F30" s="67"/>
      <c r="G30" s="91">
        <v>25</v>
      </c>
      <c r="H30" s="191"/>
      <c r="I30" s="192"/>
      <c r="J30" s="191"/>
      <c r="K30" s="191"/>
      <c r="L30" s="191"/>
      <c r="M30" s="193">
        <f t="shared" si="2"/>
        <v>0</v>
      </c>
      <c r="N30" s="67"/>
      <c r="U30" s="57"/>
    </row>
    <row r="31" spans="1:24" ht="15.75" x14ac:dyDescent="0.25">
      <c r="A31" s="84" t="s">
        <v>101</v>
      </c>
      <c r="B31" s="92"/>
      <c r="C31" s="92"/>
      <c r="D31" s="92"/>
      <c r="E31" s="93">
        <f>((K49+460)/K50)*E15*E23*(E18+(I33/13.6))/(K33+460)</f>
        <v>114.74256903799498</v>
      </c>
      <c r="F31" s="67"/>
      <c r="G31" s="67"/>
      <c r="H31" s="69"/>
      <c r="I31" s="94" t="s">
        <v>102</v>
      </c>
      <c r="J31" s="69"/>
      <c r="K31" s="95" t="s">
        <v>103</v>
      </c>
      <c r="L31" s="69" t="s">
        <v>104</v>
      </c>
      <c r="M31" s="173" t="s">
        <v>105</v>
      </c>
      <c r="N31" s="67"/>
      <c r="U31" s="57"/>
    </row>
    <row r="32" spans="1:24" ht="15.75" x14ac:dyDescent="0.25">
      <c r="A32" s="82" t="s">
        <v>106</v>
      </c>
      <c r="B32" s="92"/>
      <c r="C32" s="92"/>
      <c r="D32" s="92"/>
      <c r="E32" s="96">
        <f>(E16/21.2)</f>
        <v>12.165094339622641</v>
      </c>
      <c r="F32" s="67"/>
      <c r="G32" s="97"/>
      <c r="H32" s="194"/>
      <c r="I32" s="195"/>
      <c r="J32" s="194"/>
      <c r="K32" s="196"/>
      <c r="L32" s="194"/>
      <c r="M32" s="197"/>
      <c r="N32" s="67"/>
      <c r="U32" s="57"/>
    </row>
    <row r="33" spans="1:21" ht="15.75" x14ac:dyDescent="0.25">
      <c r="A33" s="84" t="s">
        <v>107</v>
      </c>
      <c r="B33" s="92"/>
      <c r="C33" s="92"/>
      <c r="D33" s="92"/>
      <c r="E33" s="98">
        <f>(E32/(E31+E32))*100</f>
        <v>9.585783880855983</v>
      </c>
      <c r="F33" s="67"/>
      <c r="G33" s="169" t="s">
        <v>218</v>
      </c>
      <c r="H33" s="198">
        <f>AVERAGE($H$6:$H$30)</f>
        <v>5.6875000000000016E-2</v>
      </c>
      <c r="I33" s="199">
        <f>AVERAGE($I$6:$I$30)</f>
        <v>2.61625</v>
      </c>
      <c r="J33" s="169"/>
      <c r="K33" s="200">
        <f>(AVERAGE($J$6:$J$30)+AVERAGE($K$6:$K$30))/2</f>
        <v>78.833333333333329</v>
      </c>
      <c r="L33" s="201">
        <f>AVERAGE($L$6:$L$30)</f>
        <v>107.45833333333333</v>
      </c>
      <c r="M33" s="202">
        <f>SUM($M$6:$M$30)/COUNTA($H$6:$H$30)</f>
        <v>0.23823887604603575</v>
      </c>
      <c r="N33" s="67"/>
      <c r="U33" s="57"/>
    </row>
    <row r="34" spans="1:21" x14ac:dyDescent="0.2">
      <c r="A34" s="82" t="s">
        <v>108</v>
      </c>
      <c r="B34" s="92"/>
      <c r="C34" s="92"/>
      <c r="D34" s="92"/>
      <c r="E34" s="96">
        <f>(E19*0.44)+(E20*0.32)+((100-(E19+E20))*0.28)</f>
        <v>29.690985713131315</v>
      </c>
      <c r="F34" s="67"/>
    </row>
    <row r="35" spans="1:21" x14ac:dyDescent="0.2">
      <c r="A35" s="82" t="s">
        <v>109</v>
      </c>
      <c r="B35" s="92"/>
      <c r="C35" s="92"/>
      <c r="D35" s="92"/>
      <c r="E35" s="99">
        <f>(0.18*E33)+(((100-E33)*E34)/100)</f>
        <v>28.570313089128796</v>
      </c>
      <c r="F35" s="67"/>
      <c r="I35" s="204" t="s">
        <v>45</v>
      </c>
      <c r="J35" s="203">
        <v>46</v>
      </c>
    </row>
    <row r="36" spans="1:21" x14ac:dyDescent="0.2">
      <c r="A36" s="82" t="s">
        <v>110</v>
      </c>
      <c r="B36" s="92"/>
      <c r="C36" s="92"/>
      <c r="D36" s="92"/>
      <c r="E36" s="99">
        <f>(E17/13.6)+E18</f>
        <v>30.014117647058821</v>
      </c>
      <c r="F36" s="67"/>
    </row>
    <row r="37" spans="1:21" ht="15.75" x14ac:dyDescent="0.25">
      <c r="A37" s="100" t="s">
        <v>112</v>
      </c>
      <c r="B37" s="76"/>
      <c r="C37" s="76"/>
      <c r="D37" s="76"/>
      <c r="E37" s="101"/>
      <c r="F37" s="67"/>
      <c r="I37" s="444" t="s">
        <v>59</v>
      </c>
      <c r="J37" s="445"/>
      <c r="K37" s="446"/>
    </row>
    <row r="38" spans="1:21" ht="15.75" x14ac:dyDescent="0.25">
      <c r="A38" s="102"/>
      <c r="B38" s="103" t="s">
        <v>114</v>
      </c>
      <c r="C38" s="104"/>
      <c r="D38" s="104"/>
      <c r="E38" s="98">
        <f>(((L33+460)/(E35*E36))^0.5)*M33*85.49*E22</f>
        <v>13.75158444219524</v>
      </c>
      <c r="F38" s="67"/>
      <c r="I38" s="205" t="s">
        <v>62</v>
      </c>
      <c r="J38" s="205" t="s">
        <v>63</v>
      </c>
      <c r="K38" s="205" t="s">
        <v>64</v>
      </c>
    </row>
    <row r="39" spans="1:21" x14ac:dyDescent="0.2">
      <c r="A39" s="102"/>
      <c r="B39" s="105" t="s">
        <v>116</v>
      </c>
      <c r="C39" s="92"/>
      <c r="D39" s="92"/>
      <c r="E39" s="99">
        <f>(((K49+460)/K50)*E36*E38)/(L33+460)</f>
        <v>12.835614809875839</v>
      </c>
      <c r="F39" s="67"/>
      <c r="I39" s="206">
        <v>607.1</v>
      </c>
      <c r="J39" s="206">
        <v>542.6</v>
      </c>
      <c r="K39" s="206">
        <f t="shared" ref="K39:K45" si="3">I39-J39</f>
        <v>64.5</v>
      </c>
    </row>
    <row r="40" spans="1:21" x14ac:dyDescent="0.2">
      <c r="A40" s="102"/>
      <c r="B40" s="105" t="s">
        <v>118</v>
      </c>
      <c r="C40" s="92"/>
      <c r="D40" s="92"/>
      <c r="E40" s="99">
        <f>(E31+E32)/(((((E21/2)^2)*3.14)/144)*E26*60)</f>
        <v>12.830416439413268</v>
      </c>
      <c r="F40" s="67"/>
      <c r="I40" s="206">
        <v>896.3</v>
      </c>
      <c r="J40" s="206">
        <v>770.9</v>
      </c>
      <c r="K40" s="206">
        <f t="shared" si="3"/>
        <v>125.39999999999998</v>
      </c>
    </row>
    <row r="41" spans="1:21" x14ac:dyDescent="0.2">
      <c r="A41" s="100" t="s">
        <v>120</v>
      </c>
      <c r="B41" s="76"/>
      <c r="C41" s="76"/>
      <c r="D41" s="76"/>
      <c r="E41" s="106"/>
      <c r="F41" s="81"/>
      <c r="I41" s="206">
        <v>756.1</v>
      </c>
      <c r="J41" s="206">
        <v>717.8</v>
      </c>
      <c r="K41" s="206">
        <f t="shared" si="3"/>
        <v>38.300000000000068</v>
      </c>
    </row>
    <row r="42" spans="1:21" ht="15.75" x14ac:dyDescent="0.25">
      <c r="A42" s="107"/>
      <c r="B42" s="108" t="s">
        <v>122</v>
      </c>
      <c r="C42" s="109"/>
      <c r="D42" s="109"/>
      <c r="E42" s="110">
        <f>(E25*E38*60)</f>
        <v>32513.911395590516</v>
      </c>
      <c r="F42" s="81"/>
      <c r="I42" s="206">
        <v>648</v>
      </c>
      <c r="J42" s="206">
        <v>641</v>
      </c>
      <c r="K42" s="206">
        <f t="shared" si="3"/>
        <v>7</v>
      </c>
    </row>
    <row r="43" spans="1:21" ht="15.75" x14ac:dyDescent="0.25">
      <c r="A43" s="107"/>
      <c r="B43" s="108" t="s">
        <v>124</v>
      </c>
      <c r="C43" s="109"/>
      <c r="D43" s="109"/>
      <c r="E43" s="110">
        <f>(E39*E25*60)</f>
        <v>30348.215101358226</v>
      </c>
      <c r="I43" s="206">
        <v>774.4</v>
      </c>
      <c r="J43" s="206">
        <v>770.4</v>
      </c>
      <c r="K43" s="206">
        <f t="shared" si="3"/>
        <v>4</v>
      </c>
    </row>
    <row r="44" spans="1:21" ht="15.75" x14ac:dyDescent="0.25">
      <c r="A44" s="107"/>
      <c r="B44" s="108" t="s">
        <v>126</v>
      </c>
      <c r="C44" s="109"/>
      <c r="D44" s="109"/>
      <c r="E44" s="110">
        <f>(100-E33)/100*E43</f>
        <v>27439.100790044729</v>
      </c>
      <c r="I44" s="206">
        <v>773</v>
      </c>
      <c r="J44" s="206">
        <v>772.7</v>
      </c>
      <c r="K44" s="206">
        <f t="shared" si="3"/>
        <v>0.29999999999995453</v>
      </c>
    </row>
    <row r="45" spans="1:21" ht="15.75" x14ac:dyDescent="0.25">
      <c r="A45" s="111" t="s">
        <v>128</v>
      </c>
      <c r="B45" s="112"/>
      <c r="C45" s="112"/>
      <c r="D45" s="112"/>
      <c r="E45" s="113">
        <f>(E40/E39)*100</f>
        <v>99.959500417085039</v>
      </c>
      <c r="I45" s="206">
        <v>942.9</v>
      </c>
      <c r="J45" s="206">
        <v>924.5</v>
      </c>
      <c r="K45" s="206">
        <f t="shared" si="3"/>
        <v>18.399999999999977</v>
      </c>
    </row>
    <row r="46" spans="1:21" x14ac:dyDescent="0.2">
      <c r="I46" s="449" t="s">
        <v>221</v>
      </c>
      <c r="J46" s="450"/>
      <c r="K46" s="208">
        <f>SUM(K39:K45)</f>
        <v>257.89999999999998</v>
      </c>
    </row>
    <row r="48" spans="1:21" ht="15.75" x14ac:dyDescent="0.25">
      <c r="A48" s="148" t="s">
        <v>111</v>
      </c>
      <c r="B48" s="149"/>
      <c r="C48" s="149"/>
      <c r="D48" s="149"/>
      <c r="E48" s="149"/>
      <c r="F48" s="149"/>
      <c r="G48" s="150"/>
      <c r="H48" s="174"/>
      <c r="I48" s="174"/>
    </row>
    <row r="49" spans="1:12" x14ac:dyDescent="0.2">
      <c r="A49" s="170" t="s">
        <v>113</v>
      </c>
      <c r="B49" s="81"/>
      <c r="C49" s="81"/>
      <c r="D49" s="81"/>
      <c r="E49" s="81"/>
      <c r="F49" s="81"/>
      <c r="G49" s="61"/>
      <c r="H49" s="174"/>
      <c r="I49" s="174"/>
      <c r="J49" s="175" t="s">
        <v>132</v>
      </c>
      <c r="K49" s="174">
        <v>68</v>
      </c>
      <c r="L49" s="174" t="s">
        <v>133</v>
      </c>
    </row>
    <row r="50" spans="1:12" x14ac:dyDescent="0.2">
      <c r="A50" s="170" t="s">
        <v>115</v>
      </c>
      <c r="B50" s="81"/>
      <c r="C50" s="81"/>
      <c r="D50" s="81"/>
      <c r="E50" s="81"/>
      <c r="F50" s="81"/>
      <c r="G50" s="61"/>
      <c r="J50" s="174"/>
      <c r="K50" s="174">
        <v>29.92</v>
      </c>
      <c r="L50" s="174" t="s">
        <v>135</v>
      </c>
    </row>
    <row r="51" spans="1:12" x14ac:dyDescent="0.2">
      <c r="A51" s="170" t="s">
        <v>117</v>
      </c>
      <c r="B51" s="81"/>
      <c r="C51" s="81"/>
      <c r="D51" s="81"/>
      <c r="E51" s="81"/>
      <c r="F51" s="81"/>
      <c r="G51" s="61"/>
    </row>
    <row r="52" spans="1:12" x14ac:dyDescent="0.2">
      <c r="A52" s="170" t="s">
        <v>119</v>
      </c>
      <c r="B52" s="81"/>
      <c r="C52" s="81"/>
      <c r="D52" s="81"/>
      <c r="E52" s="81"/>
      <c r="F52" s="81"/>
      <c r="G52" s="61"/>
    </row>
    <row r="53" spans="1:12" ht="15.75" x14ac:dyDescent="0.25">
      <c r="A53" s="170" t="s">
        <v>121</v>
      </c>
      <c r="B53" s="81"/>
      <c r="C53" s="81"/>
      <c r="D53" s="81"/>
      <c r="E53" s="81"/>
      <c r="F53" s="81"/>
      <c r="G53" s="61"/>
      <c r="I53" s="168" t="s">
        <v>217</v>
      </c>
    </row>
    <row r="54" spans="1:12" x14ac:dyDescent="0.2">
      <c r="A54" s="170" t="s">
        <v>123</v>
      </c>
      <c r="B54" s="81"/>
      <c r="C54" s="81"/>
      <c r="D54" s="81"/>
      <c r="E54" s="81"/>
      <c r="F54" s="81"/>
      <c r="G54" s="61"/>
    </row>
    <row r="55" spans="1:12" x14ac:dyDescent="0.2">
      <c r="A55" s="170" t="s">
        <v>125</v>
      </c>
      <c r="B55" s="81"/>
      <c r="C55" s="81"/>
      <c r="D55" s="81"/>
      <c r="E55" s="81"/>
      <c r="F55" s="81"/>
      <c r="G55" s="61"/>
    </row>
    <row r="56" spans="1:12" x14ac:dyDescent="0.2">
      <c r="A56" s="170" t="s">
        <v>127</v>
      </c>
      <c r="B56" s="81"/>
      <c r="C56" s="81"/>
      <c r="D56" s="81"/>
      <c r="E56" s="81"/>
      <c r="F56" s="81"/>
      <c r="G56" s="61"/>
    </row>
    <row r="57" spans="1:12" x14ac:dyDescent="0.2">
      <c r="A57" s="170" t="s">
        <v>129</v>
      </c>
      <c r="B57" s="81"/>
      <c r="C57" s="81"/>
      <c r="D57" s="81"/>
      <c r="E57" s="81"/>
      <c r="F57" s="81"/>
      <c r="G57" s="61"/>
    </row>
    <row r="58" spans="1:12" x14ac:dyDescent="0.2">
      <c r="A58" s="170" t="s">
        <v>130</v>
      </c>
      <c r="B58" s="81"/>
      <c r="C58" s="81"/>
      <c r="D58" s="81"/>
      <c r="E58" s="81"/>
      <c r="F58" s="81"/>
      <c r="G58" s="61"/>
    </row>
    <row r="59" spans="1:12" x14ac:dyDescent="0.2">
      <c r="A59" s="170" t="s">
        <v>131</v>
      </c>
      <c r="B59" s="81"/>
      <c r="C59" s="81"/>
      <c r="D59" s="81"/>
      <c r="E59" s="81"/>
      <c r="F59" s="81"/>
      <c r="G59" s="61"/>
    </row>
    <row r="60" spans="1:12" x14ac:dyDescent="0.2">
      <c r="A60" s="170" t="s">
        <v>134</v>
      </c>
      <c r="B60" s="81"/>
      <c r="C60" s="81"/>
      <c r="D60" s="81"/>
      <c r="E60" s="81"/>
      <c r="F60" s="81"/>
      <c r="G60" s="61"/>
    </row>
    <row r="61" spans="1:12" ht="16.5" x14ac:dyDescent="0.2">
      <c r="A61" s="171" t="s">
        <v>219</v>
      </c>
      <c r="B61" s="81"/>
      <c r="C61" s="81"/>
      <c r="D61" s="81"/>
      <c r="E61" s="81"/>
      <c r="F61" s="81"/>
      <c r="G61" s="61"/>
    </row>
    <row r="62" spans="1:12" x14ac:dyDescent="0.2">
      <c r="A62" s="172" t="s">
        <v>136</v>
      </c>
      <c r="B62" s="73"/>
      <c r="C62" s="73"/>
      <c r="D62" s="73"/>
      <c r="E62" s="73"/>
      <c r="F62" s="73"/>
      <c r="G62" s="114"/>
    </row>
  </sheetData>
  <mergeCells count="2">
    <mergeCell ref="I37:K37"/>
    <mergeCell ref="I46:J46"/>
  </mergeCells>
  <phoneticPr fontId="6" type="noConversion"/>
  <pageMargins left="0.95" right="0.7" top="0.75" bottom="0.75" header="0.3" footer="0.3"/>
  <pageSetup scale="65"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3:F27"/>
  <sheetViews>
    <sheetView showGridLines="0" zoomScale="80" zoomScaleNormal="80" workbookViewId="0">
      <selection activeCell="A5" sqref="A5:G27"/>
    </sheetView>
  </sheetViews>
  <sheetFormatPr defaultColWidth="12.77734375" defaultRowHeight="20.100000000000001" customHeight="1" x14ac:dyDescent="0.2"/>
  <cols>
    <col min="1" max="1" width="2.21875" style="121" customWidth="1"/>
    <col min="2" max="2" width="12.77734375" style="121" customWidth="1"/>
    <col min="3" max="3" width="15.5546875" style="121" customWidth="1"/>
    <col min="4" max="6" width="10.33203125" style="121" customWidth="1"/>
    <col min="7" max="7" width="3.109375" style="121" customWidth="1"/>
    <col min="8" max="16384" width="12.77734375" style="121"/>
  </cols>
  <sheetData>
    <row r="3" spans="2:6" ht="20.100000000000001" customHeight="1" x14ac:dyDescent="0.25">
      <c r="B3" s="118"/>
      <c r="C3" s="119"/>
      <c r="D3" s="120"/>
      <c r="E3" s="120"/>
    </row>
    <row r="5" spans="2:6" ht="20.100000000000001" customHeight="1" thickBot="1" x14ac:dyDescent="0.25"/>
    <row r="6" spans="2:6" ht="20.100000000000001" customHeight="1" thickTop="1" x14ac:dyDescent="0.2">
      <c r="B6" s="122" t="s">
        <v>152</v>
      </c>
      <c r="C6" s="123"/>
      <c r="D6" s="124">
        <v>1</v>
      </c>
      <c r="E6" s="125">
        <v>2</v>
      </c>
      <c r="F6" s="237">
        <v>3</v>
      </c>
    </row>
    <row r="7" spans="2:6" ht="20.100000000000001" customHeight="1" x14ac:dyDescent="0.2">
      <c r="B7" s="126" t="s">
        <v>153</v>
      </c>
      <c r="C7" s="127"/>
      <c r="D7" s="128">
        <f>'TSP HG-ISO Run1'!C7</f>
        <v>41855</v>
      </c>
      <c r="E7" s="129">
        <f>'TSP HG-ISO Run2'!$C7</f>
        <v>41855</v>
      </c>
      <c r="F7" s="238">
        <f>'TSP HG-ISO Run3'!$C7</f>
        <v>41855</v>
      </c>
    </row>
    <row r="8" spans="2:6" ht="20.100000000000001" customHeight="1" x14ac:dyDescent="0.2">
      <c r="B8" s="126" t="s">
        <v>154</v>
      </c>
      <c r="C8" s="127"/>
      <c r="D8" s="130" t="str">
        <f>'TSP HG-ISO Run1'!C10</f>
        <v>1035-1240</v>
      </c>
      <c r="E8" s="131" t="str">
        <f>'TSP HG-ISO Run2'!$C10</f>
        <v>1330-1535</v>
      </c>
      <c r="F8" s="239" t="str">
        <f>'TSP HG-ISO Run3'!$C10</f>
        <v>1610-1815</v>
      </c>
    </row>
    <row r="9" spans="2:6" ht="20.100000000000001" customHeight="1" x14ac:dyDescent="0.2">
      <c r="B9" s="451"/>
      <c r="C9" s="452"/>
      <c r="D9" s="452"/>
      <c r="E9" s="452"/>
      <c r="F9" s="453"/>
    </row>
    <row r="10" spans="2:6" ht="20.100000000000001" customHeight="1" x14ac:dyDescent="0.2">
      <c r="B10" s="132" t="s">
        <v>155</v>
      </c>
      <c r="C10" s="133"/>
      <c r="D10" s="117">
        <f>'TSP HG-ISO Run1'!E24</f>
        <v>85</v>
      </c>
      <c r="E10" s="134">
        <f>D10</f>
        <v>85</v>
      </c>
      <c r="F10" s="240">
        <f>D10</f>
        <v>85</v>
      </c>
    </row>
    <row r="11" spans="2:6" ht="20.100000000000001" customHeight="1" x14ac:dyDescent="0.2">
      <c r="B11" s="135" t="s">
        <v>156</v>
      </c>
      <c r="C11" s="133"/>
      <c r="D11" s="136">
        <f>'TSP HG-ISO Run1'!E25</f>
        <v>39.406260823086342</v>
      </c>
      <c r="E11" s="137">
        <f>D11</f>
        <v>39.406260823086342</v>
      </c>
      <c r="F11" s="241">
        <f>D11</f>
        <v>39.406260823086342</v>
      </c>
    </row>
    <row r="12" spans="2:6" ht="20.100000000000001" customHeight="1" x14ac:dyDescent="0.2">
      <c r="B12" s="451"/>
      <c r="C12" s="452"/>
      <c r="D12" s="452"/>
      <c r="E12" s="452"/>
      <c r="F12" s="453"/>
    </row>
    <row r="13" spans="2:6" ht="20.100000000000001" customHeight="1" x14ac:dyDescent="0.2">
      <c r="B13" s="135" t="s">
        <v>157</v>
      </c>
      <c r="C13" s="133"/>
      <c r="D13" s="136">
        <f>'TSP HG-ISO Run1'!E18</f>
        <v>30.05</v>
      </c>
      <c r="E13" s="137">
        <f>'TSP HG-ISO Run2'!$E18</f>
        <v>30.02</v>
      </c>
      <c r="F13" s="242">
        <f>'TSP HG-ISO Run3'!$E18</f>
        <v>30.02</v>
      </c>
    </row>
    <row r="14" spans="2:6" ht="20.100000000000001" customHeight="1" x14ac:dyDescent="0.2">
      <c r="B14" s="135" t="s">
        <v>212</v>
      </c>
      <c r="C14" s="133"/>
      <c r="D14" s="138">
        <f>'TSP HG-ISO Run1'!L33</f>
        <v>106.125</v>
      </c>
      <c r="E14" s="139">
        <f>'TSP HG-ISO Run2'!$L33</f>
        <v>107.83333333333333</v>
      </c>
      <c r="F14" s="243">
        <f>'TSP HG-ISO Run3'!$L33</f>
        <v>107.45833333333333</v>
      </c>
    </row>
    <row r="15" spans="2:6" ht="20.100000000000001" customHeight="1" x14ac:dyDescent="0.35">
      <c r="B15" s="135" t="s">
        <v>213</v>
      </c>
      <c r="C15" s="133"/>
      <c r="D15" s="136">
        <f>'TSP HG-ISO Run1'!E17</f>
        <v>-8.5000000000000006E-2</v>
      </c>
      <c r="E15" s="137">
        <f>'TSP HG-ISO Run2'!$E17</f>
        <v>-8.5000000000000006E-2</v>
      </c>
      <c r="F15" s="242">
        <f>'TSP HG-ISO Run3'!$E17</f>
        <v>-0.08</v>
      </c>
    </row>
    <row r="16" spans="2:6" ht="20.100000000000001" customHeight="1" x14ac:dyDescent="0.2">
      <c r="B16" s="135" t="s">
        <v>158</v>
      </c>
      <c r="C16" s="133"/>
      <c r="D16" s="140">
        <f>'TSP HG-ISO Run1'!E33</f>
        <v>9.3697121686107074</v>
      </c>
      <c r="E16" s="141">
        <f>'TSP HG-ISO Run2'!$E33</f>
        <v>9.8413001421258048</v>
      </c>
      <c r="F16" s="244">
        <f>'TSP HG-ISO Run3'!$E33</f>
        <v>9.585783880855983</v>
      </c>
    </row>
    <row r="17" spans="2:6" ht="20.100000000000001" customHeight="1" x14ac:dyDescent="0.2">
      <c r="B17" s="451"/>
      <c r="C17" s="452"/>
      <c r="D17" s="452"/>
      <c r="E17" s="452"/>
      <c r="F17" s="453"/>
    </row>
    <row r="18" spans="2:6" ht="20.100000000000001" customHeight="1" x14ac:dyDescent="0.35">
      <c r="B18" s="126" t="s">
        <v>214</v>
      </c>
      <c r="C18" s="127"/>
      <c r="D18" s="140">
        <f>'TSP HG-ISO Run1'!E20</f>
        <v>13.216702741702736</v>
      </c>
      <c r="E18" s="141">
        <f>'TSP HG-ISO Run2'!$E20</f>
        <v>12.26253591954023</v>
      </c>
      <c r="F18" s="244">
        <f>'TSP HG-ISO Run3'!$E20</f>
        <v>12.688997113997111</v>
      </c>
    </row>
    <row r="19" spans="2:6" ht="20.100000000000001" customHeight="1" x14ac:dyDescent="0.35">
      <c r="B19" s="126" t="s">
        <v>215</v>
      </c>
      <c r="C19" s="127"/>
      <c r="D19" s="140">
        <f>'TSP HG-ISO Run1'!E19</f>
        <v>7.4914662921348372</v>
      </c>
      <c r="E19" s="141">
        <f>'TSP HG-ISO Run2'!$E19</f>
        <v>7.503079096045207</v>
      </c>
      <c r="F19" s="244">
        <f>'TSP HG-ISO Run3'!$E19</f>
        <v>7.3964114285714295</v>
      </c>
    </row>
    <row r="20" spans="2:6" ht="20.100000000000001" customHeight="1" x14ac:dyDescent="0.35">
      <c r="B20" s="135" t="s">
        <v>216</v>
      </c>
      <c r="C20" s="133"/>
      <c r="D20" s="140">
        <f>100-D19-D18</f>
        <v>79.291830966162436</v>
      </c>
      <c r="E20" s="141">
        <f>100-E19-E18</f>
        <v>80.234384984414561</v>
      </c>
      <c r="F20" s="244">
        <f>100-F19-F18</f>
        <v>79.91459145743147</v>
      </c>
    </row>
    <row r="21" spans="2:6" ht="20.100000000000001" customHeight="1" x14ac:dyDescent="0.2">
      <c r="B21" s="451"/>
      <c r="C21" s="452"/>
      <c r="D21" s="452"/>
      <c r="E21" s="452"/>
      <c r="F21" s="453"/>
    </row>
    <row r="22" spans="2:6" ht="20.100000000000001" customHeight="1" x14ac:dyDescent="0.2">
      <c r="B22" s="135" t="s">
        <v>159</v>
      </c>
      <c r="C22" s="133"/>
      <c r="D22" s="140">
        <f>'TSP HG-ISO Run1'!E38</f>
        <v>13.405223334030081</v>
      </c>
      <c r="E22" s="141">
        <f>'TSP HG-ISO Run2'!$E38</f>
        <v>13.731071182355134</v>
      </c>
      <c r="F22" s="244">
        <f>'TSP HG-ISO Run3'!$E38</f>
        <v>13.75158444219524</v>
      </c>
    </row>
    <row r="23" spans="2:6" ht="20.100000000000001" customHeight="1" x14ac:dyDescent="0.2">
      <c r="B23" s="135" t="s">
        <v>160</v>
      </c>
      <c r="C23" s="133"/>
      <c r="D23" s="142">
        <f>ROUND('TSP HG-ISO Run1'!E42, -1)</f>
        <v>31690</v>
      </c>
      <c r="E23" s="143">
        <f>ROUND('TSP HG-ISO Run2'!$E42, -1)</f>
        <v>32470</v>
      </c>
      <c r="F23" s="245">
        <f>ROUND('TSP HG-ISO Run3'!$E42, -1)</f>
        <v>32510</v>
      </c>
    </row>
    <row r="24" spans="2:6" ht="20.100000000000001" customHeight="1" x14ac:dyDescent="0.2">
      <c r="B24" s="135" t="s">
        <v>161</v>
      </c>
      <c r="C24" s="133"/>
      <c r="D24" s="142">
        <f>ROUND('TSP HG-ISO Run1'!E43, -1)</f>
        <v>29680</v>
      </c>
      <c r="E24" s="143">
        <f>ROUND('TSP HG-ISO Run2'!$E43, -1)</f>
        <v>30280</v>
      </c>
      <c r="F24" s="245">
        <f>ROUND('TSP HG-ISO Run3'!$E43, -1)</f>
        <v>30350</v>
      </c>
    </row>
    <row r="25" spans="2:6" ht="20.100000000000001" customHeight="1" thickBot="1" x14ac:dyDescent="0.25">
      <c r="B25" s="144" t="s">
        <v>162</v>
      </c>
      <c r="C25" s="145"/>
      <c r="D25" s="146">
        <f>ROUND('TSP HG-ISO Run1'!E44, -1)</f>
        <v>26900</v>
      </c>
      <c r="E25" s="147">
        <f>ROUND('TSP HG-ISO Run2'!$E44, -1)</f>
        <v>27300</v>
      </c>
      <c r="F25" s="246">
        <f>ROUND('TSP HG-ISO Run3'!$E44, -1)</f>
        <v>27440</v>
      </c>
    </row>
    <row r="26" spans="2:6" ht="20.100000000000001" customHeight="1" thickTop="1" x14ac:dyDescent="0.2"/>
    <row r="27" spans="2:6" ht="20.100000000000001" customHeight="1" x14ac:dyDescent="0.2">
      <c r="B27" s="116" t="s">
        <v>224</v>
      </c>
    </row>
  </sheetData>
  <mergeCells count="4">
    <mergeCell ref="B9:F9"/>
    <mergeCell ref="B12:F12"/>
    <mergeCell ref="B17:F17"/>
    <mergeCell ref="B21:F21"/>
  </mergeCells>
  <phoneticPr fontId="6" type="noConversion"/>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B13"/>
  <sheetViews>
    <sheetView workbookViewId="0">
      <selection activeCell="A10" sqref="A10"/>
    </sheetView>
  </sheetViews>
  <sheetFormatPr defaultRowHeight="15.75" x14ac:dyDescent="0.25"/>
  <cols>
    <col min="1" max="1" width="31.33203125" customWidth="1"/>
    <col min="2" max="2" width="12.21875" bestFit="1" customWidth="1"/>
  </cols>
  <sheetData>
    <row r="1" spans="1:2" ht="16.5" thickBot="1" x14ac:dyDescent="0.3"/>
    <row r="2" spans="1:2" ht="16.5" thickBot="1" x14ac:dyDescent="0.3">
      <c r="A2" s="286" t="s">
        <v>275</v>
      </c>
    </row>
    <row r="3" spans="1:2" x14ac:dyDescent="0.25">
      <c r="A3" s="287" t="s">
        <v>276</v>
      </c>
    </row>
    <row r="5" spans="1:2" x14ac:dyDescent="0.25">
      <c r="A5" t="s">
        <v>268</v>
      </c>
      <c r="B5">
        <v>64</v>
      </c>
    </row>
    <row r="6" spans="1:2" x14ac:dyDescent="0.25">
      <c r="A6" t="s">
        <v>269</v>
      </c>
      <c r="B6">
        <v>13793</v>
      </c>
    </row>
    <row r="7" spans="1:2" x14ac:dyDescent="0.25">
      <c r="A7" t="s">
        <v>270</v>
      </c>
      <c r="B7">
        <f>B5/B6/1000</f>
        <v>4.6400348002610018E-6</v>
      </c>
    </row>
    <row r="10" spans="1:2" x14ac:dyDescent="0.25">
      <c r="A10" t="s">
        <v>271</v>
      </c>
    </row>
    <row r="11" spans="1:2" x14ac:dyDescent="0.25">
      <c r="A11" t="s">
        <v>272</v>
      </c>
    </row>
    <row r="12" spans="1:2" x14ac:dyDescent="0.25">
      <c r="A12" t="s">
        <v>273</v>
      </c>
    </row>
    <row r="13" spans="1:2" x14ac:dyDescent="0.25">
      <c r="A13" t="s">
        <v>274</v>
      </c>
    </row>
  </sheetData>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91"/>
  <sheetViews>
    <sheetView showWhiteSpace="0" topLeftCell="A19" zoomScale="75" zoomScaleNormal="75" zoomScaleSheetLayoutView="51" zoomScalePageLayoutView="38" workbookViewId="0">
      <selection activeCell="C25" sqref="C25"/>
    </sheetView>
  </sheetViews>
  <sheetFormatPr defaultColWidth="16.109375" defaultRowHeight="20.100000000000001" customHeight="1" x14ac:dyDescent="0.2"/>
  <cols>
    <col min="1" max="1" width="1.66406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1.5546875" style="298" customWidth="1"/>
    <col min="17" max="17" width="8.77734375" style="299" customWidth="1"/>
    <col min="18" max="18" width="8" style="298" customWidth="1"/>
    <col min="19" max="19" width="8.21875" style="298" customWidth="1"/>
    <col min="20" max="16384" width="16.109375" style="298"/>
  </cols>
  <sheetData>
    <row r="1" spans="1:22" ht="9.75" customHeight="1" thickBot="1" x14ac:dyDescent="0.25">
      <c r="Q1" s="325"/>
    </row>
    <row r="2" spans="1:22" s="366" customFormat="1" ht="20.100000000000001" customHeight="1" thickBot="1" x14ac:dyDescent="0.3">
      <c r="A2" s="370"/>
      <c r="B2" s="388" t="s">
        <v>358</v>
      </c>
      <c r="C2" s="494" t="str">
        <f>'TSP HG-ISO Run1'!C3</f>
        <v>NoSouth Sway</v>
      </c>
      <c r="D2" s="494"/>
      <c r="E2" s="494"/>
      <c r="F2" s="494"/>
      <c r="G2" s="494"/>
      <c r="H2" s="494"/>
      <c r="I2" s="494"/>
      <c r="J2" s="494"/>
      <c r="K2" s="494"/>
      <c r="L2" s="494"/>
      <c r="M2" s="494"/>
      <c r="N2" s="495"/>
      <c r="O2" s="303"/>
      <c r="P2" s="475" t="s">
        <v>357</v>
      </c>
      <c r="Q2" s="475"/>
      <c r="T2" s="387"/>
      <c r="U2" s="342"/>
      <c r="V2" s="341"/>
    </row>
    <row r="3" spans="1:22" s="366" customFormat="1" ht="14.25" customHeight="1" thickBot="1" x14ac:dyDescent="0.3">
      <c r="A3" s="370"/>
      <c r="B3" s="386"/>
      <c r="C3" s="367"/>
      <c r="D3" s="367"/>
      <c r="E3" s="367"/>
      <c r="F3" s="367"/>
      <c r="G3" s="367"/>
      <c r="H3" s="367"/>
      <c r="I3" s="367"/>
      <c r="J3" s="367"/>
      <c r="K3" s="385"/>
      <c r="L3" s="385"/>
      <c r="M3" s="385"/>
      <c r="N3" s="303"/>
      <c r="O3" s="303"/>
      <c r="P3" s="476" t="s">
        <v>356</v>
      </c>
      <c r="Q3" s="477"/>
      <c r="R3" s="477"/>
      <c r="S3" s="477"/>
      <c r="T3" s="342"/>
      <c r="U3" s="342"/>
      <c r="V3" s="341"/>
    </row>
    <row r="4" spans="1:22" s="366" customFormat="1" ht="20.100000000000001" customHeight="1" thickBot="1" x14ac:dyDescent="0.3">
      <c r="A4" s="370"/>
      <c r="B4" s="501" t="s">
        <v>355</v>
      </c>
      <c r="C4" s="502"/>
      <c r="D4" s="504" t="str">
        <f>'TSP HG-ISO Run1'!C5</f>
        <v>Scrubber (Boiler 7)</v>
      </c>
      <c r="E4" s="504"/>
      <c r="F4" s="504"/>
      <c r="G4" s="384"/>
      <c r="H4" s="383" t="s">
        <v>354</v>
      </c>
      <c r="I4" s="382" t="str">
        <f>'TSP HG-ISO Run1'!E10</f>
        <v>PM/Metals</v>
      </c>
      <c r="J4" s="365" t="s">
        <v>353</v>
      </c>
      <c r="K4" s="381"/>
      <c r="L4" s="381"/>
      <c r="M4" s="380" t="s">
        <v>352</v>
      </c>
      <c r="N4" s="353" t="s">
        <v>351</v>
      </c>
      <c r="O4" s="379" t="s">
        <v>350</v>
      </c>
      <c r="P4" s="477"/>
      <c r="Q4" s="477"/>
      <c r="R4" s="477"/>
      <c r="S4" s="477"/>
      <c r="T4" s="342"/>
      <c r="U4" s="342"/>
      <c r="V4" s="341"/>
    </row>
    <row r="5" spans="1:22" s="366" customFormat="1" ht="20.100000000000001" customHeight="1" thickBot="1" x14ac:dyDescent="0.3">
      <c r="A5" s="370"/>
      <c r="B5" s="457" t="s">
        <v>60</v>
      </c>
      <c r="C5" s="458"/>
      <c r="D5" s="485">
        <f>'TSP HG-ISO Run1'!C9</f>
        <v>1</v>
      </c>
      <c r="E5" s="485"/>
      <c r="F5" s="378" t="s">
        <v>349</v>
      </c>
      <c r="G5" s="486" t="s">
        <v>418</v>
      </c>
      <c r="H5" s="486"/>
      <c r="I5" s="377"/>
      <c r="J5" s="469" t="s">
        <v>348</v>
      </c>
      <c r="K5" s="459"/>
      <c r="L5" s="459"/>
      <c r="M5" s="376">
        <v>15</v>
      </c>
      <c r="N5" s="367"/>
      <c r="O5" s="375">
        <v>7</v>
      </c>
      <c r="P5" s="303"/>
      <c r="Q5" s="303"/>
      <c r="R5" s="303"/>
      <c r="S5" s="303"/>
      <c r="T5" s="342"/>
      <c r="U5" s="342"/>
      <c r="V5" s="341"/>
    </row>
    <row r="6" spans="1:22" s="366" customFormat="1" ht="20.100000000000001" customHeight="1" thickBot="1" x14ac:dyDescent="0.3">
      <c r="A6" s="370"/>
      <c r="B6" s="487" t="s">
        <v>347</v>
      </c>
      <c r="C6" s="488"/>
      <c r="D6" s="503">
        <f>'TSP HG-ISO Run1'!C7</f>
        <v>41855</v>
      </c>
      <c r="E6" s="503"/>
      <c r="F6" s="374" t="s">
        <v>346</v>
      </c>
      <c r="G6" s="493" t="str">
        <f>'TSP HG-ISO Run1'!C6</f>
        <v>BB019012.0000</v>
      </c>
      <c r="H6" s="493"/>
      <c r="I6" s="373"/>
      <c r="J6" s="457" t="s">
        <v>345</v>
      </c>
      <c r="K6" s="458"/>
      <c r="L6" s="458"/>
      <c r="M6" s="458"/>
      <c r="N6" s="372"/>
      <c r="O6" s="371"/>
      <c r="P6" s="303"/>
      <c r="Q6" s="303"/>
      <c r="R6" s="303"/>
      <c r="S6" s="303"/>
      <c r="T6" s="342"/>
      <c r="U6" s="342"/>
      <c r="V6" s="341"/>
    </row>
    <row r="7" spans="1:22" s="366" customFormat="1" ht="20.100000000000001" customHeight="1" thickBot="1" x14ac:dyDescent="0.3">
      <c r="A7" s="370"/>
      <c r="B7" s="499" t="s">
        <v>344</v>
      </c>
      <c r="C7" s="455"/>
      <c r="D7" s="455"/>
      <c r="E7" s="500"/>
      <c r="F7" s="303"/>
      <c r="G7" s="303"/>
      <c r="H7" s="303"/>
      <c r="I7" s="369"/>
      <c r="J7" s="469" t="s">
        <v>343</v>
      </c>
      <c r="K7" s="459"/>
      <c r="L7" s="459"/>
      <c r="M7" s="368">
        <v>1E-3</v>
      </c>
      <c r="N7" s="367"/>
      <c r="O7" s="336">
        <v>1E-3</v>
      </c>
      <c r="P7" s="303"/>
      <c r="Q7" s="303"/>
      <c r="R7" s="303"/>
      <c r="S7" s="303"/>
      <c r="T7" s="342"/>
      <c r="U7" s="342"/>
      <c r="V7" s="341"/>
    </row>
    <row r="8" spans="1:22" ht="20.100000000000001" customHeight="1" thickBot="1" x14ac:dyDescent="0.3">
      <c r="A8" s="318"/>
      <c r="B8" s="454" t="s">
        <v>342</v>
      </c>
      <c r="C8" s="496"/>
      <c r="D8" s="497" t="s">
        <v>451</v>
      </c>
      <c r="E8" s="498"/>
      <c r="F8" s="365" t="s">
        <v>341</v>
      </c>
      <c r="G8" s="350"/>
      <c r="H8" s="350"/>
      <c r="I8" s="349"/>
      <c r="J8" s="469" t="s">
        <v>340</v>
      </c>
      <c r="K8" s="459"/>
      <c r="L8" s="459"/>
      <c r="M8" s="364" t="s">
        <v>419</v>
      </c>
      <c r="N8" s="363"/>
      <c r="O8" s="362" t="s">
        <v>419</v>
      </c>
      <c r="P8" s="326"/>
      <c r="Q8" s="326"/>
      <c r="R8" s="326"/>
      <c r="S8" s="326"/>
      <c r="T8" s="342"/>
      <c r="U8" s="342"/>
      <c r="V8" s="341"/>
    </row>
    <row r="9" spans="1:22" ht="20.100000000000001" customHeight="1" thickBot="1" x14ac:dyDescent="0.3">
      <c r="A9" s="318"/>
      <c r="B9" s="454" t="s">
        <v>339</v>
      </c>
      <c r="C9" s="455"/>
      <c r="D9" s="470" t="s">
        <v>452</v>
      </c>
      <c r="E9" s="471"/>
      <c r="F9" s="454" t="s">
        <v>338</v>
      </c>
      <c r="G9" s="455"/>
      <c r="H9" s="455"/>
      <c r="I9" s="423">
        <f>'TSP HG-ISO Run1'!E23</f>
        <v>0.99</v>
      </c>
      <c r="J9" s="469" t="s">
        <v>337</v>
      </c>
      <c r="K9" s="459"/>
      <c r="L9" s="459"/>
      <c r="M9" s="364" t="s">
        <v>419</v>
      </c>
      <c r="N9" s="363"/>
      <c r="O9" s="362" t="s">
        <v>419</v>
      </c>
      <c r="P9" s="326"/>
      <c r="Q9" s="326"/>
      <c r="R9" s="326"/>
      <c r="S9" s="326"/>
      <c r="T9" s="342"/>
      <c r="U9" s="342"/>
      <c r="V9" s="341"/>
    </row>
    <row r="10" spans="1:22" ht="20.100000000000001" customHeight="1" thickBot="1" x14ac:dyDescent="0.4">
      <c r="A10" s="318"/>
      <c r="B10" s="454" t="s">
        <v>336</v>
      </c>
      <c r="C10" s="455"/>
      <c r="D10" s="470">
        <v>1</v>
      </c>
      <c r="E10" s="471"/>
      <c r="F10" s="457" t="s">
        <v>335</v>
      </c>
      <c r="G10" s="458"/>
      <c r="H10" s="458"/>
      <c r="I10" s="361">
        <v>1.63</v>
      </c>
      <c r="J10" s="463" t="s">
        <v>334</v>
      </c>
      <c r="K10" s="464"/>
      <c r="L10" s="464"/>
      <c r="M10" s="360" t="s">
        <v>419</v>
      </c>
      <c r="N10" s="359"/>
      <c r="O10" s="358" t="s">
        <v>419</v>
      </c>
      <c r="P10" s="326"/>
      <c r="Q10" s="326"/>
      <c r="R10" s="326"/>
      <c r="S10" s="326"/>
      <c r="T10" s="342"/>
      <c r="U10" s="342"/>
      <c r="V10" s="341"/>
    </row>
    <row r="11" spans="1:22" ht="20.100000000000001" customHeight="1" thickBot="1" x14ac:dyDescent="0.3">
      <c r="A11" s="318"/>
      <c r="B11" s="457" t="s">
        <v>333</v>
      </c>
      <c r="C11" s="458"/>
      <c r="D11" s="465" t="s">
        <v>450</v>
      </c>
      <c r="E11" s="466"/>
      <c r="F11" s="457" t="s">
        <v>332</v>
      </c>
      <c r="G11" s="458"/>
      <c r="H11" s="458"/>
      <c r="I11" s="357">
        <f>'TSP HG-ISO Run1'!E22</f>
        <v>0.83</v>
      </c>
      <c r="J11" s="326"/>
      <c r="K11" s="326"/>
      <c r="L11" s="326"/>
      <c r="M11" s="326"/>
      <c r="N11" s="326"/>
      <c r="O11" s="326"/>
      <c r="P11" s="326"/>
      <c r="Q11" s="326"/>
      <c r="R11" s="326"/>
      <c r="S11" s="326"/>
      <c r="T11" s="342"/>
      <c r="U11" s="342"/>
      <c r="V11" s="341"/>
    </row>
    <row r="12" spans="1:22" ht="20.100000000000001" customHeight="1" thickBot="1" x14ac:dyDescent="0.3">
      <c r="A12" s="318"/>
      <c r="B12" s="454" t="s">
        <v>331</v>
      </c>
      <c r="C12" s="455"/>
      <c r="D12" s="470"/>
      <c r="E12" s="471"/>
      <c r="F12" s="463" t="s">
        <v>330</v>
      </c>
      <c r="G12" s="464"/>
      <c r="H12" s="464"/>
      <c r="I12" s="356">
        <f>'TSP HG-ISO Run1'!E21</f>
        <v>0.502</v>
      </c>
      <c r="J12" s="326"/>
      <c r="K12" s="326"/>
      <c r="L12" s="326"/>
      <c r="M12" s="326"/>
      <c r="N12" s="326"/>
      <c r="O12" s="326"/>
      <c r="P12" s="326"/>
      <c r="Q12" s="326"/>
      <c r="R12" s="326"/>
      <c r="S12" s="326"/>
      <c r="T12" s="342"/>
      <c r="U12" s="342"/>
      <c r="V12" s="341"/>
    </row>
    <row r="13" spans="1:22" ht="20.100000000000001" customHeight="1" thickBot="1" x14ac:dyDescent="0.3">
      <c r="A13" s="318"/>
      <c r="B13" s="454" t="s">
        <v>329</v>
      </c>
      <c r="C13" s="455"/>
      <c r="D13" s="470"/>
      <c r="E13" s="471"/>
      <c r="F13" s="326"/>
      <c r="G13" s="326"/>
      <c r="H13" s="326"/>
      <c r="I13" s="333"/>
      <c r="J13" s="355" t="s">
        <v>328</v>
      </c>
      <c r="K13" s="354"/>
      <c r="L13" s="353" t="s">
        <v>327</v>
      </c>
      <c r="M13" s="353" t="s">
        <v>326</v>
      </c>
      <c r="N13" s="490" t="s">
        <v>325</v>
      </c>
      <c r="O13" s="490"/>
      <c r="P13" s="490"/>
      <c r="Q13" s="352" t="s">
        <v>420</v>
      </c>
      <c r="R13" s="326"/>
      <c r="S13" s="326"/>
      <c r="T13" s="342"/>
      <c r="U13" s="342"/>
      <c r="V13" s="341"/>
    </row>
    <row r="14" spans="1:22" ht="20.100000000000001" customHeight="1" thickBot="1" x14ac:dyDescent="0.3">
      <c r="A14" s="318"/>
      <c r="B14" s="454" t="s">
        <v>324</v>
      </c>
      <c r="C14" s="455"/>
      <c r="D14" s="470">
        <v>128</v>
      </c>
      <c r="E14" s="471"/>
      <c r="F14" s="351" t="s">
        <v>323</v>
      </c>
      <c r="G14" s="350"/>
      <c r="H14" s="349"/>
      <c r="I14" s="333"/>
      <c r="J14" s="457" t="s">
        <v>322</v>
      </c>
      <c r="K14" s="458"/>
      <c r="L14" s="348">
        <f>'TSP HG-ISO Run1'!J39</f>
        <v>541.29999999999995</v>
      </c>
      <c r="M14" s="347">
        <f>'TSP HG-ISO Run1'!I39</f>
        <v>581.20000000000005</v>
      </c>
      <c r="N14" s="483" t="s">
        <v>321</v>
      </c>
      <c r="O14" s="483"/>
      <c r="P14" s="483"/>
      <c r="Q14" s="346"/>
      <c r="R14" s="326"/>
      <c r="S14" s="303"/>
      <c r="T14" s="342"/>
      <c r="U14" s="342"/>
      <c r="V14" s="341"/>
    </row>
    <row r="15" spans="1:22" ht="20.100000000000001" customHeight="1" thickBot="1" x14ac:dyDescent="0.3">
      <c r="A15" s="318"/>
      <c r="B15" s="454" t="s">
        <v>320</v>
      </c>
      <c r="C15" s="455"/>
      <c r="D15" s="460" t="s">
        <v>453</v>
      </c>
      <c r="E15" s="461"/>
      <c r="F15" s="456" t="s">
        <v>319</v>
      </c>
      <c r="G15" s="456"/>
      <c r="H15" s="423">
        <f>'TSP HG-ISO Run1'!E18</f>
        <v>30.05</v>
      </c>
      <c r="I15" s="333"/>
      <c r="J15" s="454" t="s">
        <v>318</v>
      </c>
      <c r="K15" s="455"/>
      <c r="L15" s="335">
        <f>'TSP HG-ISO Run1'!J40</f>
        <v>767.8</v>
      </c>
      <c r="M15" s="334">
        <f>'TSP HG-ISO Run1'!I40</f>
        <v>882.4</v>
      </c>
      <c r="N15" s="326"/>
      <c r="O15" s="326"/>
      <c r="P15" s="326"/>
      <c r="Q15" s="333"/>
      <c r="R15" s="303"/>
      <c r="S15" s="303"/>
      <c r="T15" s="342"/>
      <c r="U15" s="342"/>
      <c r="V15" s="341"/>
    </row>
    <row r="16" spans="1:22" ht="20.100000000000001" customHeight="1" thickBot="1" x14ac:dyDescent="0.3">
      <c r="A16" s="318"/>
      <c r="B16" s="318"/>
      <c r="C16" s="326"/>
      <c r="D16" s="326"/>
      <c r="E16" s="333"/>
      <c r="F16" s="456" t="s">
        <v>317</v>
      </c>
      <c r="G16" s="456"/>
      <c r="H16" s="345"/>
      <c r="I16" s="333"/>
      <c r="J16" s="457" t="s">
        <v>316</v>
      </c>
      <c r="K16" s="458"/>
      <c r="L16" s="335">
        <f>'TSP HG-ISO Run1'!J41</f>
        <v>797.9</v>
      </c>
      <c r="M16" s="334">
        <f>'TSP HG-ISO Run1'!I41</f>
        <v>843.7</v>
      </c>
      <c r="N16" s="326"/>
      <c r="O16" s="326"/>
      <c r="P16" s="326"/>
      <c r="Q16" s="333"/>
      <c r="R16" s="326"/>
      <c r="S16" s="326"/>
      <c r="T16" s="342"/>
      <c r="U16" s="342"/>
      <c r="V16" s="341"/>
    </row>
    <row r="17" spans="1:22" ht="20.100000000000001" customHeight="1" thickBot="1" x14ac:dyDescent="0.3">
      <c r="A17" s="318"/>
      <c r="B17" s="344" t="s">
        <v>315</v>
      </c>
      <c r="C17" s="339"/>
      <c r="D17" s="326"/>
      <c r="E17" s="333"/>
      <c r="F17" s="459" t="s">
        <v>314</v>
      </c>
      <c r="G17" s="459"/>
      <c r="H17" s="343">
        <f>'TSP HG-ISO Run1'!E17</f>
        <v>-8.5000000000000006E-2</v>
      </c>
      <c r="I17" s="333"/>
      <c r="J17" s="454" t="s">
        <v>313</v>
      </c>
      <c r="K17" s="455"/>
      <c r="L17" s="335">
        <f>'TSP HG-ISO Run1'!J42</f>
        <v>650.79999999999995</v>
      </c>
      <c r="M17" s="334">
        <f>'TSP HG-ISO Run1'!I42</f>
        <v>660.4</v>
      </c>
      <c r="N17" s="326"/>
      <c r="O17" s="326"/>
      <c r="P17" s="326"/>
      <c r="Q17" s="333"/>
      <c r="R17" s="326"/>
      <c r="S17" s="326"/>
      <c r="T17" s="342"/>
      <c r="U17" s="342"/>
      <c r="V17" s="341"/>
    </row>
    <row r="18" spans="1:22" ht="20.100000000000001" customHeight="1" thickBot="1" x14ac:dyDescent="0.3">
      <c r="A18" s="318"/>
      <c r="B18" s="469" t="s">
        <v>312</v>
      </c>
      <c r="C18" s="459"/>
      <c r="D18" s="467" t="s">
        <v>448</v>
      </c>
      <c r="E18" s="468"/>
      <c r="F18" s="340" t="s">
        <v>311</v>
      </c>
      <c r="G18" s="339"/>
      <c r="H18" s="338"/>
      <c r="I18" s="333"/>
      <c r="J18" s="457" t="s">
        <v>310</v>
      </c>
      <c r="K18" s="458"/>
      <c r="L18" s="335">
        <f>'TSP HG-ISO Run1'!J43</f>
        <v>771.1</v>
      </c>
      <c r="M18" s="334">
        <f>'TSP HG-ISO Run1'!I43</f>
        <v>776.3</v>
      </c>
      <c r="N18" s="326"/>
      <c r="O18" s="326"/>
      <c r="P18" s="326"/>
      <c r="Q18" s="333"/>
      <c r="R18" s="326"/>
      <c r="S18" s="326"/>
      <c r="T18" s="337"/>
      <c r="U18" s="332"/>
    </row>
    <row r="19" spans="1:22" ht="20.100000000000001" customHeight="1" thickBot="1" x14ac:dyDescent="0.4">
      <c r="A19" s="318"/>
      <c r="B19" s="469" t="s">
        <v>309</v>
      </c>
      <c r="C19" s="459"/>
      <c r="D19" s="465"/>
      <c r="E19" s="466"/>
      <c r="F19" s="459" t="s">
        <v>308</v>
      </c>
      <c r="G19" s="459"/>
      <c r="H19" s="336">
        <f>CEMS!D21</f>
        <v>13.216702741702736</v>
      </c>
      <c r="I19" s="333"/>
      <c r="J19" s="454" t="s">
        <v>307</v>
      </c>
      <c r="K19" s="455"/>
      <c r="L19" s="335">
        <f>'TSP HG-ISO Run1'!J44</f>
        <v>779.9</v>
      </c>
      <c r="M19" s="334">
        <f>'TSP HG-ISO Run1'!I44</f>
        <v>781.9</v>
      </c>
      <c r="N19" s="326"/>
      <c r="O19" s="326"/>
      <c r="P19" s="326"/>
      <c r="Q19" s="333"/>
      <c r="R19" s="326"/>
      <c r="S19" s="326"/>
      <c r="T19" s="332"/>
      <c r="U19" s="332"/>
    </row>
    <row r="20" spans="1:22" ht="20.100000000000001" customHeight="1" thickBot="1" x14ac:dyDescent="0.4">
      <c r="A20" s="318"/>
      <c r="B20" s="463" t="s">
        <v>306</v>
      </c>
      <c r="C20" s="464"/>
      <c r="D20" s="473"/>
      <c r="E20" s="474"/>
      <c r="F20" s="464" t="s">
        <v>305</v>
      </c>
      <c r="G20" s="464"/>
      <c r="H20" s="331">
        <f>CEMS!D28</f>
        <v>7.4914662921348372</v>
      </c>
      <c r="I20" s="330"/>
      <c r="J20" s="491" t="s">
        <v>304</v>
      </c>
      <c r="K20" s="492"/>
      <c r="L20" s="424">
        <f>'TSP HG-ISO Run1'!J45</f>
        <v>913.3</v>
      </c>
      <c r="M20" s="425">
        <f>'TSP HG-ISO Run1'!I45</f>
        <v>933.9</v>
      </c>
      <c r="N20" s="489" t="s">
        <v>303</v>
      </c>
      <c r="O20" s="489"/>
      <c r="P20" s="489"/>
      <c r="Q20" s="327">
        <f>(M14-L14)+(M15-L15)+(M16-L16)+(M17-L17)+(M18-L18)+(M19-L19)+(M20-L20)</f>
        <v>237.70000000000016</v>
      </c>
      <c r="R20" s="326"/>
      <c r="S20" s="326"/>
    </row>
    <row r="21" spans="1:22" ht="20.100000000000001" customHeight="1" x14ac:dyDescent="0.2">
      <c r="A21" s="318"/>
      <c r="B21" s="326"/>
      <c r="C21" s="326"/>
      <c r="D21" s="326"/>
      <c r="E21" s="326"/>
      <c r="P21" s="326"/>
      <c r="Q21" s="325"/>
    </row>
    <row r="22" spans="1:22"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22"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22" ht="20.100000000000001" customHeight="1" x14ac:dyDescent="0.2">
      <c r="A24" s="318"/>
      <c r="B24" s="312">
        <v>1</v>
      </c>
      <c r="C24" s="312">
        <v>0</v>
      </c>
      <c r="D24" s="312">
        <v>5</v>
      </c>
      <c r="E24" s="319">
        <v>0.44097222222222227</v>
      </c>
      <c r="F24" s="312">
        <f>'TSP HG-ISO Run1'!E13</f>
        <v>795.23500000000001</v>
      </c>
      <c r="G24" s="317">
        <f>'TSP HG-ISO Run1'!H6</f>
        <v>0.05</v>
      </c>
      <c r="H24" s="427">
        <f>'TSP HG-ISO Run1'!I6</f>
        <v>2.25</v>
      </c>
      <c r="I24" s="428">
        <f>+H24</f>
        <v>2.25</v>
      </c>
      <c r="J24" s="312">
        <f>'TSP HG-ISO Run1'!L6</f>
        <v>105</v>
      </c>
      <c r="K24" s="312">
        <v>245</v>
      </c>
      <c r="L24" s="313">
        <v>248</v>
      </c>
      <c r="M24" s="313"/>
      <c r="N24" s="312">
        <v>33</v>
      </c>
      <c r="O24" s="312">
        <f>'TSP HG-ISO Run1'!J6</f>
        <v>69</v>
      </c>
      <c r="P24" s="311">
        <f>O24</f>
        <v>69</v>
      </c>
      <c r="Q24" s="310">
        <v>2</v>
      </c>
      <c r="R24" s="310"/>
    </row>
    <row r="25" spans="1:22" ht="20.100000000000001" customHeight="1" x14ac:dyDescent="0.2">
      <c r="A25" s="318"/>
      <c r="B25" s="312">
        <v>2</v>
      </c>
      <c r="C25" s="312">
        <f>D24</f>
        <v>5</v>
      </c>
      <c r="D25" s="312">
        <v>10</v>
      </c>
      <c r="E25" s="319">
        <v>0.44444444444444442</v>
      </c>
      <c r="F25" s="312">
        <v>799.80899999999997</v>
      </c>
      <c r="G25" s="317">
        <f>'TSP HG-ISO Run1'!H7</f>
        <v>0.05</v>
      </c>
      <c r="H25" s="427">
        <f>'TSP HG-ISO Run1'!I7</f>
        <v>2.25</v>
      </c>
      <c r="I25" s="428">
        <f>+H25</f>
        <v>2.25</v>
      </c>
      <c r="J25" s="312">
        <f>'TSP HG-ISO Run1'!L7</f>
        <v>105</v>
      </c>
      <c r="K25" s="312">
        <v>245</v>
      </c>
      <c r="L25" s="313">
        <v>248</v>
      </c>
      <c r="M25" s="313"/>
      <c r="N25" s="312">
        <v>33</v>
      </c>
      <c r="O25" s="312">
        <f>'TSP HG-ISO Run1'!J7</f>
        <v>68</v>
      </c>
      <c r="P25" s="311">
        <f>O25</f>
        <v>68</v>
      </c>
      <c r="Q25" s="310">
        <v>2</v>
      </c>
      <c r="R25" s="310"/>
    </row>
    <row r="26" spans="1:22" ht="20.100000000000001" customHeight="1" x14ac:dyDescent="0.2">
      <c r="A26" s="315"/>
      <c r="B26" s="312">
        <f>+B25+1</f>
        <v>3</v>
      </c>
      <c r="C26" s="312">
        <f>D25</f>
        <v>10</v>
      </c>
      <c r="D26" s="312">
        <f>+D25+5</f>
        <v>15</v>
      </c>
      <c r="E26" s="319">
        <v>0.44791666666666702</v>
      </c>
      <c r="F26" s="312">
        <v>804.38300000000004</v>
      </c>
      <c r="G26" s="317">
        <f>'TSP HG-ISO Run1'!H8</f>
        <v>5.5E-2</v>
      </c>
      <c r="H26" s="427">
        <f>'TSP HG-ISO Run1'!I8</f>
        <v>2.4750000000000001</v>
      </c>
      <c r="I26" s="428">
        <f t="shared" ref="I26:I47" si="0">+H26</f>
        <v>2.4750000000000001</v>
      </c>
      <c r="J26" s="312">
        <f>'TSP HG-ISO Run1'!L8</f>
        <v>106</v>
      </c>
      <c r="K26" s="312">
        <v>243</v>
      </c>
      <c r="L26" s="313">
        <v>250</v>
      </c>
      <c r="M26" s="313"/>
      <c r="N26" s="312">
        <v>34</v>
      </c>
      <c r="O26" s="312">
        <f>'TSP HG-ISO Run1'!J8</f>
        <v>68</v>
      </c>
      <c r="P26" s="311">
        <f t="shared" ref="P26:P47" si="1">O26</f>
        <v>68</v>
      </c>
      <c r="Q26" s="310">
        <v>2</v>
      </c>
      <c r="R26" s="310"/>
    </row>
    <row r="27" spans="1:22" ht="20.100000000000001" customHeight="1" x14ac:dyDescent="0.2">
      <c r="A27" s="315"/>
      <c r="B27" s="312">
        <f t="shared" ref="B27:B47" si="2">+B26+1</f>
        <v>4</v>
      </c>
      <c r="C27" s="312">
        <f t="shared" ref="C27:C47" si="3">D26</f>
        <v>15</v>
      </c>
      <c r="D27" s="312">
        <f t="shared" ref="D27:D47" si="4">+D26+5</f>
        <v>20</v>
      </c>
      <c r="E27" s="319">
        <v>0.45138888888888901</v>
      </c>
      <c r="F27" s="312">
        <v>808.95699999999999</v>
      </c>
      <c r="G27" s="317">
        <f>'TSP HG-ISO Run1'!H9</f>
        <v>5.5E-2</v>
      </c>
      <c r="H27" s="427">
        <f>'TSP HG-ISO Run1'!I9</f>
        <v>2.4750000000000001</v>
      </c>
      <c r="I27" s="428">
        <f t="shared" si="0"/>
        <v>2.4750000000000001</v>
      </c>
      <c r="J27" s="312">
        <f>'TSP HG-ISO Run1'!L9</f>
        <v>106</v>
      </c>
      <c r="K27" s="312">
        <v>239</v>
      </c>
      <c r="L27" s="313">
        <v>250</v>
      </c>
      <c r="M27" s="313"/>
      <c r="N27" s="312">
        <v>36</v>
      </c>
      <c r="O27" s="312">
        <f>'TSP HG-ISO Run1'!J9</f>
        <v>68</v>
      </c>
      <c r="P27" s="311">
        <f t="shared" si="1"/>
        <v>68</v>
      </c>
      <c r="Q27" s="310">
        <v>2</v>
      </c>
      <c r="R27" s="310"/>
    </row>
    <row r="28" spans="1:22" ht="20.100000000000001" customHeight="1" x14ac:dyDescent="0.2">
      <c r="A28" s="315"/>
      <c r="B28" s="312">
        <f t="shared" si="2"/>
        <v>5</v>
      </c>
      <c r="C28" s="312">
        <f t="shared" si="3"/>
        <v>20</v>
      </c>
      <c r="D28" s="312">
        <f t="shared" si="4"/>
        <v>25</v>
      </c>
      <c r="E28" s="319">
        <v>0.45486111111111099</v>
      </c>
      <c r="F28" s="312">
        <v>813.53099999999995</v>
      </c>
      <c r="G28" s="317">
        <f>'TSP HG-ISO Run1'!H10</f>
        <v>5.5E-2</v>
      </c>
      <c r="H28" s="427">
        <f>'TSP HG-ISO Run1'!I10</f>
        <v>2.4750000000000001</v>
      </c>
      <c r="I28" s="428">
        <f t="shared" si="0"/>
        <v>2.4750000000000001</v>
      </c>
      <c r="J28" s="312">
        <f>'TSP HG-ISO Run1'!L10</f>
        <v>108</v>
      </c>
      <c r="K28" s="312">
        <v>248</v>
      </c>
      <c r="L28" s="313">
        <v>258</v>
      </c>
      <c r="M28" s="313"/>
      <c r="N28" s="312">
        <v>38</v>
      </c>
      <c r="O28" s="312">
        <f>'TSP HG-ISO Run1'!J10</f>
        <v>70</v>
      </c>
      <c r="P28" s="311">
        <f t="shared" si="1"/>
        <v>70</v>
      </c>
      <c r="Q28" s="310">
        <v>2</v>
      </c>
      <c r="R28" s="310"/>
    </row>
    <row r="29" spans="1:22" ht="20.100000000000001" customHeight="1" x14ac:dyDescent="0.2">
      <c r="A29" s="315"/>
      <c r="B29" s="312">
        <f t="shared" si="2"/>
        <v>6</v>
      </c>
      <c r="C29" s="312">
        <f t="shared" si="3"/>
        <v>25</v>
      </c>
      <c r="D29" s="312">
        <f t="shared" si="4"/>
        <v>30</v>
      </c>
      <c r="E29" s="319">
        <v>0.45833333333333298</v>
      </c>
      <c r="F29" s="312">
        <v>818.10500000000002</v>
      </c>
      <c r="G29" s="317">
        <f>'TSP HG-ISO Run1'!H11</f>
        <v>0.06</v>
      </c>
      <c r="H29" s="427">
        <f>'TSP HG-ISO Run1'!I11</f>
        <v>2.6999999999999997</v>
      </c>
      <c r="I29" s="428">
        <f t="shared" si="0"/>
        <v>2.6999999999999997</v>
      </c>
      <c r="J29" s="312">
        <f>'TSP HG-ISO Run1'!L11</f>
        <v>107</v>
      </c>
      <c r="K29" s="312">
        <v>247</v>
      </c>
      <c r="L29" s="313">
        <v>252</v>
      </c>
      <c r="M29" s="313"/>
      <c r="N29" s="312">
        <v>40</v>
      </c>
      <c r="O29" s="312">
        <f>'TSP HG-ISO Run1'!J11</f>
        <v>71</v>
      </c>
      <c r="P29" s="311">
        <f t="shared" si="1"/>
        <v>71</v>
      </c>
      <c r="Q29" s="310">
        <v>2</v>
      </c>
      <c r="R29" s="310"/>
    </row>
    <row r="30" spans="1:22" ht="20.100000000000001" customHeight="1" x14ac:dyDescent="0.2">
      <c r="A30" s="315"/>
      <c r="B30" s="312">
        <f t="shared" si="2"/>
        <v>7</v>
      </c>
      <c r="C30" s="312">
        <f t="shared" si="3"/>
        <v>30</v>
      </c>
      <c r="D30" s="312">
        <f t="shared" si="4"/>
        <v>35</v>
      </c>
      <c r="E30" s="319">
        <v>0.46180555555555503</v>
      </c>
      <c r="F30" s="312">
        <v>822.67899999999997</v>
      </c>
      <c r="G30" s="317">
        <f>'TSP HG-ISO Run1'!H12</f>
        <v>0.06</v>
      </c>
      <c r="H30" s="427">
        <f>'TSP HG-ISO Run1'!I12</f>
        <v>2.6999999999999997</v>
      </c>
      <c r="I30" s="428">
        <f t="shared" si="0"/>
        <v>2.6999999999999997</v>
      </c>
      <c r="J30" s="312">
        <f>'TSP HG-ISO Run1'!L12</f>
        <v>107</v>
      </c>
      <c r="K30" s="312">
        <v>248</v>
      </c>
      <c r="L30" s="313">
        <v>253</v>
      </c>
      <c r="M30" s="313"/>
      <c r="N30" s="312">
        <v>40</v>
      </c>
      <c r="O30" s="312">
        <f>'TSP HG-ISO Run1'!J12</f>
        <v>72</v>
      </c>
      <c r="P30" s="311">
        <f t="shared" si="1"/>
        <v>72</v>
      </c>
      <c r="Q30" s="310">
        <v>3</v>
      </c>
      <c r="R30" s="310"/>
    </row>
    <row r="31" spans="1:22" ht="20.100000000000001" customHeight="1" x14ac:dyDescent="0.2">
      <c r="A31" s="315"/>
      <c r="B31" s="312">
        <f t="shared" si="2"/>
        <v>8</v>
      </c>
      <c r="C31" s="312">
        <f t="shared" si="3"/>
        <v>35</v>
      </c>
      <c r="D31" s="312">
        <f t="shared" si="4"/>
        <v>40</v>
      </c>
      <c r="E31" s="319">
        <v>0.46527777777777701</v>
      </c>
      <c r="F31" s="312">
        <v>827.25300000000004</v>
      </c>
      <c r="G31" s="317">
        <f>'TSP HG-ISO Run1'!H13</f>
        <v>0.06</v>
      </c>
      <c r="H31" s="427">
        <f>'TSP HG-ISO Run1'!I13</f>
        <v>2.6999999999999997</v>
      </c>
      <c r="I31" s="428">
        <f t="shared" si="0"/>
        <v>2.6999999999999997</v>
      </c>
      <c r="J31" s="312">
        <f>'TSP HG-ISO Run1'!L13</f>
        <v>107</v>
      </c>
      <c r="K31" s="312">
        <v>252</v>
      </c>
      <c r="L31" s="313">
        <v>255</v>
      </c>
      <c r="M31" s="313"/>
      <c r="N31" s="312">
        <v>40</v>
      </c>
      <c r="O31" s="312">
        <f>'TSP HG-ISO Run1'!J13</f>
        <v>74</v>
      </c>
      <c r="P31" s="311">
        <f t="shared" si="1"/>
        <v>74</v>
      </c>
      <c r="Q31" s="310">
        <v>3</v>
      </c>
      <c r="R31" s="310"/>
    </row>
    <row r="32" spans="1:22" ht="20.100000000000001" customHeight="1" x14ac:dyDescent="0.2">
      <c r="A32" s="315"/>
      <c r="B32" s="312">
        <f t="shared" si="2"/>
        <v>9</v>
      </c>
      <c r="C32" s="312">
        <f t="shared" si="3"/>
        <v>40</v>
      </c>
      <c r="D32" s="312">
        <f t="shared" si="4"/>
        <v>45</v>
      </c>
      <c r="E32" s="319">
        <v>0.468749999999999</v>
      </c>
      <c r="F32" s="312">
        <v>831.827</v>
      </c>
      <c r="G32" s="317">
        <f>'TSP HG-ISO Run1'!H14</f>
        <v>0.06</v>
      </c>
      <c r="H32" s="427">
        <f>'TSP HG-ISO Run1'!I14</f>
        <v>2.6999999999999997</v>
      </c>
      <c r="I32" s="428">
        <f t="shared" si="0"/>
        <v>2.6999999999999997</v>
      </c>
      <c r="J32" s="312">
        <f>'TSP HG-ISO Run1'!L14</f>
        <v>106</v>
      </c>
      <c r="K32" s="312">
        <v>251</v>
      </c>
      <c r="L32" s="313">
        <v>249</v>
      </c>
      <c r="M32" s="313"/>
      <c r="N32" s="312">
        <v>41</v>
      </c>
      <c r="O32" s="312">
        <f>'TSP HG-ISO Run1'!J14</f>
        <v>75</v>
      </c>
      <c r="P32" s="311">
        <f t="shared" si="1"/>
        <v>75</v>
      </c>
      <c r="Q32" s="310">
        <v>3</v>
      </c>
      <c r="R32" s="310"/>
    </row>
    <row r="33" spans="1:18" ht="20.100000000000001" customHeight="1" x14ac:dyDescent="0.2">
      <c r="A33" s="315"/>
      <c r="B33" s="312">
        <f t="shared" si="2"/>
        <v>10</v>
      </c>
      <c r="C33" s="312">
        <f t="shared" si="3"/>
        <v>45</v>
      </c>
      <c r="D33" s="312">
        <f t="shared" si="4"/>
        <v>50</v>
      </c>
      <c r="E33" s="319">
        <v>0.47222222222222199</v>
      </c>
      <c r="F33" s="312">
        <v>836.40099999999995</v>
      </c>
      <c r="G33" s="317">
        <f>'TSP HG-ISO Run1'!H15</f>
        <v>5.5E-2</v>
      </c>
      <c r="H33" s="427">
        <f>'TSP HG-ISO Run1'!I15</f>
        <v>2.4750000000000001</v>
      </c>
      <c r="I33" s="428">
        <f t="shared" si="0"/>
        <v>2.4750000000000001</v>
      </c>
      <c r="J33" s="312">
        <f>'TSP HG-ISO Run1'!L15</f>
        <v>105</v>
      </c>
      <c r="K33" s="312">
        <v>253</v>
      </c>
      <c r="L33" s="313">
        <v>252</v>
      </c>
      <c r="M33" s="313"/>
      <c r="N33" s="312">
        <v>41</v>
      </c>
      <c r="O33" s="312">
        <f>'TSP HG-ISO Run1'!J15</f>
        <v>75</v>
      </c>
      <c r="P33" s="311">
        <f t="shared" si="1"/>
        <v>75</v>
      </c>
      <c r="Q33" s="310">
        <v>3</v>
      </c>
      <c r="R33" s="310"/>
    </row>
    <row r="34" spans="1:18" ht="20.100000000000001" customHeight="1" x14ac:dyDescent="0.2">
      <c r="A34" s="315"/>
      <c r="B34" s="312">
        <f t="shared" si="2"/>
        <v>11</v>
      </c>
      <c r="C34" s="312">
        <f t="shared" si="3"/>
        <v>50</v>
      </c>
      <c r="D34" s="312">
        <f t="shared" si="4"/>
        <v>55</v>
      </c>
      <c r="E34" s="319">
        <v>0.47569444444444398</v>
      </c>
      <c r="F34" s="312">
        <v>840.97500000000002</v>
      </c>
      <c r="G34" s="317">
        <f>'TSP HG-ISO Run1'!H16</f>
        <v>4.4999999999999998E-2</v>
      </c>
      <c r="H34" s="427">
        <f>'TSP HG-ISO Run1'!I16</f>
        <v>2.0249999999999999</v>
      </c>
      <c r="I34" s="428">
        <f t="shared" si="0"/>
        <v>2.0249999999999999</v>
      </c>
      <c r="J34" s="312">
        <f>'TSP HG-ISO Run1'!L16</f>
        <v>105</v>
      </c>
      <c r="K34" s="312">
        <v>255</v>
      </c>
      <c r="L34" s="313">
        <v>254</v>
      </c>
      <c r="M34" s="313"/>
      <c r="N34" s="312">
        <v>41</v>
      </c>
      <c r="O34" s="312">
        <f>'TSP HG-ISO Run1'!J16</f>
        <v>75</v>
      </c>
      <c r="P34" s="311">
        <f t="shared" si="1"/>
        <v>75</v>
      </c>
      <c r="Q34" s="310">
        <v>3</v>
      </c>
      <c r="R34" s="310"/>
    </row>
    <row r="35" spans="1:18" ht="20.100000000000001" customHeight="1" x14ac:dyDescent="0.2">
      <c r="A35" s="315"/>
      <c r="B35" s="312">
        <f t="shared" si="2"/>
        <v>12</v>
      </c>
      <c r="C35" s="312">
        <f t="shared" si="3"/>
        <v>55</v>
      </c>
      <c r="D35" s="312">
        <f t="shared" si="4"/>
        <v>60</v>
      </c>
      <c r="E35" s="319">
        <v>0.47916666666666602</v>
      </c>
      <c r="F35" s="312">
        <v>845.54899999999998</v>
      </c>
      <c r="G35" s="317">
        <f>'TSP HG-ISO Run1'!H17</f>
        <v>4.4999999999999998E-2</v>
      </c>
      <c r="H35" s="427">
        <f>'TSP HG-ISO Run1'!I17</f>
        <v>2.0249999999999999</v>
      </c>
      <c r="I35" s="428">
        <f t="shared" si="0"/>
        <v>2.0249999999999999</v>
      </c>
      <c r="J35" s="312">
        <f>'TSP HG-ISO Run1'!L17</f>
        <v>106</v>
      </c>
      <c r="K35" s="312">
        <v>258</v>
      </c>
      <c r="L35" s="313">
        <v>255</v>
      </c>
      <c r="M35" s="313"/>
      <c r="N35" s="312">
        <v>40</v>
      </c>
      <c r="O35" s="312">
        <f>'TSP HG-ISO Run1'!J17</f>
        <v>76</v>
      </c>
      <c r="P35" s="311">
        <f t="shared" si="1"/>
        <v>76</v>
      </c>
      <c r="Q35" s="310">
        <v>3</v>
      </c>
      <c r="R35" s="310"/>
    </row>
    <row r="36" spans="1:18" ht="20.100000000000001" customHeight="1" x14ac:dyDescent="0.2">
      <c r="A36" s="315"/>
      <c r="B36" s="312">
        <f t="shared" si="2"/>
        <v>13</v>
      </c>
      <c r="C36" s="312">
        <f t="shared" si="3"/>
        <v>60</v>
      </c>
      <c r="D36" s="312">
        <f t="shared" si="4"/>
        <v>65</v>
      </c>
      <c r="E36" s="319">
        <v>0.48263888888888801</v>
      </c>
      <c r="F36" s="312">
        <v>850.12300000000005</v>
      </c>
      <c r="G36" s="317">
        <f>'TSP HG-ISO Run1'!H18</f>
        <v>0.05</v>
      </c>
      <c r="H36" s="427">
        <f>'TSP HG-ISO Run1'!I18</f>
        <v>2.25</v>
      </c>
      <c r="I36" s="428">
        <f t="shared" si="0"/>
        <v>2.25</v>
      </c>
      <c r="J36" s="312">
        <f>'TSP HG-ISO Run1'!L18</f>
        <v>106</v>
      </c>
      <c r="K36" s="312">
        <v>258</v>
      </c>
      <c r="L36" s="313">
        <v>251</v>
      </c>
      <c r="M36" s="313"/>
      <c r="N36" s="312">
        <v>40</v>
      </c>
      <c r="O36" s="312">
        <f>'TSP HG-ISO Run1'!J18</f>
        <v>78</v>
      </c>
      <c r="P36" s="311">
        <f t="shared" si="1"/>
        <v>78</v>
      </c>
      <c r="Q36" s="310">
        <v>3</v>
      </c>
      <c r="R36" s="310"/>
    </row>
    <row r="37" spans="1:18" ht="20.100000000000001" customHeight="1" x14ac:dyDescent="0.2">
      <c r="A37" s="315"/>
      <c r="B37" s="312">
        <f t="shared" si="2"/>
        <v>14</v>
      </c>
      <c r="C37" s="312">
        <f t="shared" si="3"/>
        <v>65</v>
      </c>
      <c r="D37" s="312">
        <f t="shared" si="4"/>
        <v>70</v>
      </c>
      <c r="E37" s="319">
        <v>0.48611111111110999</v>
      </c>
      <c r="F37" s="312">
        <v>854.697</v>
      </c>
      <c r="G37" s="317">
        <f>'TSP HG-ISO Run1'!H19</f>
        <v>5.5E-2</v>
      </c>
      <c r="H37" s="427">
        <f>'TSP HG-ISO Run1'!I19</f>
        <v>2.4750000000000001</v>
      </c>
      <c r="I37" s="428">
        <f t="shared" si="0"/>
        <v>2.4750000000000001</v>
      </c>
      <c r="J37" s="312">
        <f>'TSP HG-ISO Run1'!L19</f>
        <v>106</v>
      </c>
      <c r="K37" s="312">
        <v>255</v>
      </c>
      <c r="L37" s="313">
        <v>255</v>
      </c>
      <c r="M37" s="313"/>
      <c r="N37" s="312">
        <v>41</v>
      </c>
      <c r="O37" s="312">
        <f>'TSP HG-ISO Run1'!J19</f>
        <v>77</v>
      </c>
      <c r="P37" s="311">
        <f t="shared" si="1"/>
        <v>77</v>
      </c>
      <c r="Q37" s="310">
        <v>3</v>
      </c>
      <c r="R37" s="310"/>
    </row>
    <row r="38" spans="1:18" ht="20.100000000000001" customHeight="1" x14ac:dyDescent="0.2">
      <c r="A38" s="315"/>
      <c r="B38" s="312">
        <f t="shared" si="2"/>
        <v>15</v>
      </c>
      <c r="C38" s="312">
        <f t="shared" si="3"/>
        <v>70</v>
      </c>
      <c r="D38" s="312">
        <f t="shared" si="4"/>
        <v>75</v>
      </c>
      <c r="E38" s="319">
        <v>0.48958333333333198</v>
      </c>
      <c r="F38" s="312">
        <v>859.27099999999996</v>
      </c>
      <c r="G38" s="317">
        <f>'TSP HG-ISO Run1'!H20</f>
        <v>5.5E-2</v>
      </c>
      <c r="H38" s="427">
        <f>'TSP HG-ISO Run1'!I20</f>
        <v>2.4750000000000001</v>
      </c>
      <c r="I38" s="428">
        <f t="shared" si="0"/>
        <v>2.4750000000000001</v>
      </c>
      <c r="J38" s="312">
        <f>'TSP HG-ISO Run1'!L20</f>
        <v>106</v>
      </c>
      <c r="K38" s="312">
        <v>250</v>
      </c>
      <c r="L38" s="313">
        <v>253</v>
      </c>
      <c r="M38" s="313"/>
      <c r="N38" s="312">
        <v>36</v>
      </c>
      <c r="O38" s="312">
        <f>'TSP HG-ISO Run1'!J20</f>
        <v>77</v>
      </c>
      <c r="P38" s="311">
        <f t="shared" si="1"/>
        <v>77</v>
      </c>
      <c r="Q38" s="310">
        <v>3</v>
      </c>
      <c r="R38" s="310"/>
    </row>
    <row r="39" spans="1:18" ht="20.100000000000001" customHeight="1" x14ac:dyDescent="0.2">
      <c r="A39" s="315"/>
      <c r="B39" s="312">
        <f t="shared" si="2"/>
        <v>16</v>
      </c>
      <c r="C39" s="312">
        <f t="shared" si="3"/>
        <v>75</v>
      </c>
      <c r="D39" s="312">
        <f t="shared" si="4"/>
        <v>80</v>
      </c>
      <c r="E39" s="319">
        <v>0.49305555555555503</v>
      </c>
      <c r="F39" s="312">
        <v>863.84500000000003</v>
      </c>
      <c r="G39" s="317">
        <f>'TSP HG-ISO Run1'!H21</f>
        <v>5.5E-2</v>
      </c>
      <c r="H39" s="427">
        <f>'TSP HG-ISO Run1'!I21</f>
        <v>2.4750000000000001</v>
      </c>
      <c r="I39" s="428">
        <f t="shared" si="0"/>
        <v>2.4750000000000001</v>
      </c>
      <c r="J39" s="312">
        <f>'TSP HG-ISO Run1'!L21</f>
        <v>107</v>
      </c>
      <c r="K39" s="312">
        <v>252</v>
      </c>
      <c r="L39" s="313">
        <v>252</v>
      </c>
      <c r="M39" s="313"/>
      <c r="N39" s="312">
        <v>37</v>
      </c>
      <c r="O39" s="312">
        <f>'TSP HG-ISO Run1'!J21</f>
        <v>78</v>
      </c>
      <c r="P39" s="311">
        <f t="shared" si="1"/>
        <v>78</v>
      </c>
      <c r="Q39" s="310">
        <v>3</v>
      </c>
      <c r="R39" s="310"/>
    </row>
    <row r="40" spans="1:18" ht="20.100000000000001" customHeight="1" x14ac:dyDescent="0.2">
      <c r="A40" s="315"/>
      <c r="B40" s="312">
        <f t="shared" si="2"/>
        <v>17</v>
      </c>
      <c r="C40" s="312">
        <f t="shared" si="3"/>
        <v>80</v>
      </c>
      <c r="D40" s="312">
        <f t="shared" si="4"/>
        <v>85</v>
      </c>
      <c r="E40" s="319">
        <v>0.49652777777777701</v>
      </c>
      <c r="F40" s="312">
        <v>868.41899999999998</v>
      </c>
      <c r="G40" s="317">
        <f>'TSP HG-ISO Run1'!H22</f>
        <v>5.5E-2</v>
      </c>
      <c r="H40" s="427">
        <f>'TSP HG-ISO Run1'!I22</f>
        <v>2.4750000000000001</v>
      </c>
      <c r="I40" s="428">
        <f t="shared" si="0"/>
        <v>2.4750000000000001</v>
      </c>
      <c r="J40" s="312">
        <f>'TSP HG-ISO Run1'!L22</f>
        <v>107</v>
      </c>
      <c r="K40" s="312">
        <v>252</v>
      </c>
      <c r="L40" s="313">
        <v>247</v>
      </c>
      <c r="M40" s="313"/>
      <c r="N40" s="312">
        <v>38</v>
      </c>
      <c r="O40" s="312">
        <f>'TSP HG-ISO Run1'!J22</f>
        <v>77</v>
      </c>
      <c r="P40" s="311">
        <f t="shared" si="1"/>
        <v>77</v>
      </c>
      <c r="Q40" s="310">
        <v>3</v>
      </c>
      <c r="R40" s="310"/>
    </row>
    <row r="41" spans="1:18" ht="20.100000000000001" customHeight="1" x14ac:dyDescent="0.2">
      <c r="A41" s="315"/>
      <c r="B41" s="312">
        <f t="shared" si="2"/>
        <v>18</v>
      </c>
      <c r="C41" s="312">
        <f t="shared" si="3"/>
        <v>85</v>
      </c>
      <c r="D41" s="312">
        <f t="shared" si="4"/>
        <v>90</v>
      </c>
      <c r="E41" s="319">
        <v>0.499999999999999</v>
      </c>
      <c r="F41" s="312">
        <v>872.99300000000005</v>
      </c>
      <c r="G41" s="317">
        <f>'TSP HG-ISO Run1'!H23</f>
        <v>0.06</v>
      </c>
      <c r="H41" s="427">
        <f>'TSP HG-ISO Run1'!I23</f>
        <v>2.6999999999999997</v>
      </c>
      <c r="I41" s="428">
        <f t="shared" si="0"/>
        <v>2.6999999999999997</v>
      </c>
      <c r="J41" s="312">
        <f>'TSP HG-ISO Run1'!L23</f>
        <v>106</v>
      </c>
      <c r="K41" s="312">
        <v>257</v>
      </c>
      <c r="L41" s="313">
        <v>254</v>
      </c>
      <c r="M41" s="313"/>
      <c r="N41" s="312">
        <v>39</v>
      </c>
      <c r="O41" s="312">
        <f>'TSP HG-ISO Run1'!J23</f>
        <v>78</v>
      </c>
      <c r="P41" s="311">
        <f t="shared" si="1"/>
        <v>78</v>
      </c>
      <c r="Q41" s="310">
        <v>3</v>
      </c>
      <c r="R41" s="310"/>
    </row>
    <row r="42" spans="1:18" ht="20.100000000000001" customHeight="1" x14ac:dyDescent="0.2">
      <c r="A42" s="315"/>
      <c r="B42" s="312">
        <f t="shared" si="2"/>
        <v>19</v>
      </c>
      <c r="C42" s="312">
        <f t="shared" si="3"/>
        <v>90</v>
      </c>
      <c r="D42" s="312">
        <f t="shared" si="4"/>
        <v>95</v>
      </c>
      <c r="E42" s="319">
        <v>0.50347222222222099</v>
      </c>
      <c r="F42" s="312">
        <v>877.56700000000001</v>
      </c>
      <c r="G42" s="317">
        <f>'TSP HG-ISO Run1'!H24</f>
        <v>0.06</v>
      </c>
      <c r="H42" s="427">
        <f>'TSP HG-ISO Run1'!I24</f>
        <v>2.6999999999999997</v>
      </c>
      <c r="I42" s="428">
        <f t="shared" si="0"/>
        <v>2.6999999999999997</v>
      </c>
      <c r="J42" s="312">
        <f>'TSP HG-ISO Run1'!L24</f>
        <v>106</v>
      </c>
      <c r="K42" s="312">
        <v>256</v>
      </c>
      <c r="L42" s="313">
        <v>252</v>
      </c>
      <c r="M42" s="313"/>
      <c r="N42" s="312">
        <v>39</v>
      </c>
      <c r="O42" s="312">
        <f>'TSP HG-ISO Run1'!J24</f>
        <v>77</v>
      </c>
      <c r="P42" s="311">
        <f t="shared" si="1"/>
        <v>77</v>
      </c>
      <c r="Q42" s="310">
        <v>4</v>
      </c>
      <c r="R42" s="310"/>
    </row>
    <row r="43" spans="1:18" ht="20.100000000000001" customHeight="1" x14ac:dyDescent="0.2">
      <c r="A43" s="315"/>
      <c r="B43" s="312">
        <f t="shared" si="2"/>
        <v>20</v>
      </c>
      <c r="C43" s="312">
        <f t="shared" si="3"/>
        <v>95</v>
      </c>
      <c r="D43" s="312">
        <f t="shared" si="4"/>
        <v>100</v>
      </c>
      <c r="E43" s="319">
        <v>0.50694444444444298</v>
      </c>
      <c r="F43" s="312">
        <v>882.14099999999996</v>
      </c>
      <c r="G43" s="317">
        <f>'TSP HG-ISO Run1'!H25</f>
        <v>6.5000000000000002E-2</v>
      </c>
      <c r="H43" s="427">
        <f>'TSP HG-ISO Run1'!I25</f>
        <v>2.9250000000000003</v>
      </c>
      <c r="I43" s="428">
        <f t="shared" si="0"/>
        <v>2.9250000000000003</v>
      </c>
      <c r="J43" s="312">
        <f>'TSP HG-ISO Run1'!L25</f>
        <v>107</v>
      </c>
      <c r="K43" s="312">
        <v>252</v>
      </c>
      <c r="L43" s="313">
        <v>251</v>
      </c>
      <c r="M43" s="313"/>
      <c r="N43" s="312">
        <v>39</v>
      </c>
      <c r="O43" s="312">
        <f>'TSP HG-ISO Run1'!J25</f>
        <v>77</v>
      </c>
      <c r="P43" s="311">
        <f t="shared" si="1"/>
        <v>77</v>
      </c>
      <c r="Q43" s="310">
        <v>4</v>
      </c>
      <c r="R43" s="310"/>
    </row>
    <row r="44" spans="1:18" ht="20.100000000000001" customHeight="1" x14ac:dyDescent="0.2">
      <c r="A44" s="315"/>
      <c r="B44" s="312">
        <f t="shared" si="2"/>
        <v>21</v>
      </c>
      <c r="C44" s="312">
        <f t="shared" si="3"/>
        <v>100</v>
      </c>
      <c r="D44" s="312">
        <f t="shared" si="4"/>
        <v>105</v>
      </c>
      <c r="E44" s="319">
        <v>0.51041666666666496</v>
      </c>
      <c r="F44" s="312">
        <v>886.71500000000003</v>
      </c>
      <c r="G44" s="317">
        <f>'TSP HG-ISO Run1'!H26</f>
        <v>0.06</v>
      </c>
      <c r="H44" s="427">
        <f>'TSP HG-ISO Run1'!I26</f>
        <v>2.6999999999999997</v>
      </c>
      <c r="I44" s="428">
        <f t="shared" si="0"/>
        <v>2.6999999999999997</v>
      </c>
      <c r="J44" s="312">
        <f>'TSP HG-ISO Run1'!L26</f>
        <v>106</v>
      </c>
      <c r="K44" s="312">
        <v>256</v>
      </c>
      <c r="L44" s="313">
        <v>251</v>
      </c>
      <c r="M44" s="313"/>
      <c r="N44" s="312">
        <v>39</v>
      </c>
      <c r="O44" s="312">
        <f>'TSP HG-ISO Run1'!J26</f>
        <v>78</v>
      </c>
      <c r="P44" s="311">
        <f t="shared" si="1"/>
        <v>78</v>
      </c>
      <c r="Q44" s="310">
        <v>4</v>
      </c>
      <c r="R44" s="310"/>
    </row>
    <row r="45" spans="1:18" ht="20.100000000000001" customHeight="1" x14ac:dyDescent="0.2">
      <c r="A45" s="315"/>
      <c r="B45" s="312">
        <f t="shared" si="2"/>
        <v>22</v>
      </c>
      <c r="C45" s="312">
        <f t="shared" si="3"/>
        <v>105</v>
      </c>
      <c r="D45" s="312">
        <f t="shared" si="4"/>
        <v>110</v>
      </c>
      <c r="E45" s="319">
        <v>0.51388888888888795</v>
      </c>
      <c r="F45" s="312">
        <v>891.28899999999999</v>
      </c>
      <c r="G45" s="317">
        <f>'TSP HG-ISO Run1'!H27</f>
        <v>0.05</v>
      </c>
      <c r="H45" s="427">
        <f>'TSP HG-ISO Run1'!I27</f>
        <v>2.25</v>
      </c>
      <c r="I45" s="428">
        <f t="shared" si="0"/>
        <v>2.25</v>
      </c>
      <c r="J45" s="312">
        <f>'TSP HG-ISO Run1'!L27</f>
        <v>106</v>
      </c>
      <c r="K45" s="312">
        <v>251</v>
      </c>
      <c r="L45" s="313">
        <v>253</v>
      </c>
      <c r="M45" s="313"/>
      <c r="N45" s="312">
        <v>39</v>
      </c>
      <c r="O45" s="312">
        <f>'TSP HG-ISO Run1'!J27</f>
        <v>78</v>
      </c>
      <c r="P45" s="311">
        <f t="shared" si="1"/>
        <v>78</v>
      </c>
      <c r="Q45" s="310">
        <v>4</v>
      </c>
      <c r="R45" s="310"/>
    </row>
    <row r="46" spans="1:18" ht="20.100000000000001" customHeight="1" x14ac:dyDescent="0.2">
      <c r="A46" s="315"/>
      <c r="B46" s="312">
        <f t="shared" si="2"/>
        <v>23</v>
      </c>
      <c r="C46" s="312">
        <f t="shared" si="3"/>
        <v>110</v>
      </c>
      <c r="D46" s="312">
        <f t="shared" si="4"/>
        <v>115</v>
      </c>
      <c r="E46" s="319">
        <v>0.51736111111111005</v>
      </c>
      <c r="F46" s="312">
        <v>895.86300000000006</v>
      </c>
      <c r="G46" s="317">
        <f>'TSP HG-ISO Run1'!H28</f>
        <v>4.4999999999999998E-2</v>
      </c>
      <c r="H46" s="427">
        <f>'TSP HG-ISO Run1'!I28</f>
        <v>2.0249999999999999</v>
      </c>
      <c r="I46" s="428">
        <f t="shared" si="0"/>
        <v>2.0249999999999999</v>
      </c>
      <c r="J46" s="312">
        <f>'TSP HG-ISO Run1'!L28</f>
        <v>106</v>
      </c>
      <c r="K46" s="312">
        <v>251</v>
      </c>
      <c r="L46" s="313">
        <v>254</v>
      </c>
      <c r="M46" s="313"/>
      <c r="N46" s="312">
        <v>40</v>
      </c>
      <c r="O46" s="312">
        <f>'TSP HG-ISO Run1'!J28</f>
        <v>77</v>
      </c>
      <c r="P46" s="311">
        <f t="shared" si="1"/>
        <v>77</v>
      </c>
      <c r="Q46" s="310">
        <v>4</v>
      </c>
      <c r="R46" s="310"/>
    </row>
    <row r="47" spans="1:18" ht="20.100000000000001" customHeight="1" x14ac:dyDescent="0.2">
      <c r="A47" s="315"/>
      <c r="B47" s="312">
        <f t="shared" si="2"/>
        <v>24</v>
      </c>
      <c r="C47" s="312">
        <f t="shared" si="3"/>
        <v>115</v>
      </c>
      <c r="D47" s="312">
        <f t="shared" si="4"/>
        <v>120</v>
      </c>
      <c r="E47" s="319">
        <v>0.52083333333333204</v>
      </c>
      <c r="F47" s="312">
        <v>900.43700000000001</v>
      </c>
      <c r="G47" s="317">
        <f>'TSP HG-ISO Run1'!H29</f>
        <v>4.4999999999999998E-2</v>
      </c>
      <c r="H47" s="427">
        <f>'TSP HG-ISO Run1'!I29</f>
        <v>2.0249999999999999</v>
      </c>
      <c r="I47" s="428">
        <f t="shared" si="0"/>
        <v>2.0249999999999999</v>
      </c>
      <c r="J47" s="312">
        <f>'TSP HG-ISO Run1'!L29</f>
        <v>105</v>
      </c>
      <c r="K47" s="312">
        <v>254</v>
      </c>
      <c r="L47" s="313">
        <v>254</v>
      </c>
      <c r="M47" s="313"/>
      <c r="N47" s="312">
        <v>41</v>
      </c>
      <c r="O47" s="312">
        <f>'TSP HG-ISO Run1'!J29</f>
        <v>77</v>
      </c>
      <c r="P47" s="311">
        <f t="shared" si="1"/>
        <v>77</v>
      </c>
      <c r="Q47" s="310">
        <v>4</v>
      </c>
      <c r="R47" s="310"/>
    </row>
    <row r="48" spans="1:18" ht="20.100000000000001" customHeight="1" x14ac:dyDescent="0.2">
      <c r="A48" s="315"/>
      <c r="B48" s="312"/>
      <c r="C48" s="312">
        <v>120</v>
      </c>
      <c r="D48" s="312"/>
      <c r="E48" s="426">
        <v>0.52430555555555558</v>
      </c>
      <c r="F48" s="312">
        <f>'TSP HG-ISO Run1'!E14</f>
        <v>905.01199999999994</v>
      </c>
      <c r="G48" s="317"/>
      <c r="H48" s="427"/>
      <c r="I48" s="428"/>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selectLockedCells="1"/>
  <protectedRanges>
    <protectedRange sqref="B24:R24 B48:R71 B25:E47 G25:R47" name="Range16"/>
    <protectedRange sqref="L14:M20" name="Range15"/>
    <protectedRange sqref="O7:O10" name="Range14"/>
    <protectedRange sqref="M7:M10" name="Range13"/>
    <protectedRange sqref="N6" name="Range12"/>
    <protectedRange sqref="O5" name="Range11"/>
    <protectedRange sqref="M5" name="Range10"/>
    <protectedRange sqref="H19:H20" name="Range9"/>
    <protectedRange sqref="H15:H17" name="Range8"/>
    <protectedRange sqref="I9:I12" name="Range7"/>
    <protectedRange sqref="G5:H6" name="Range6"/>
    <protectedRange sqref="D18:E20" name="Range5"/>
    <protectedRange sqref="D8:E15" name="Range4"/>
    <protectedRange sqref="D5:E6" name="Range3"/>
    <protectedRange sqref="D4" name="Range2"/>
    <protectedRange sqref="C2:N2" name="Range1"/>
    <protectedRange sqref="I4" name="Range17"/>
    <protectedRange sqref="Q13:Q14" name="Range18"/>
    <protectedRange sqref="Q20" name="Range19_2"/>
    <protectedRange sqref="F25:F46" name="Range18_2"/>
  </protectedRanges>
  <mergeCells count="73">
    <mergeCell ref="C2:N2"/>
    <mergeCell ref="B8:C8"/>
    <mergeCell ref="D8:E8"/>
    <mergeCell ref="J7:L7"/>
    <mergeCell ref="B7:E7"/>
    <mergeCell ref="B4:C4"/>
    <mergeCell ref="B5:C5"/>
    <mergeCell ref="J6:M6"/>
    <mergeCell ref="D6:E6"/>
    <mergeCell ref="D4:F4"/>
    <mergeCell ref="N22:N23"/>
    <mergeCell ref="J10:L10"/>
    <mergeCell ref="D5:E5"/>
    <mergeCell ref="G5:H5"/>
    <mergeCell ref="B6:C6"/>
    <mergeCell ref="N20:P20"/>
    <mergeCell ref="N13:P13"/>
    <mergeCell ref="J20:K20"/>
    <mergeCell ref="G6:H6"/>
    <mergeCell ref="B9:C9"/>
    <mergeCell ref="B11:C11"/>
    <mergeCell ref="B12:C12"/>
    <mergeCell ref="B14:C14"/>
    <mergeCell ref="F11:H11"/>
    <mergeCell ref="D11:E11"/>
    <mergeCell ref="D13:E13"/>
    <mergeCell ref="P2:Q2"/>
    <mergeCell ref="P3:S4"/>
    <mergeCell ref="J5:L5"/>
    <mergeCell ref="H22:I22"/>
    <mergeCell ref="F22:F23"/>
    <mergeCell ref="J9:L9"/>
    <mergeCell ref="R22:R23"/>
    <mergeCell ref="L22:M22"/>
    <mergeCell ref="J22:J23"/>
    <mergeCell ref="K22:K23"/>
    <mergeCell ref="O22:P22"/>
    <mergeCell ref="Q22:Q23"/>
    <mergeCell ref="N14:P14"/>
    <mergeCell ref="J8:L8"/>
    <mergeCell ref="J15:K15"/>
    <mergeCell ref="J18:K18"/>
    <mergeCell ref="D86:H86"/>
    <mergeCell ref="E22:E23"/>
    <mergeCell ref="D20:E20"/>
    <mergeCell ref="G22:G23"/>
    <mergeCell ref="F20:G20"/>
    <mergeCell ref="F12:H12"/>
    <mergeCell ref="D12:E12"/>
    <mergeCell ref="B10:C10"/>
    <mergeCell ref="F9:H9"/>
    <mergeCell ref="F10:H10"/>
    <mergeCell ref="D9:E9"/>
    <mergeCell ref="D10:E10"/>
    <mergeCell ref="B22:B23"/>
    <mergeCell ref="C22:D22"/>
    <mergeCell ref="B20:C20"/>
    <mergeCell ref="D19:E19"/>
    <mergeCell ref="D18:E18"/>
    <mergeCell ref="B18:C18"/>
    <mergeCell ref="B19:C19"/>
    <mergeCell ref="F19:G19"/>
    <mergeCell ref="F16:G16"/>
    <mergeCell ref="J16:K16"/>
    <mergeCell ref="J17:K17"/>
    <mergeCell ref="D15:E15"/>
    <mergeCell ref="J19:K19"/>
    <mergeCell ref="B15:C15"/>
    <mergeCell ref="F15:G15"/>
    <mergeCell ref="B13:C13"/>
    <mergeCell ref="J14:K14"/>
    <mergeCell ref="F17:G17"/>
    <mergeCell ref="D14:E14"/>
  </mergeCells>
  <dataValidations count="3">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formula1>"Yes,No"</formula1>
    </dataValidation>
  </dataValidations>
  <pageMargins left="0.45" right="0.45" top="0.5" bottom="0.5" header="0.3" footer="0.3"/>
  <pageSetup scale="55" orientation="landscape" r:id="rId1"/>
  <ignoredErrors>
    <ignoredError sqref="G24:G47 H24:H47 I24:I47 O24:P47 B26:D48 C25 F24 F48" unlockedFormula="1"/>
  </ignoredErrors>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topLeftCell="A17" zoomScale="70" zoomScaleNormal="70" zoomScaleSheetLayoutView="51" zoomScalePageLayoutView="38" workbookViewId="0">
      <selection activeCell="F25" sqref="F25:F47"/>
    </sheetView>
  </sheetViews>
  <sheetFormatPr defaultColWidth="16.109375" defaultRowHeight="20.100000000000001" customHeight="1" x14ac:dyDescent="0.2"/>
  <cols>
    <col min="1" max="1" width="2"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8.5546875"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0.5546875"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506" t="str">
        <f>IF(ISNUMBER(D6),IF('Data Sheet 1'!C2:N2="","",'Data Sheet 1'!C2:N2),"")</f>
        <v>NoSouth Sway</v>
      </c>
      <c r="D2" s="506"/>
      <c r="E2" s="506"/>
      <c r="F2" s="506"/>
      <c r="G2" s="506"/>
      <c r="H2" s="506"/>
      <c r="I2" s="506"/>
      <c r="J2" s="506"/>
      <c r="K2" s="506"/>
      <c r="L2" s="506"/>
      <c r="M2" s="506"/>
      <c r="N2" s="507"/>
      <c r="O2" s="303"/>
      <c r="P2" s="475" t="s">
        <v>357</v>
      </c>
      <c r="Q2" s="475"/>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8" t="str">
        <f>IF(ISNUMBER(D6),IF('Data Sheet 1'!D4:F4="","",'Data Sheet 1'!D4:F4),"")</f>
        <v>Scrubber (Boiler 7)</v>
      </c>
      <c r="E4" s="508"/>
      <c r="F4" s="508"/>
      <c r="G4" s="384"/>
      <c r="H4" s="383" t="s">
        <v>354</v>
      </c>
      <c r="I4" s="398" t="str">
        <f>IF(ISNUMBER(D6),IF('Data Sheet 1'!I4="","",'Data Sheet 1'!I4),"")</f>
        <v>PM/Metals</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f>'TSP HG-ISO Run2'!C9</f>
        <v>2</v>
      </c>
      <c r="E5" s="485"/>
      <c r="F5" s="378" t="s">
        <v>349</v>
      </c>
      <c r="G5" s="486" t="str">
        <f>IF(ISNUMBER(D6),IF('Data Sheet 1'!G5:H5="","",'Data Sheet 1'!G5:H5),"")</f>
        <v>TWB</v>
      </c>
      <c r="H5" s="486"/>
      <c r="I5" s="367"/>
      <c r="J5" s="469" t="s">
        <v>348</v>
      </c>
      <c r="K5" s="459"/>
      <c r="L5" s="459"/>
      <c r="M5" s="376">
        <v>15</v>
      </c>
      <c r="N5" s="367"/>
      <c r="O5" s="375">
        <v>7</v>
      </c>
      <c r="P5" s="303"/>
      <c r="Q5" s="303"/>
      <c r="R5" s="303"/>
      <c r="S5" s="303"/>
    </row>
    <row r="6" spans="1:19" s="366" customFormat="1" ht="20.100000000000001" customHeight="1" thickBot="1" x14ac:dyDescent="0.3">
      <c r="A6" s="370"/>
      <c r="B6" s="487" t="s">
        <v>347</v>
      </c>
      <c r="C6" s="488"/>
      <c r="D6" s="503">
        <f>'TSP HG-ISO Run2'!C7</f>
        <v>41855</v>
      </c>
      <c r="E6" s="503"/>
      <c r="F6" s="374" t="s">
        <v>346</v>
      </c>
      <c r="G6" s="493" t="str">
        <f>IF(ISNUMBER(D6),IF('Data Sheet 1'!G6:H6="","",'Data Sheet 1'!G6:H6),"")</f>
        <v>BB019012.0000</v>
      </c>
      <c r="H6" s="493"/>
      <c r="I6" s="397"/>
      <c r="J6" s="457" t="s">
        <v>345</v>
      </c>
      <c r="K6" s="458"/>
      <c r="L6" s="458"/>
      <c r="M6" s="458"/>
      <c r="N6" s="372"/>
      <c r="O6" s="371"/>
      <c r="P6" s="303"/>
      <c r="Q6" s="303"/>
      <c r="R6" s="326"/>
      <c r="S6" s="303"/>
    </row>
    <row r="7" spans="1:19" s="366" customFormat="1" ht="20.100000000000001" customHeight="1" thickBot="1" x14ac:dyDescent="0.3">
      <c r="A7" s="370"/>
      <c r="B7" s="499" t="s">
        <v>344</v>
      </c>
      <c r="C7" s="455"/>
      <c r="D7" s="455"/>
      <c r="E7" s="500"/>
      <c r="F7" s="303"/>
      <c r="G7" s="303"/>
      <c r="H7" s="303"/>
      <c r="I7" s="303"/>
      <c r="J7" s="469" t="s">
        <v>343</v>
      </c>
      <c r="K7" s="459"/>
      <c r="L7" s="459"/>
      <c r="M7" s="368">
        <v>1E-3</v>
      </c>
      <c r="N7" s="367"/>
      <c r="O7" s="368">
        <v>1E-3</v>
      </c>
      <c r="P7" s="303"/>
      <c r="Q7" s="303"/>
      <c r="R7" s="303"/>
      <c r="S7" s="303"/>
    </row>
    <row r="8" spans="1:19" ht="20.100000000000001" customHeight="1" thickBot="1" x14ac:dyDescent="0.3">
      <c r="A8" s="318"/>
      <c r="B8" s="454" t="s">
        <v>342</v>
      </c>
      <c r="C8" s="496"/>
      <c r="D8" s="497" t="s">
        <v>451</v>
      </c>
      <c r="E8" s="498"/>
      <c r="F8" s="365" t="s">
        <v>341</v>
      </c>
      <c r="G8" s="350"/>
      <c r="H8" s="350"/>
      <c r="I8" s="350"/>
      <c r="J8" s="469" t="s">
        <v>340</v>
      </c>
      <c r="K8" s="459"/>
      <c r="L8" s="459"/>
      <c r="M8" s="364" t="s">
        <v>419</v>
      </c>
      <c r="N8" s="363"/>
      <c r="O8" s="364" t="s">
        <v>419</v>
      </c>
      <c r="P8" s="326"/>
      <c r="Q8" s="326"/>
      <c r="R8" s="326"/>
      <c r="S8" s="326"/>
    </row>
    <row r="9" spans="1:19" ht="20.100000000000001" customHeight="1" thickBot="1" x14ac:dyDescent="0.3">
      <c r="A9" s="318"/>
      <c r="B9" s="454" t="s">
        <v>339</v>
      </c>
      <c r="C9" s="455"/>
      <c r="D9" s="470" t="s">
        <v>452</v>
      </c>
      <c r="E9" s="471"/>
      <c r="F9" s="454" t="s">
        <v>338</v>
      </c>
      <c r="G9" s="455"/>
      <c r="H9" s="455"/>
      <c r="I9" s="429">
        <f>'TSP HG-ISO Run2'!E23</f>
        <v>0.99</v>
      </c>
      <c r="J9" s="469" t="s">
        <v>337</v>
      </c>
      <c r="K9" s="459"/>
      <c r="L9" s="459"/>
      <c r="M9" s="364" t="s">
        <v>419</v>
      </c>
      <c r="N9" s="363"/>
      <c r="O9" s="364" t="s">
        <v>419</v>
      </c>
      <c r="P9" s="326"/>
      <c r="Q9" s="326"/>
      <c r="R9" s="326"/>
      <c r="S9" s="326"/>
    </row>
    <row r="10" spans="1:19" ht="20.100000000000001" customHeight="1" thickBot="1" x14ac:dyDescent="0.4">
      <c r="A10" s="318"/>
      <c r="B10" s="454" t="s">
        <v>336</v>
      </c>
      <c r="C10" s="455"/>
      <c r="D10" s="470">
        <v>1</v>
      </c>
      <c r="E10" s="471"/>
      <c r="F10" s="457" t="s">
        <v>335</v>
      </c>
      <c r="G10" s="458"/>
      <c r="H10" s="458"/>
      <c r="I10" s="395">
        <v>1.63</v>
      </c>
      <c r="J10" s="463" t="s">
        <v>334</v>
      </c>
      <c r="K10" s="464"/>
      <c r="L10" s="464"/>
      <c r="M10" s="360" t="s">
        <v>419</v>
      </c>
      <c r="N10" s="359"/>
      <c r="O10" s="360" t="s">
        <v>419</v>
      </c>
      <c r="P10" s="326"/>
      <c r="Q10" s="326"/>
      <c r="R10" s="326"/>
      <c r="S10" s="326"/>
    </row>
    <row r="11" spans="1:19" ht="20.100000000000001" customHeight="1" thickBot="1" x14ac:dyDescent="0.3">
      <c r="A11" s="318"/>
      <c r="B11" s="457" t="s">
        <v>333</v>
      </c>
      <c r="C11" s="458"/>
      <c r="D11" s="465" t="s">
        <v>450</v>
      </c>
      <c r="E11" s="466"/>
      <c r="F11" s="457" t="s">
        <v>332</v>
      </c>
      <c r="G11" s="458"/>
      <c r="H11" s="458"/>
      <c r="I11" s="357">
        <f>'TSP HG-ISO Run2'!E22</f>
        <v>0.83</v>
      </c>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f>'TSP HG-ISO Run2'!E21</f>
        <v>0.502</v>
      </c>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t="s">
        <v>420</v>
      </c>
      <c r="R13" s="326"/>
      <c r="S13" s="326"/>
    </row>
    <row r="14" spans="1:19" ht="20.100000000000001" customHeight="1" thickBot="1" x14ac:dyDescent="0.3">
      <c r="A14" s="318"/>
      <c r="B14" s="454" t="s">
        <v>324</v>
      </c>
      <c r="C14" s="455"/>
      <c r="D14" s="470">
        <v>128</v>
      </c>
      <c r="E14" s="471"/>
      <c r="F14" s="394" t="s">
        <v>323</v>
      </c>
      <c r="G14" s="350"/>
      <c r="H14" s="349"/>
      <c r="I14" s="326"/>
      <c r="J14" s="457" t="s">
        <v>322</v>
      </c>
      <c r="K14" s="458"/>
      <c r="L14" s="348">
        <f>'TSP HG-ISO Run2'!J39</f>
        <v>541.4</v>
      </c>
      <c r="M14" s="347">
        <f>'TSP HG-ISO Run2'!I39</f>
        <v>593.1</v>
      </c>
      <c r="N14" s="483" t="s">
        <v>321</v>
      </c>
      <c r="O14" s="483"/>
      <c r="P14" s="483"/>
      <c r="Q14" s="346"/>
      <c r="R14" s="326"/>
      <c r="S14" s="303"/>
    </row>
    <row r="15" spans="1:19" ht="20.100000000000001" customHeight="1" thickBot="1" x14ac:dyDescent="0.3">
      <c r="A15" s="318"/>
      <c r="B15" s="454" t="s">
        <v>320</v>
      </c>
      <c r="C15" s="455"/>
      <c r="D15" s="460" t="s">
        <v>453</v>
      </c>
      <c r="E15" s="461"/>
      <c r="F15" s="505" t="s">
        <v>319</v>
      </c>
      <c r="G15" s="456"/>
      <c r="H15" s="423">
        <f>'TSP HG-ISO Run2'!E18</f>
        <v>30.02</v>
      </c>
      <c r="I15" s="326"/>
      <c r="J15" s="454" t="s">
        <v>318</v>
      </c>
      <c r="K15" s="455"/>
      <c r="L15" s="335">
        <f>'TSP HG-ISO Run2'!J40</f>
        <v>688.8</v>
      </c>
      <c r="M15" s="334">
        <f>'TSP HG-ISO Run2'!I40</f>
        <v>820.1</v>
      </c>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f>'TSP HG-ISO Run2'!J41</f>
        <v>804.5</v>
      </c>
      <c r="M16" s="334">
        <f>'TSP HG-ISO Run2'!I41</f>
        <v>847.9</v>
      </c>
      <c r="N16" s="326"/>
      <c r="O16" s="326"/>
      <c r="P16" s="326"/>
      <c r="Q16" s="333"/>
      <c r="R16" s="326"/>
      <c r="S16" s="326"/>
    </row>
    <row r="17" spans="1:19" ht="20.100000000000001" customHeight="1" thickBot="1" x14ac:dyDescent="0.3">
      <c r="A17" s="318"/>
      <c r="B17" s="344" t="s">
        <v>315</v>
      </c>
      <c r="C17" s="339"/>
      <c r="D17" s="326"/>
      <c r="E17" s="333"/>
      <c r="F17" s="469" t="s">
        <v>314</v>
      </c>
      <c r="G17" s="459"/>
      <c r="H17" s="343">
        <f>'TSP HG-ISO Run2'!E17</f>
        <v>-8.5000000000000006E-2</v>
      </c>
      <c r="I17" s="326"/>
      <c r="J17" s="454" t="s">
        <v>313</v>
      </c>
      <c r="K17" s="455"/>
      <c r="L17" s="335">
        <f>'TSP HG-ISO Run2'!J42</f>
        <v>651.4</v>
      </c>
      <c r="M17" s="334">
        <f>'TSP HG-ISO Run2'!I42</f>
        <v>659.8</v>
      </c>
      <c r="N17" s="326"/>
      <c r="O17" s="326"/>
      <c r="P17" s="326"/>
      <c r="Q17" s="333"/>
      <c r="R17" s="326"/>
      <c r="S17" s="326"/>
    </row>
    <row r="18" spans="1:19" ht="20.100000000000001" customHeight="1" thickBot="1" x14ac:dyDescent="0.3">
      <c r="A18" s="318"/>
      <c r="B18" s="469" t="s">
        <v>312</v>
      </c>
      <c r="C18" s="459"/>
      <c r="D18" s="467" t="s">
        <v>449</v>
      </c>
      <c r="E18" s="468"/>
      <c r="F18" s="393" t="s">
        <v>311</v>
      </c>
      <c r="G18" s="339"/>
      <c r="H18" s="338"/>
      <c r="I18" s="326"/>
      <c r="J18" s="457" t="s">
        <v>310</v>
      </c>
      <c r="K18" s="458"/>
      <c r="L18" s="335">
        <f>'TSP HG-ISO Run2'!J43</f>
        <v>728.5</v>
      </c>
      <c r="M18" s="334">
        <f>'TSP HG-ISO Run2'!I43</f>
        <v>734.2</v>
      </c>
      <c r="N18" s="326"/>
      <c r="O18" s="326"/>
      <c r="P18" s="326"/>
      <c r="Q18" s="333"/>
      <c r="R18" s="326"/>
      <c r="S18" s="326"/>
    </row>
    <row r="19" spans="1:19" ht="20.100000000000001" customHeight="1" thickBot="1" x14ac:dyDescent="0.4">
      <c r="A19" s="318"/>
      <c r="B19" s="469" t="s">
        <v>309</v>
      </c>
      <c r="C19" s="459"/>
      <c r="D19" s="465"/>
      <c r="E19" s="466"/>
      <c r="F19" s="469" t="s">
        <v>308</v>
      </c>
      <c r="G19" s="459"/>
      <c r="H19" s="423">
        <f>'TSP HG-ISO Run2'!E20</f>
        <v>12.26253591954023</v>
      </c>
      <c r="I19" s="326"/>
      <c r="J19" s="454" t="s">
        <v>307</v>
      </c>
      <c r="K19" s="455"/>
      <c r="L19" s="335">
        <f>'TSP HG-ISO Run2'!J44</f>
        <v>769.4</v>
      </c>
      <c r="M19" s="334">
        <f>'TSP HG-ISO Run2'!I44</f>
        <v>771.6</v>
      </c>
      <c r="N19" s="326"/>
      <c r="O19" s="326"/>
      <c r="P19" s="326"/>
      <c r="Q19" s="333"/>
      <c r="R19" s="326"/>
      <c r="S19" s="326"/>
    </row>
    <row r="20" spans="1:19" ht="20.100000000000001" customHeight="1" thickBot="1" x14ac:dyDescent="0.4">
      <c r="A20" s="318"/>
      <c r="B20" s="463" t="s">
        <v>306</v>
      </c>
      <c r="C20" s="464"/>
      <c r="D20" s="473"/>
      <c r="E20" s="474"/>
      <c r="F20" s="463" t="s">
        <v>305</v>
      </c>
      <c r="G20" s="464"/>
      <c r="H20" s="356">
        <f>'TSP HG-ISO Run2'!E19</f>
        <v>7.503079096045207</v>
      </c>
      <c r="I20" s="326"/>
      <c r="J20" s="491" t="s">
        <v>304</v>
      </c>
      <c r="K20" s="492"/>
      <c r="L20" s="424">
        <f>'TSP HG-ISO Run2'!J45</f>
        <v>909</v>
      </c>
      <c r="M20" s="425">
        <f>'TSP HG-ISO Run2'!I45</f>
        <v>927.5</v>
      </c>
      <c r="N20" s="489" t="s">
        <v>303</v>
      </c>
      <c r="O20" s="489"/>
      <c r="P20" s="489"/>
      <c r="Q20" s="327">
        <f>(M14-L14)+(M15-L15)+(M16-L16)+(M17-L17)+(M18-L18)+(M19-L19)+(M20-L20)</f>
        <v>261.20000000000016</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12">
        <v>1</v>
      </c>
      <c r="C24" s="312">
        <v>0</v>
      </c>
      <c r="D24" s="312">
        <v>5</v>
      </c>
      <c r="E24" s="319" t="s">
        <v>421</v>
      </c>
      <c r="F24" s="312">
        <f>'TSP HG-ISO Run1'!E13</f>
        <v>795.23500000000001</v>
      </c>
      <c r="G24" s="317">
        <f>'TSP HG-ISO Run2'!H6</f>
        <v>0.05</v>
      </c>
      <c r="H24" s="427">
        <f>'TSP HG-ISO Run2'!I6</f>
        <v>2.3000000000000003</v>
      </c>
      <c r="I24" s="428">
        <f>+H24</f>
        <v>2.3000000000000003</v>
      </c>
      <c r="J24" s="312">
        <f>'TSP HG-ISO Run2'!L6</f>
        <v>107</v>
      </c>
      <c r="K24" s="312">
        <v>245</v>
      </c>
      <c r="L24" s="313">
        <v>248</v>
      </c>
      <c r="M24" s="313"/>
      <c r="N24" s="312">
        <v>40</v>
      </c>
      <c r="O24" s="312">
        <f>'TSP HG-ISO Run2'!J6</f>
        <v>74</v>
      </c>
      <c r="P24" s="311">
        <f>O24</f>
        <v>74</v>
      </c>
      <c r="Q24" s="310">
        <v>2</v>
      </c>
      <c r="R24" s="310"/>
    </row>
    <row r="25" spans="1:19" ht="20.100000000000001" customHeight="1" x14ac:dyDescent="0.2">
      <c r="A25" s="318"/>
      <c r="B25" s="312">
        <v>2</v>
      </c>
      <c r="C25" s="312">
        <f>D24</f>
        <v>5</v>
      </c>
      <c r="D25" s="312">
        <v>10</v>
      </c>
      <c r="E25" s="319" t="s">
        <v>433</v>
      </c>
      <c r="F25" s="312">
        <v>804.61599999999999</v>
      </c>
      <c r="G25" s="317">
        <f>'TSP HG-ISO Run2'!H7</f>
        <v>0.05</v>
      </c>
      <c r="H25" s="427">
        <f>'TSP HG-ISO Run2'!I7</f>
        <v>2.3000000000000003</v>
      </c>
      <c r="I25" s="428">
        <f t="shared" ref="I25:I47" si="0">+H25</f>
        <v>2.3000000000000003</v>
      </c>
      <c r="J25" s="312">
        <f>'TSP HG-ISO Run2'!L7</f>
        <v>107</v>
      </c>
      <c r="K25" s="312">
        <v>245</v>
      </c>
      <c r="L25" s="313">
        <v>248</v>
      </c>
      <c r="M25" s="313"/>
      <c r="N25" s="390">
        <v>41</v>
      </c>
      <c r="O25" s="312">
        <f>'TSP HG-ISO Run2'!J7</f>
        <v>75</v>
      </c>
      <c r="P25" s="311">
        <f t="shared" ref="P25:P47" si="1">O25</f>
        <v>75</v>
      </c>
      <c r="Q25" s="310">
        <v>2</v>
      </c>
      <c r="R25" s="389"/>
    </row>
    <row r="26" spans="1:19" ht="20.100000000000001" customHeight="1" x14ac:dyDescent="0.2">
      <c r="A26" s="315"/>
      <c r="B26" s="312">
        <f>+B25+1</f>
        <v>3</v>
      </c>
      <c r="C26" s="312">
        <f>D25</f>
        <v>10</v>
      </c>
      <c r="D26" s="312">
        <f>+D25+5</f>
        <v>15</v>
      </c>
      <c r="E26" s="319" t="s">
        <v>422</v>
      </c>
      <c r="F26" s="312">
        <v>813.99699999999996</v>
      </c>
      <c r="G26" s="317">
        <f>'TSP HG-ISO Run2'!H8</f>
        <v>6.5000000000000002E-2</v>
      </c>
      <c r="H26" s="427">
        <f>'TSP HG-ISO Run2'!I8</f>
        <v>2.99</v>
      </c>
      <c r="I26" s="428">
        <f t="shared" si="0"/>
        <v>2.99</v>
      </c>
      <c r="J26" s="312">
        <f>'TSP HG-ISO Run2'!L8</f>
        <v>109</v>
      </c>
      <c r="K26" s="312">
        <v>245</v>
      </c>
      <c r="L26" s="313">
        <v>248</v>
      </c>
      <c r="M26" s="313"/>
      <c r="N26" s="390">
        <v>41</v>
      </c>
      <c r="O26" s="312">
        <f>'TSP HG-ISO Run2'!J8</f>
        <v>75</v>
      </c>
      <c r="P26" s="311">
        <f t="shared" si="1"/>
        <v>75</v>
      </c>
      <c r="Q26" s="310">
        <v>2</v>
      </c>
      <c r="R26" s="389"/>
    </row>
    <row r="27" spans="1:19" ht="20.100000000000001" customHeight="1" x14ac:dyDescent="0.2">
      <c r="A27" s="315"/>
      <c r="B27" s="312">
        <f t="shared" ref="B27:B47" si="2">+B26+1</f>
        <v>4</v>
      </c>
      <c r="C27" s="312">
        <f t="shared" ref="C27:C47" si="3">D26</f>
        <v>15</v>
      </c>
      <c r="D27" s="312">
        <f t="shared" ref="D27:D47" si="4">+D26+5</f>
        <v>20</v>
      </c>
      <c r="E27" s="319" t="s">
        <v>434</v>
      </c>
      <c r="F27" s="312">
        <v>823.37800000000004</v>
      </c>
      <c r="G27" s="317">
        <f>'TSP HG-ISO Run2'!H9</f>
        <v>0.06</v>
      </c>
      <c r="H27" s="427">
        <f>'TSP HG-ISO Run2'!I9</f>
        <v>2.76</v>
      </c>
      <c r="I27" s="428">
        <f t="shared" si="0"/>
        <v>2.76</v>
      </c>
      <c r="J27" s="312">
        <f>'TSP HG-ISO Run2'!L9</f>
        <v>108</v>
      </c>
      <c r="K27" s="312">
        <v>245</v>
      </c>
      <c r="L27" s="313">
        <v>248</v>
      </c>
      <c r="M27" s="313"/>
      <c r="N27" s="390">
        <v>41</v>
      </c>
      <c r="O27" s="312">
        <f>'TSP HG-ISO Run2'!J9</f>
        <v>75</v>
      </c>
      <c r="P27" s="311">
        <f t="shared" si="1"/>
        <v>75</v>
      </c>
      <c r="Q27" s="310">
        <v>2</v>
      </c>
      <c r="R27" s="389"/>
    </row>
    <row r="28" spans="1:19" ht="20.100000000000001" customHeight="1" x14ac:dyDescent="0.2">
      <c r="A28" s="315"/>
      <c r="B28" s="312">
        <f t="shared" si="2"/>
        <v>5</v>
      </c>
      <c r="C28" s="312">
        <f t="shared" si="3"/>
        <v>20</v>
      </c>
      <c r="D28" s="312">
        <f t="shared" si="4"/>
        <v>25</v>
      </c>
      <c r="E28" s="319" t="s">
        <v>423</v>
      </c>
      <c r="F28" s="312">
        <v>832.75900000000001</v>
      </c>
      <c r="G28" s="317">
        <f>'TSP HG-ISO Run2'!H10</f>
        <v>0.06</v>
      </c>
      <c r="H28" s="427">
        <f>'TSP HG-ISO Run2'!I10</f>
        <v>2.76</v>
      </c>
      <c r="I28" s="428">
        <f t="shared" si="0"/>
        <v>2.76</v>
      </c>
      <c r="J28" s="312">
        <f>'TSP HG-ISO Run2'!L10</f>
        <v>108</v>
      </c>
      <c r="K28" s="312">
        <v>245</v>
      </c>
      <c r="L28" s="313">
        <v>248</v>
      </c>
      <c r="M28" s="313"/>
      <c r="N28" s="390">
        <v>40</v>
      </c>
      <c r="O28" s="312">
        <f>'TSP HG-ISO Run2'!J10</f>
        <v>75</v>
      </c>
      <c r="P28" s="311">
        <f t="shared" si="1"/>
        <v>75</v>
      </c>
      <c r="Q28" s="310">
        <v>2</v>
      </c>
      <c r="R28" s="389"/>
    </row>
    <row r="29" spans="1:19" ht="20.100000000000001" customHeight="1" x14ac:dyDescent="0.2">
      <c r="A29" s="315"/>
      <c r="B29" s="312">
        <f t="shared" si="2"/>
        <v>6</v>
      </c>
      <c r="C29" s="312">
        <f t="shared" si="3"/>
        <v>25</v>
      </c>
      <c r="D29" s="312">
        <f t="shared" si="4"/>
        <v>30</v>
      </c>
      <c r="E29" s="319" t="s">
        <v>435</v>
      </c>
      <c r="F29" s="312">
        <v>842.14</v>
      </c>
      <c r="G29" s="317">
        <f>'TSP HG-ISO Run2'!H11</f>
        <v>0.06</v>
      </c>
      <c r="H29" s="427">
        <f>'TSP HG-ISO Run2'!I11</f>
        <v>2.76</v>
      </c>
      <c r="I29" s="428">
        <f t="shared" si="0"/>
        <v>2.76</v>
      </c>
      <c r="J29" s="312">
        <f>'TSP HG-ISO Run2'!L11</f>
        <v>109</v>
      </c>
      <c r="K29" s="312">
        <v>245</v>
      </c>
      <c r="L29" s="313">
        <v>248</v>
      </c>
      <c r="M29" s="313"/>
      <c r="N29" s="390">
        <v>40</v>
      </c>
      <c r="O29" s="312">
        <f>'TSP HG-ISO Run2'!J11</f>
        <v>76</v>
      </c>
      <c r="P29" s="311">
        <f t="shared" si="1"/>
        <v>76</v>
      </c>
      <c r="Q29" s="310">
        <v>2</v>
      </c>
      <c r="R29" s="389"/>
    </row>
    <row r="30" spans="1:19" ht="20.100000000000001" customHeight="1" x14ac:dyDescent="0.2">
      <c r="A30" s="315"/>
      <c r="B30" s="312">
        <f t="shared" si="2"/>
        <v>7</v>
      </c>
      <c r="C30" s="312">
        <f t="shared" si="3"/>
        <v>30</v>
      </c>
      <c r="D30" s="312">
        <f t="shared" si="4"/>
        <v>35</v>
      </c>
      <c r="E30" s="319" t="s">
        <v>424</v>
      </c>
      <c r="F30" s="312">
        <v>851.52099999999996</v>
      </c>
      <c r="G30" s="317">
        <f>'TSP HG-ISO Run2'!H12</f>
        <v>5.5E-2</v>
      </c>
      <c r="H30" s="427">
        <f>'TSP HG-ISO Run2'!I12</f>
        <v>2.5299999999999998</v>
      </c>
      <c r="I30" s="428">
        <f t="shared" si="0"/>
        <v>2.5299999999999998</v>
      </c>
      <c r="J30" s="312">
        <f>'TSP HG-ISO Run2'!L12</f>
        <v>108</v>
      </c>
      <c r="K30" s="312">
        <v>245</v>
      </c>
      <c r="L30" s="313">
        <v>248</v>
      </c>
      <c r="M30" s="313"/>
      <c r="N30" s="390">
        <v>41</v>
      </c>
      <c r="O30" s="312">
        <f>'TSP HG-ISO Run2'!J12</f>
        <v>76</v>
      </c>
      <c r="P30" s="311">
        <f t="shared" si="1"/>
        <v>76</v>
      </c>
      <c r="Q30" s="310">
        <v>2</v>
      </c>
      <c r="R30" s="389"/>
    </row>
    <row r="31" spans="1:19" ht="20.100000000000001" customHeight="1" x14ac:dyDescent="0.2">
      <c r="A31" s="315"/>
      <c r="B31" s="312">
        <f t="shared" si="2"/>
        <v>8</v>
      </c>
      <c r="C31" s="312">
        <f t="shared" si="3"/>
        <v>35</v>
      </c>
      <c r="D31" s="312">
        <f t="shared" si="4"/>
        <v>40</v>
      </c>
      <c r="E31" s="319" t="s">
        <v>436</v>
      </c>
      <c r="F31" s="312">
        <v>860.90200000000004</v>
      </c>
      <c r="G31" s="317">
        <f>'TSP HG-ISO Run2'!H13</f>
        <v>5.5E-2</v>
      </c>
      <c r="H31" s="427">
        <f>'TSP HG-ISO Run2'!I13</f>
        <v>2.5299999999999998</v>
      </c>
      <c r="I31" s="428">
        <f t="shared" si="0"/>
        <v>2.5299999999999998</v>
      </c>
      <c r="J31" s="312">
        <f>'TSP HG-ISO Run2'!L13</f>
        <v>108</v>
      </c>
      <c r="K31" s="312">
        <v>245</v>
      </c>
      <c r="L31" s="313">
        <v>248</v>
      </c>
      <c r="M31" s="313"/>
      <c r="N31" s="390">
        <v>36</v>
      </c>
      <c r="O31" s="312">
        <f>'TSP HG-ISO Run2'!J13</f>
        <v>76</v>
      </c>
      <c r="P31" s="311">
        <f t="shared" si="1"/>
        <v>76</v>
      </c>
      <c r="Q31" s="310">
        <v>2</v>
      </c>
      <c r="R31" s="389"/>
    </row>
    <row r="32" spans="1:19" ht="20.100000000000001" customHeight="1" x14ac:dyDescent="0.2">
      <c r="A32" s="315"/>
      <c r="B32" s="312">
        <f t="shared" si="2"/>
        <v>9</v>
      </c>
      <c r="C32" s="312">
        <f t="shared" si="3"/>
        <v>40</v>
      </c>
      <c r="D32" s="312">
        <f t="shared" si="4"/>
        <v>45</v>
      </c>
      <c r="E32" s="319" t="s">
        <v>425</v>
      </c>
      <c r="F32" s="312">
        <v>870.28300000000002</v>
      </c>
      <c r="G32" s="317">
        <f>'TSP HG-ISO Run2'!H14</f>
        <v>0.06</v>
      </c>
      <c r="H32" s="427">
        <f>'TSP HG-ISO Run2'!I14</f>
        <v>2.76</v>
      </c>
      <c r="I32" s="428">
        <f t="shared" si="0"/>
        <v>2.76</v>
      </c>
      <c r="J32" s="312">
        <f>'TSP HG-ISO Run2'!L14</f>
        <v>108</v>
      </c>
      <c r="K32" s="312">
        <v>245</v>
      </c>
      <c r="L32" s="313">
        <v>248</v>
      </c>
      <c r="M32" s="313"/>
      <c r="N32" s="390">
        <v>37</v>
      </c>
      <c r="O32" s="312">
        <f>'TSP HG-ISO Run2'!J14</f>
        <v>77</v>
      </c>
      <c r="P32" s="311">
        <f t="shared" si="1"/>
        <v>77</v>
      </c>
      <c r="Q32" s="310">
        <v>2</v>
      </c>
      <c r="R32" s="389"/>
    </row>
    <row r="33" spans="1:18" ht="20.100000000000001" customHeight="1" x14ac:dyDescent="0.2">
      <c r="A33" s="315"/>
      <c r="B33" s="312">
        <f t="shared" si="2"/>
        <v>10</v>
      </c>
      <c r="C33" s="312">
        <f t="shared" si="3"/>
        <v>45</v>
      </c>
      <c r="D33" s="312">
        <f t="shared" si="4"/>
        <v>50</v>
      </c>
      <c r="E33" s="319" t="s">
        <v>437</v>
      </c>
      <c r="F33" s="312">
        <v>879.66399999999999</v>
      </c>
      <c r="G33" s="317">
        <f>'TSP HG-ISO Run2'!H15</f>
        <v>5.5E-2</v>
      </c>
      <c r="H33" s="427">
        <f>'TSP HG-ISO Run2'!I15</f>
        <v>2.5299999999999998</v>
      </c>
      <c r="I33" s="428">
        <f t="shared" si="0"/>
        <v>2.5299999999999998</v>
      </c>
      <c r="J33" s="312">
        <f>'TSP HG-ISO Run2'!L15</f>
        <v>108</v>
      </c>
      <c r="K33" s="312">
        <v>245</v>
      </c>
      <c r="L33" s="313">
        <v>248</v>
      </c>
      <c r="M33" s="313"/>
      <c r="N33" s="390">
        <v>38</v>
      </c>
      <c r="O33" s="312">
        <f>'TSP HG-ISO Run2'!J15</f>
        <v>77</v>
      </c>
      <c r="P33" s="311">
        <f t="shared" si="1"/>
        <v>77</v>
      </c>
      <c r="Q33" s="310">
        <v>2</v>
      </c>
      <c r="R33" s="389"/>
    </row>
    <row r="34" spans="1:18" ht="20.100000000000001" customHeight="1" x14ac:dyDescent="0.2">
      <c r="A34" s="315"/>
      <c r="B34" s="312">
        <f t="shared" si="2"/>
        <v>11</v>
      </c>
      <c r="C34" s="312">
        <f t="shared" si="3"/>
        <v>50</v>
      </c>
      <c r="D34" s="312">
        <f t="shared" si="4"/>
        <v>55</v>
      </c>
      <c r="E34" s="319" t="s">
        <v>426</v>
      </c>
      <c r="F34" s="312">
        <v>889.04499999999996</v>
      </c>
      <c r="G34" s="317">
        <f>'TSP HG-ISO Run2'!H16</f>
        <v>4.4999999999999998E-2</v>
      </c>
      <c r="H34" s="427">
        <f>'TSP HG-ISO Run2'!I16</f>
        <v>2.0699999999999998</v>
      </c>
      <c r="I34" s="428">
        <f t="shared" si="0"/>
        <v>2.0699999999999998</v>
      </c>
      <c r="J34" s="312">
        <f>'TSP HG-ISO Run2'!L16</f>
        <v>108</v>
      </c>
      <c r="K34" s="312">
        <v>245</v>
      </c>
      <c r="L34" s="313">
        <v>248</v>
      </c>
      <c r="M34" s="313"/>
      <c r="N34" s="390">
        <v>39</v>
      </c>
      <c r="O34" s="312">
        <f>'TSP HG-ISO Run2'!J16</f>
        <v>77</v>
      </c>
      <c r="P34" s="311">
        <f t="shared" si="1"/>
        <v>77</v>
      </c>
      <c r="Q34" s="310">
        <v>2</v>
      </c>
      <c r="R34" s="389"/>
    </row>
    <row r="35" spans="1:18" ht="20.100000000000001" customHeight="1" x14ac:dyDescent="0.2">
      <c r="A35" s="315"/>
      <c r="B35" s="312">
        <f t="shared" si="2"/>
        <v>12</v>
      </c>
      <c r="C35" s="312">
        <f t="shared" si="3"/>
        <v>55</v>
      </c>
      <c r="D35" s="312">
        <f t="shared" si="4"/>
        <v>60</v>
      </c>
      <c r="E35" s="319" t="s">
        <v>438</v>
      </c>
      <c r="F35" s="312">
        <v>898.42600000000004</v>
      </c>
      <c r="G35" s="317">
        <f>'TSP HG-ISO Run2'!H17</f>
        <v>4.4999999999999998E-2</v>
      </c>
      <c r="H35" s="427">
        <f>'TSP HG-ISO Run2'!I17</f>
        <v>2.0699999999999998</v>
      </c>
      <c r="I35" s="428">
        <f t="shared" si="0"/>
        <v>2.0699999999999998</v>
      </c>
      <c r="J35" s="312">
        <f>'TSP HG-ISO Run2'!L17</f>
        <v>108</v>
      </c>
      <c r="K35" s="312">
        <v>245</v>
      </c>
      <c r="L35" s="313">
        <v>248</v>
      </c>
      <c r="M35" s="313"/>
      <c r="N35" s="390">
        <v>39</v>
      </c>
      <c r="O35" s="312">
        <f>'TSP HG-ISO Run2'!J17</f>
        <v>77</v>
      </c>
      <c r="P35" s="311">
        <f t="shared" si="1"/>
        <v>77</v>
      </c>
      <c r="Q35" s="310">
        <v>2</v>
      </c>
      <c r="R35" s="389"/>
    </row>
    <row r="36" spans="1:18" ht="20.100000000000001" customHeight="1" x14ac:dyDescent="0.2">
      <c r="A36" s="315"/>
      <c r="B36" s="312">
        <f t="shared" si="2"/>
        <v>13</v>
      </c>
      <c r="C36" s="312">
        <f t="shared" si="3"/>
        <v>60</v>
      </c>
      <c r="D36" s="312">
        <f t="shared" si="4"/>
        <v>65</v>
      </c>
      <c r="E36" s="319" t="s">
        <v>427</v>
      </c>
      <c r="F36" s="312">
        <v>907.80700000000002</v>
      </c>
      <c r="G36" s="317">
        <f>'TSP HG-ISO Run2'!H18</f>
        <v>0.05</v>
      </c>
      <c r="H36" s="427">
        <f>'TSP HG-ISO Run2'!I18</f>
        <v>2.3000000000000003</v>
      </c>
      <c r="I36" s="428">
        <f t="shared" si="0"/>
        <v>2.3000000000000003</v>
      </c>
      <c r="J36" s="312">
        <f>'TSP HG-ISO Run2'!L18</f>
        <v>108</v>
      </c>
      <c r="K36" s="312">
        <v>245</v>
      </c>
      <c r="L36" s="313">
        <v>248</v>
      </c>
      <c r="M36" s="313"/>
      <c r="N36" s="390">
        <v>39</v>
      </c>
      <c r="O36" s="312">
        <f>'TSP HG-ISO Run2'!J18</f>
        <v>78</v>
      </c>
      <c r="P36" s="311">
        <f t="shared" si="1"/>
        <v>78</v>
      </c>
      <c r="Q36" s="310">
        <v>2</v>
      </c>
      <c r="R36" s="389"/>
    </row>
    <row r="37" spans="1:18" ht="20.100000000000001" customHeight="1" x14ac:dyDescent="0.2">
      <c r="A37" s="315"/>
      <c r="B37" s="312">
        <f t="shared" si="2"/>
        <v>14</v>
      </c>
      <c r="C37" s="312">
        <f t="shared" si="3"/>
        <v>65</v>
      </c>
      <c r="D37" s="312">
        <f t="shared" si="4"/>
        <v>70</v>
      </c>
      <c r="E37" s="319" t="s">
        <v>439</v>
      </c>
      <c r="F37" s="312">
        <v>917.18799999999999</v>
      </c>
      <c r="G37" s="317">
        <f>'TSP HG-ISO Run2'!H19</f>
        <v>5.5E-2</v>
      </c>
      <c r="H37" s="427">
        <f>'TSP HG-ISO Run2'!I19</f>
        <v>2.5299999999999998</v>
      </c>
      <c r="I37" s="428">
        <f t="shared" si="0"/>
        <v>2.5299999999999998</v>
      </c>
      <c r="J37" s="312">
        <f>'TSP HG-ISO Run2'!L19</f>
        <v>108</v>
      </c>
      <c r="K37" s="312">
        <v>245</v>
      </c>
      <c r="L37" s="313">
        <v>248</v>
      </c>
      <c r="M37" s="313"/>
      <c r="N37" s="390">
        <v>39</v>
      </c>
      <c r="O37" s="312">
        <f>'TSP HG-ISO Run2'!J19</f>
        <v>78</v>
      </c>
      <c r="P37" s="311">
        <f t="shared" si="1"/>
        <v>78</v>
      </c>
      <c r="Q37" s="310">
        <v>2</v>
      </c>
      <c r="R37" s="389"/>
    </row>
    <row r="38" spans="1:18" ht="20.100000000000001" customHeight="1" x14ac:dyDescent="0.2">
      <c r="A38" s="315"/>
      <c r="B38" s="312">
        <f t="shared" si="2"/>
        <v>15</v>
      </c>
      <c r="C38" s="312">
        <f t="shared" si="3"/>
        <v>70</v>
      </c>
      <c r="D38" s="312">
        <f t="shared" si="4"/>
        <v>75</v>
      </c>
      <c r="E38" s="319" t="s">
        <v>428</v>
      </c>
      <c r="F38" s="312">
        <v>926.56899999999996</v>
      </c>
      <c r="G38" s="317">
        <f>'TSP HG-ISO Run2'!H20</f>
        <v>5.5E-2</v>
      </c>
      <c r="H38" s="427">
        <f>'TSP HG-ISO Run2'!I20</f>
        <v>2.5299999999999998</v>
      </c>
      <c r="I38" s="428">
        <f t="shared" si="0"/>
        <v>2.5299999999999998</v>
      </c>
      <c r="J38" s="312">
        <f>'TSP HG-ISO Run2'!L20</f>
        <v>107</v>
      </c>
      <c r="K38" s="312">
        <v>245</v>
      </c>
      <c r="L38" s="313">
        <v>248</v>
      </c>
      <c r="M38" s="313"/>
      <c r="N38" s="390">
        <v>39</v>
      </c>
      <c r="O38" s="312">
        <f>'TSP HG-ISO Run2'!J20</f>
        <v>78</v>
      </c>
      <c r="P38" s="311">
        <f t="shared" si="1"/>
        <v>78</v>
      </c>
      <c r="Q38" s="310">
        <v>2</v>
      </c>
      <c r="R38" s="389"/>
    </row>
    <row r="39" spans="1:18" ht="20.100000000000001" customHeight="1" x14ac:dyDescent="0.2">
      <c r="A39" s="315"/>
      <c r="B39" s="312">
        <f t="shared" si="2"/>
        <v>16</v>
      </c>
      <c r="C39" s="312">
        <f t="shared" si="3"/>
        <v>75</v>
      </c>
      <c r="D39" s="312">
        <f t="shared" si="4"/>
        <v>80</v>
      </c>
      <c r="E39" s="319" t="s">
        <v>440</v>
      </c>
      <c r="F39" s="312">
        <v>935.95</v>
      </c>
      <c r="G39" s="317">
        <f>'TSP HG-ISO Run2'!H21</f>
        <v>0.06</v>
      </c>
      <c r="H39" s="427">
        <f>'TSP HG-ISO Run2'!I21</f>
        <v>2.76</v>
      </c>
      <c r="I39" s="428">
        <f t="shared" si="0"/>
        <v>2.76</v>
      </c>
      <c r="J39" s="312">
        <f>'TSP HG-ISO Run2'!L21</f>
        <v>108</v>
      </c>
      <c r="K39" s="312">
        <v>245</v>
      </c>
      <c r="L39" s="313">
        <v>248</v>
      </c>
      <c r="M39" s="313"/>
      <c r="N39" s="390">
        <v>40</v>
      </c>
      <c r="O39" s="312">
        <f>'TSP HG-ISO Run2'!J21</f>
        <v>78</v>
      </c>
      <c r="P39" s="311">
        <f t="shared" si="1"/>
        <v>78</v>
      </c>
      <c r="Q39" s="310">
        <v>2</v>
      </c>
      <c r="R39" s="389"/>
    </row>
    <row r="40" spans="1:18" ht="20.100000000000001" customHeight="1" x14ac:dyDescent="0.2">
      <c r="A40" s="315"/>
      <c r="B40" s="312">
        <f t="shared" si="2"/>
        <v>17</v>
      </c>
      <c r="C40" s="312">
        <f t="shared" si="3"/>
        <v>80</v>
      </c>
      <c r="D40" s="312">
        <f t="shared" si="4"/>
        <v>85</v>
      </c>
      <c r="E40" s="319" t="s">
        <v>429</v>
      </c>
      <c r="F40" s="312">
        <v>945.33100000000002</v>
      </c>
      <c r="G40" s="317">
        <f>'TSP HG-ISO Run2'!H22</f>
        <v>0.06</v>
      </c>
      <c r="H40" s="427">
        <f>'TSP HG-ISO Run2'!I22</f>
        <v>2.76</v>
      </c>
      <c r="I40" s="428">
        <f t="shared" si="0"/>
        <v>2.76</v>
      </c>
      <c r="J40" s="312">
        <f>'TSP HG-ISO Run2'!L22</f>
        <v>108</v>
      </c>
      <c r="K40" s="312">
        <v>245</v>
      </c>
      <c r="L40" s="313">
        <v>248</v>
      </c>
      <c r="M40" s="313"/>
      <c r="N40" s="390">
        <v>41</v>
      </c>
      <c r="O40" s="312">
        <f>'TSP HG-ISO Run2'!J22</f>
        <v>79</v>
      </c>
      <c r="P40" s="311">
        <f t="shared" si="1"/>
        <v>79</v>
      </c>
      <c r="Q40" s="310">
        <v>2</v>
      </c>
      <c r="R40" s="389"/>
    </row>
    <row r="41" spans="1:18" ht="20.100000000000001" customHeight="1" x14ac:dyDescent="0.2">
      <c r="A41" s="315"/>
      <c r="B41" s="312">
        <f t="shared" si="2"/>
        <v>18</v>
      </c>
      <c r="C41" s="312">
        <f t="shared" si="3"/>
        <v>85</v>
      </c>
      <c r="D41" s="312">
        <f t="shared" si="4"/>
        <v>90</v>
      </c>
      <c r="E41" s="319" t="s">
        <v>441</v>
      </c>
      <c r="F41" s="312">
        <v>954.71199999999999</v>
      </c>
      <c r="G41" s="317">
        <f>'TSP HG-ISO Run2'!H23</f>
        <v>6.5000000000000002E-2</v>
      </c>
      <c r="H41" s="427">
        <f>'TSP HG-ISO Run2'!I23</f>
        <v>2.99</v>
      </c>
      <c r="I41" s="428">
        <f t="shared" si="0"/>
        <v>2.99</v>
      </c>
      <c r="J41" s="312">
        <f>'TSP HG-ISO Run2'!L23</f>
        <v>108</v>
      </c>
      <c r="K41" s="312">
        <v>245</v>
      </c>
      <c r="L41" s="313">
        <v>248</v>
      </c>
      <c r="M41" s="313"/>
      <c r="N41" s="390">
        <v>33</v>
      </c>
      <c r="O41" s="312">
        <f>'TSP HG-ISO Run2'!J23</f>
        <v>79</v>
      </c>
      <c r="P41" s="311">
        <f t="shared" si="1"/>
        <v>79</v>
      </c>
      <c r="Q41" s="310">
        <v>2</v>
      </c>
      <c r="R41" s="389"/>
    </row>
    <row r="42" spans="1:18" ht="20.100000000000001" customHeight="1" x14ac:dyDescent="0.2">
      <c r="A42" s="315"/>
      <c r="B42" s="312">
        <f t="shared" si="2"/>
        <v>19</v>
      </c>
      <c r="C42" s="312">
        <f t="shared" si="3"/>
        <v>90</v>
      </c>
      <c r="D42" s="312">
        <f t="shared" si="4"/>
        <v>95</v>
      </c>
      <c r="E42" s="319" t="s">
        <v>430</v>
      </c>
      <c r="F42" s="312">
        <v>964.09299999999996</v>
      </c>
      <c r="G42" s="317">
        <f>'TSP HG-ISO Run2'!H24</f>
        <v>6.5000000000000002E-2</v>
      </c>
      <c r="H42" s="427">
        <f>'TSP HG-ISO Run2'!I24</f>
        <v>2.99</v>
      </c>
      <c r="I42" s="428">
        <f t="shared" si="0"/>
        <v>2.99</v>
      </c>
      <c r="J42" s="312">
        <f>'TSP HG-ISO Run2'!L24</f>
        <v>107</v>
      </c>
      <c r="K42" s="312">
        <v>245</v>
      </c>
      <c r="L42" s="313">
        <v>248</v>
      </c>
      <c r="M42" s="313"/>
      <c r="N42" s="390">
        <v>33</v>
      </c>
      <c r="O42" s="312">
        <f>'TSP HG-ISO Run2'!J24</f>
        <v>79</v>
      </c>
      <c r="P42" s="311">
        <f t="shared" si="1"/>
        <v>79</v>
      </c>
      <c r="Q42" s="310">
        <v>2</v>
      </c>
      <c r="R42" s="389"/>
    </row>
    <row r="43" spans="1:18" ht="20.100000000000001" customHeight="1" x14ac:dyDescent="0.2">
      <c r="A43" s="315"/>
      <c r="B43" s="312">
        <f t="shared" si="2"/>
        <v>20</v>
      </c>
      <c r="C43" s="312">
        <f t="shared" si="3"/>
        <v>95</v>
      </c>
      <c r="D43" s="312">
        <f t="shared" si="4"/>
        <v>100</v>
      </c>
      <c r="E43" s="319" t="s">
        <v>442</v>
      </c>
      <c r="F43" s="312">
        <v>973.47400000000005</v>
      </c>
      <c r="G43" s="317">
        <f>'TSP HG-ISO Run2'!H25</f>
        <v>6.5000000000000002E-2</v>
      </c>
      <c r="H43" s="427">
        <f>'TSP HG-ISO Run2'!I25</f>
        <v>2.99</v>
      </c>
      <c r="I43" s="428">
        <f t="shared" si="0"/>
        <v>2.99</v>
      </c>
      <c r="J43" s="312">
        <f>'TSP HG-ISO Run2'!L25</f>
        <v>108</v>
      </c>
      <c r="K43" s="312">
        <v>245</v>
      </c>
      <c r="L43" s="313">
        <v>248</v>
      </c>
      <c r="M43" s="313"/>
      <c r="N43" s="390">
        <v>34</v>
      </c>
      <c r="O43" s="312">
        <f>'TSP HG-ISO Run2'!J25</f>
        <v>79</v>
      </c>
      <c r="P43" s="311">
        <f t="shared" si="1"/>
        <v>79</v>
      </c>
      <c r="Q43" s="310">
        <v>2</v>
      </c>
      <c r="R43" s="389"/>
    </row>
    <row r="44" spans="1:18" ht="20.100000000000001" customHeight="1" x14ac:dyDescent="0.2">
      <c r="A44" s="315"/>
      <c r="B44" s="312">
        <f t="shared" si="2"/>
        <v>21</v>
      </c>
      <c r="C44" s="312">
        <f t="shared" si="3"/>
        <v>100</v>
      </c>
      <c r="D44" s="312">
        <f t="shared" si="4"/>
        <v>105</v>
      </c>
      <c r="E44" s="319" t="s">
        <v>431</v>
      </c>
      <c r="F44" s="312">
        <v>982.85500000000002</v>
      </c>
      <c r="G44" s="317">
        <f>'TSP HG-ISO Run2'!H26</f>
        <v>6.5000000000000002E-2</v>
      </c>
      <c r="H44" s="427">
        <f>'TSP HG-ISO Run2'!I26</f>
        <v>2.99</v>
      </c>
      <c r="I44" s="428">
        <f t="shared" si="0"/>
        <v>2.99</v>
      </c>
      <c r="J44" s="312">
        <f>'TSP HG-ISO Run2'!L26</f>
        <v>108</v>
      </c>
      <c r="K44" s="312">
        <v>245</v>
      </c>
      <c r="L44" s="313">
        <v>248</v>
      </c>
      <c r="M44" s="313"/>
      <c r="N44" s="390">
        <v>36</v>
      </c>
      <c r="O44" s="312">
        <f>'TSP HG-ISO Run2'!J26</f>
        <v>79</v>
      </c>
      <c r="P44" s="311">
        <f t="shared" si="1"/>
        <v>79</v>
      </c>
      <c r="Q44" s="310">
        <v>2</v>
      </c>
      <c r="R44" s="389"/>
    </row>
    <row r="45" spans="1:18" ht="20.100000000000001" customHeight="1" x14ac:dyDescent="0.2">
      <c r="A45" s="315"/>
      <c r="B45" s="312">
        <f t="shared" si="2"/>
        <v>22</v>
      </c>
      <c r="C45" s="312">
        <f t="shared" si="3"/>
        <v>105</v>
      </c>
      <c r="D45" s="312">
        <f t="shared" si="4"/>
        <v>110</v>
      </c>
      <c r="E45" s="319" t="s">
        <v>443</v>
      </c>
      <c r="F45" s="312">
        <v>992.23599999999999</v>
      </c>
      <c r="G45" s="317">
        <f>'TSP HG-ISO Run2'!H27</f>
        <v>0.06</v>
      </c>
      <c r="H45" s="427">
        <f>'TSP HG-ISO Run2'!I27</f>
        <v>2.76</v>
      </c>
      <c r="I45" s="428">
        <f t="shared" si="0"/>
        <v>2.76</v>
      </c>
      <c r="J45" s="312">
        <f>'TSP HG-ISO Run2'!L27</f>
        <v>108</v>
      </c>
      <c r="K45" s="312">
        <v>245</v>
      </c>
      <c r="L45" s="313">
        <v>248</v>
      </c>
      <c r="M45" s="313"/>
      <c r="N45" s="390">
        <v>38</v>
      </c>
      <c r="O45" s="312">
        <f>'TSP HG-ISO Run2'!J27</f>
        <v>79</v>
      </c>
      <c r="P45" s="311">
        <f t="shared" si="1"/>
        <v>79</v>
      </c>
      <c r="Q45" s="310">
        <v>2</v>
      </c>
      <c r="R45" s="389"/>
    </row>
    <row r="46" spans="1:18" ht="20.100000000000001" customHeight="1" x14ac:dyDescent="0.2">
      <c r="A46" s="315"/>
      <c r="B46" s="312">
        <f t="shared" si="2"/>
        <v>23</v>
      </c>
      <c r="C46" s="312">
        <f t="shared" si="3"/>
        <v>110</v>
      </c>
      <c r="D46" s="312">
        <f t="shared" si="4"/>
        <v>115</v>
      </c>
      <c r="E46" s="319" t="s">
        <v>432</v>
      </c>
      <c r="F46" s="312">
        <v>1001.617</v>
      </c>
      <c r="G46" s="317">
        <f>'TSP HG-ISO Run2'!H28</f>
        <v>0.05</v>
      </c>
      <c r="H46" s="427">
        <f>'TSP HG-ISO Run2'!I28</f>
        <v>2.3000000000000003</v>
      </c>
      <c r="I46" s="428">
        <f t="shared" si="0"/>
        <v>2.3000000000000003</v>
      </c>
      <c r="J46" s="312">
        <f>'TSP HG-ISO Run2'!L28</f>
        <v>107</v>
      </c>
      <c r="K46" s="312">
        <v>245</v>
      </c>
      <c r="L46" s="313">
        <v>248</v>
      </c>
      <c r="M46" s="313"/>
      <c r="N46" s="390">
        <v>40</v>
      </c>
      <c r="O46" s="312">
        <f>'TSP HG-ISO Run2'!J28</f>
        <v>80</v>
      </c>
      <c r="P46" s="311">
        <f t="shared" si="1"/>
        <v>80</v>
      </c>
      <c r="Q46" s="310">
        <v>2</v>
      </c>
      <c r="R46" s="389"/>
    </row>
    <row r="47" spans="1:18" ht="20.100000000000001" customHeight="1" x14ac:dyDescent="0.2">
      <c r="A47" s="315"/>
      <c r="B47" s="312">
        <f t="shared" si="2"/>
        <v>24</v>
      </c>
      <c r="C47" s="312">
        <f t="shared" si="3"/>
        <v>115</v>
      </c>
      <c r="D47" s="312">
        <f t="shared" si="4"/>
        <v>120</v>
      </c>
      <c r="E47" s="319" t="s">
        <v>444</v>
      </c>
      <c r="F47" s="312">
        <v>1010.998</v>
      </c>
      <c r="G47" s="317">
        <f>'TSP HG-ISO Run2'!H29</f>
        <v>0.05</v>
      </c>
      <c r="H47" s="427">
        <f>'TSP HG-ISO Run2'!I29</f>
        <v>2.3000000000000003</v>
      </c>
      <c r="I47" s="428">
        <f t="shared" si="0"/>
        <v>2.3000000000000003</v>
      </c>
      <c r="J47" s="312">
        <f>'TSP HG-ISO Run2'!L29</f>
        <v>107</v>
      </c>
      <c r="K47" s="312">
        <v>245</v>
      </c>
      <c r="L47" s="313">
        <v>248</v>
      </c>
      <c r="M47" s="313"/>
      <c r="N47" s="390">
        <v>40</v>
      </c>
      <c r="O47" s="312">
        <f>'TSP HG-ISO Run2'!J29</f>
        <v>80</v>
      </c>
      <c r="P47" s="311">
        <f t="shared" si="1"/>
        <v>80</v>
      </c>
      <c r="Q47" s="310">
        <v>2</v>
      </c>
      <c r="R47" s="389"/>
    </row>
    <row r="48" spans="1:18" ht="20.100000000000001" customHeight="1" x14ac:dyDescent="0.2">
      <c r="A48" s="315"/>
      <c r="B48" s="391"/>
      <c r="C48" s="391">
        <v>120</v>
      </c>
      <c r="D48" s="391"/>
      <c r="E48" s="319"/>
      <c r="F48" s="312">
        <f>'TSP HG-ISO Run2'!E14</f>
        <v>1020.374</v>
      </c>
      <c r="G48" s="390"/>
      <c r="H48" s="389"/>
      <c r="I48" s="390"/>
      <c r="J48" s="391"/>
      <c r="K48" s="391"/>
      <c r="L48" s="391"/>
      <c r="M48" s="390"/>
      <c r="N48" s="390"/>
      <c r="O48" s="391"/>
      <c r="P48" s="390"/>
      <c r="Q48" s="389"/>
      <c r="R48" s="389"/>
    </row>
    <row r="49" spans="1:18" ht="20.100000000000001" customHeight="1" x14ac:dyDescent="0.2">
      <c r="A49" s="315"/>
      <c r="B49" s="391"/>
      <c r="C49" s="391"/>
      <c r="D49" s="391"/>
      <c r="E49" s="319"/>
      <c r="F49" s="390"/>
      <c r="G49" s="390"/>
      <c r="H49" s="389"/>
      <c r="I49" s="390"/>
      <c r="J49" s="391"/>
      <c r="K49" s="391"/>
      <c r="L49" s="391"/>
      <c r="M49" s="390"/>
      <c r="N49" s="390"/>
      <c r="O49" s="391"/>
      <c r="P49" s="390"/>
      <c r="Q49" s="389"/>
      <c r="R49" s="389"/>
    </row>
    <row r="50" spans="1:18" ht="20.100000000000001" customHeight="1" x14ac:dyDescent="0.2">
      <c r="A50" s="315"/>
      <c r="B50" s="391"/>
      <c r="C50" s="391"/>
      <c r="D50" s="391"/>
      <c r="E50" s="319"/>
      <c r="F50" s="390"/>
      <c r="G50" s="390"/>
      <c r="H50" s="389"/>
      <c r="I50" s="390"/>
      <c r="J50" s="391"/>
      <c r="K50" s="391"/>
      <c r="L50" s="391"/>
      <c r="M50" s="390"/>
      <c r="N50" s="390"/>
      <c r="O50" s="391"/>
      <c r="P50" s="390"/>
      <c r="Q50" s="389"/>
      <c r="R50" s="389"/>
    </row>
    <row r="51" spans="1:18" ht="20.100000000000001" customHeight="1" x14ac:dyDescent="0.2">
      <c r="A51" s="315"/>
      <c r="B51" s="391"/>
      <c r="C51" s="391"/>
      <c r="D51" s="391"/>
      <c r="E51" s="319"/>
      <c r="F51" s="390"/>
      <c r="G51" s="390"/>
      <c r="H51" s="389"/>
      <c r="I51" s="390"/>
      <c r="J51" s="391"/>
      <c r="K51" s="391"/>
      <c r="L51" s="391"/>
      <c r="M51" s="390"/>
      <c r="N51" s="390"/>
      <c r="O51" s="391"/>
      <c r="P51" s="390"/>
      <c r="Q51" s="389"/>
      <c r="R51" s="389"/>
    </row>
    <row r="52" spans="1:18" ht="20.100000000000001" customHeight="1" x14ac:dyDescent="0.2">
      <c r="A52" s="315"/>
      <c r="B52" s="391"/>
      <c r="C52" s="391"/>
      <c r="D52" s="391"/>
      <c r="E52" s="389"/>
      <c r="F52" s="390"/>
      <c r="G52" s="390"/>
      <c r="H52" s="389"/>
      <c r="I52" s="390"/>
      <c r="J52" s="391"/>
      <c r="K52" s="391"/>
      <c r="L52" s="391"/>
      <c r="M52" s="390"/>
      <c r="N52" s="390"/>
      <c r="O52" s="391"/>
      <c r="P52" s="390"/>
      <c r="Q52" s="389"/>
      <c r="R52" s="389"/>
    </row>
    <row r="53" spans="1:18" ht="20.100000000000001" customHeight="1" x14ac:dyDescent="0.2">
      <c r="A53" s="315"/>
      <c r="B53" s="391"/>
      <c r="C53" s="391"/>
      <c r="D53" s="391"/>
      <c r="E53" s="389"/>
      <c r="F53" s="390"/>
      <c r="G53" s="390"/>
      <c r="H53" s="389"/>
      <c r="I53" s="390"/>
      <c r="J53" s="391"/>
      <c r="K53" s="391"/>
      <c r="L53" s="391"/>
      <c r="M53" s="390"/>
      <c r="N53" s="390"/>
      <c r="O53" s="391"/>
      <c r="P53" s="390"/>
      <c r="Q53" s="389"/>
      <c r="R53" s="389"/>
    </row>
    <row r="54" spans="1:18" ht="20.100000000000001" customHeight="1" x14ac:dyDescent="0.2">
      <c r="A54" s="315"/>
      <c r="B54" s="391"/>
      <c r="C54" s="391"/>
      <c r="D54" s="391"/>
      <c r="E54" s="389"/>
      <c r="F54" s="390"/>
      <c r="G54" s="390"/>
      <c r="H54" s="389"/>
      <c r="I54" s="390"/>
      <c r="J54" s="391"/>
      <c r="K54" s="391"/>
      <c r="L54" s="391"/>
      <c r="M54" s="390"/>
      <c r="N54" s="390"/>
      <c r="O54" s="391"/>
      <c r="P54" s="390"/>
      <c r="Q54" s="389"/>
      <c r="R54" s="389"/>
    </row>
    <row r="55" spans="1:18" ht="20.100000000000001" customHeight="1" x14ac:dyDescent="0.2">
      <c r="A55" s="315"/>
      <c r="B55" s="391"/>
      <c r="C55" s="391"/>
      <c r="D55" s="391"/>
      <c r="E55" s="389"/>
      <c r="F55" s="390"/>
      <c r="G55" s="390"/>
      <c r="H55" s="389"/>
      <c r="I55" s="390"/>
      <c r="J55" s="391"/>
      <c r="K55" s="391"/>
      <c r="L55" s="391"/>
      <c r="M55" s="390"/>
      <c r="N55" s="390"/>
      <c r="O55" s="391"/>
      <c r="P55" s="390"/>
      <c r="Q55" s="389"/>
      <c r="R55" s="389"/>
    </row>
    <row r="56" spans="1:18" ht="20.100000000000001" customHeight="1" x14ac:dyDescent="0.2">
      <c r="A56" s="315"/>
      <c r="B56" s="391"/>
      <c r="C56" s="391"/>
      <c r="D56" s="391"/>
      <c r="E56" s="389"/>
      <c r="F56" s="390"/>
      <c r="G56" s="390"/>
      <c r="H56" s="389"/>
      <c r="I56" s="390"/>
      <c r="J56" s="391"/>
      <c r="K56" s="391"/>
      <c r="L56" s="391"/>
      <c r="M56" s="390"/>
      <c r="N56" s="390"/>
      <c r="O56" s="391"/>
      <c r="P56" s="390"/>
      <c r="Q56" s="389"/>
      <c r="R56" s="389"/>
    </row>
    <row r="57" spans="1:18" ht="20.100000000000001" customHeight="1" x14ac:dyDescent="0.2">
      <c r="A57" s="315"/>
      <c r="B57" s="391"/>
      <c r="C57" s="391"/>
      <c r="D57" s="391"/>
      <c r="E57" s="389"/>
      <c r="F57" s="390"/>
      <c r="G57" s="390"/>
      <c r="H57" s="389"/>
      <c r="I57" s="390"/>
      <c r="J57" s="391"/>
      <c r="K57" s="391"/>
      <c r="L57" s="391"/>
      <c r="M57" s="390"/>
      <c r="N57" s="390"/>
      <c r="O57" s="391"/>
      <c r="P57" s="390"/>
      <c r="Q57" s="389"/>
      <c r="R57" s="389"/>
    </row>
    <row r="58" spans="1:18" ht="20.100000000000001" customHeight="1" x14ac:dyDescent="0.2">
      <c r="A58" s="315"/>
      <c r="B58" s="391"/>
      <c r="C58" s="391"/>
      <c r="D58" s="391"/>
      <c r="E58" s="389"/>
      <c r="F58" s="390"/>
      <c r="G58" s="390"/>
      <c r="H58" s="389"/>
      <c r="I58" s="390"/>
      <c r="J58" s="391"/>
      <c r="K58" s="391"/>
      <c r="L58" s="391"/>
      <c r="M58" s="390"/>
      <c r="N58" s="390"/>
      <c r="O58" s="391"/>
      <c r="P58" s="390"/>
      <c r="Q58" s="389"/>
      <c r="R58" s="389"/>
    </row>
    <row r="59" spans="1:18" ht="20.100000000000001" customHeight="1" x14ac:dyDescent="0.2">
      <c r="A59" s="315"/>
      <c r="B59" s="391"/>
      <c r="C59" s="391"/>
      <c r="D59" s="391"/>
      <c r="E59" s="389"/>
      <c r="F59" s="390"/>
      <c r="G59" s="390"/>
      <c r="H59" s="389"/>
      <c r="I59" s="390"/>
      <c r="J59" s="391"/>
      <c r="K59" s="391"/>
      <c r="L59" s="391"/>
      <c r="M59" s="390"/>
      <c r="N59" s="390"/>
      <c r="O59" s="391"/>
      <c r="P59" s="390"/>
      <c r="Q59" s="389"/>
      <c r="R59" s="389"/>
    </row>
    <row r="60" spans="1:18" ht="20.100000000000001" customHeight="1" x14ac:dyDescent="0.2">
      <c r="A60" s="315"/>
      <c r="B60" s="391"/>
      <c r="C60" s="391"/>
      <c r="D60" s="391"/>
      <c r="E60" s="389"/>
      <c r="F60" s="390"/>
      <c r="G60" s="390"/>
      <c r="H60" s="389"/>
      <c r="I60" s="390"/>
      <c r="J60" s="391"/>
      <c r="K60" s="391"/>
      <c r="L60" s="391"/>
      <c r="M60" s="390"/>
      <c r="N60" s="390"/>
      <c r="O60" s="391"/>
      <c r="P60" s="390"/>
      <c r="Q60" s="389"/>
      <c r="R60" s="389"/>
    </row>
    <row r="61" spans="1:18" ht="20.100000000000001" customHeight="1" x14ac:dyDescent="0.2">
      <c r="A61" s="315"/>
      <c r="B61" s="391"/>
      <c r="C61" s="391"/>
      <c r="D61" s="391"/>
      <c r="E61" s="389"/>
      <c r="F61" s="390"/>
      <c r="G61" s="390"/>
      <c r="H61" s="389"/>
      <c r="I61" s="390"/>
      <c r="J61" s="391"/>
      <c r="K61" s="391"/>
      <c r="L61" s="391"/>
      <c r="M61" s="390"/>
      <c r="N61" s="390"/>
      <c r="O61" s="391"/>
      <c r="P61" s="390"/>
      <c r="Q61" s="389"/>
      <c r="R61" s="389"/>
    </row>
    <row r="62" spans="1:18" ht="20.100000000000001" customHeight="1" x14ac:dyDescent="0.2">
      <c r="A62" s="315"/>
      <c r="B62" s="391"/>
      <c r="C62" s="391"/>
      <c r="D62" s="391"/>
      <c r="E62" s="389"/>
      <c r="F62" s="390"/>
      <c r="G62" s="390"/>
      <c r="H62" s="389"/>
      <c r="I62" s="390"/>
      <c r="J62" s="391"/>
      <c r="K62" s="391"/>
      <c r="L62" s="391"/>
      <c r="M62" s="390"/>
      <c r="N62" s="390"/>
      <c r="O62" s="391"/>
      <c r="P62" s="390"/>
      <c r="Q62" s="389"/>
      <c r="R62" s="389"/>
    </row>
    <row r="63" spans="1:18" ht="20.100000000000001" customHeight="1" x14ac:dyDescent="0.2">
      <c r="A63" s="315"/>
      <c r="B63" s="391"/>
      <c r="C63" s="391"/>
      <c r="D63" s="391"/>
      <c r="E63" s="389"/>
      <c r="F63" s="390"/>
      <c r="G63" s="390"/>
      <c r="H63" s="389"/>
      <c r="I63" s="390"/>
      <c r="J63" s="391"/>
      <c r="K63" s="391"/>
      <c r="L63" s="391"/>
      <c r="M63" s="390"/>
      <c r="N63" s="390"/>
      <c r="O63" s="391"/>
      <c r="P63" s="390"/>
      <c r="Q63" s="389"/>
      <c r="R63" s="389"/>
    </row>
    <row r="64" spans="1:18" ht="20.100000000000001" customHeight="1" x14ac:dyDescent="0.2">
      <c r="A64" s="315"/>
      <c r="B64" s="391"/>
      <c r="C64" s="391"/>
      <c r="D64" s="391"/>
      <c r="E64" s="389"/>
      <c r="F64" s="390"/>
      <c r="G64" s="390"/>
      <c r="H64" s="389"/>
      <c r="I64" s="390"/>
      <c r="J64" s="391"/>
      <c r="K64" s="391"/>
      <c r="L64" s="391"/>
      <c r="M64" s="390"/>
      <c r="N64" s="390"/>
      <c r="O64" s="391"/>
      <c r="P64" s="390"/>
      <c r="Q64" s="389"/>
      <c r="R64" s="389"/>
    </row>
    <row r="65" spans="1:18" ht="20.100000000000001" customHeight="1" x14ac:dyDescent="0.2">
      <c r="A65" s="315"/>
      <c r="B65" s="391"/>
      <c r="C65" s="391"/>
      <c r="D65" s="391"/>
      <c r="E65" s="389"/>
      <c r="F65" s="390"/>
      <c r="G65" s="390"/>
      <c r="H65" s="389"/>
      <c r="I65" s="390"/>
      <c r="J65" s="391"/>
      <c r="K65" s="391"/>
      <c r="L65" s="391"/>
      <c r="M65" s="390"/>
      <c r="N65" s="390"/>
      <c r="O65" s="391"/>
      <c r="P65" s="390"/>
      <c r="Q65" s="389"/>
      <c r="R65" s="389"/>
    </row>
    <row r="66" spans="1:18" ht="20.100000000000001" customHeight="1" x14ac:dyDescent="0.2">
      <c r="A66" s="315"/>
      <c r="B66" s="391"/>
      <c r="C66" s="391"/>
      <c r="D66" s="391"/>
      <c r="E66" s="389"/>
      <c r="F66" s="390"/>
      <c r="G66" s="390"/>
      <c r="H66" s="389"/>
      <c r="I66" s="390"/>
      <c r="J66" s="391"/>
      <c r="K66" s="391"/>
      <c r="L66" s="391"/>
      <c r="M66" s="390"/>
      <c r="N66" s="390"/>
      <c r="O66" s="391"/>
      <c r="P66" s="390"/>
      <c r="Q66" s="389"/>
      <c r="R66" s="389"/>
    </row>
    <row r="67" spans="1:18" ht="20.100000000000001" customHeight="1" x14ac:dyDescent="0.2">
      <c r="A67" s="315"/>
      <c r="B67" s="391"/>
      <c r="C67" s="391"/>
      <c r="D67" s="391"/>
      <c r="E67" s="389"/>
      <c r="F67" s="390"/>
      <c r="G67" s="390"/>
      <c r="H67" s="389"/>
      <c r="I67" s="390"/>
      <c r="J67" s="391"/>
      <c r="K67" s="391"/>
      <c r="L67" s="391"/>
      <c r="M67" s="390"/>
      <c r="N67" s="390"/>
      <c r="O67" s="391"/>
      <c r="P67" s="390"/>
      <c r="Q67" s="389"/>
      <c r="R67" s="389"/>
    </row>
    <row r="68" spans="1:18" ht="20.100000000000001" customHeight="1" x14ac:dyDescent="0.2">
      <c r="A68" s="315"/>
      <c r="B68" s="391"/>
      <c r="C68" s="391"/>
      <c r="D68" s="391"/>
      <c r="E68" s="389"/>
      <c r="F68" s="390"/>
      <c r="G68" s="390"/>
      <c r="H68" s="389"/>
      <c r="I68" s="390"/>
      <c r="J68" s="391"/>
      <c r="K68" s="391"/>
      <c r="L68" s="391"/>
      <c r="M68" s="390"/>
      <c r="N68" s="390"/>
      <c r="O68" s="391"/>
      <c r="P68" s="390"/>
      <c r="Q68" s="389"/>
      <c r="R68" s="389"/>
    </row>
    <row r="69" spans="1:18" ht="20.100000000000001" customHeight="1" x14ac:dyDescent="0.2">
      <c r="A69" s="315"/>
      <c r="B69" s="391"/>
      <c r="C69" s="391"/>
      <c r="D69" s="391"/>
      <c r="E69" s="389"/>
      <c r="F69" s="390"/>
      <c r="G69" s="390"/>
      <c r="H69" s="389"/>
      <c r="I69" s="390"/>
      <c r="J69" s="391"/>
      <c r="K69" s="391"/>
      <c r="L69" s="391"/>
      <c r="M69" s="390"/>
      <c r="N69" s="390"/>
      <c r="O69" s="391"/>
      <c r="P69" s="390"/>
      <c r="Q69" s="389"/>
      <c r="R69" s="389"/>
    </row>
    <row r="70" spans="1:18" ht="20.100000000000001" customHeight="1" x14ac:dyDescent="0.2">
      <c r="A70" s="315"/>
      <c r="B70" s="391"/>
      <c r="C70" s="391"/>
      <c r="D70" s="391"/>
      <c r="E70" s="389"/>
      <c r="F70" s="390"/>
      <c r="G70" s="390"/>
      <c r="H70" s="389"/>
      <c r="I70" s="390"/>
      <c r="J70" s="391"/>
      <c r="K70" s="391"/>
      <c r="L70" s="391"/>
      <c r="M70" s="390"/>
      <c r="N70" s="390"/>
      <c r="O70" s="391"/>
      <c r="P70" s="390"/>
      <c r="Q70" s="389"/>
      <c r="R70" s="389"/>
    </row>
    <row r="71" spans="1:18" ht="20.100000000000001" customHeight="1" x14ac:dyDescent="0.2">
      <c r="A71" s="315"/>
      <c r="B71" s="391"/>
      <c r="C71" s="391"/>
      <c r="D71" s="391"/>
      <c r="E71" s="391"/>
      <c r="F71" s="390"/>
      <c r="G71" s="390"/>
      <c r="H71" s="389"/>
      <c r="I71" s="390"/>
      <c r="J71" s="391"/>
      <c r="K71" s="391"/>
      <c r="L71" s="391"/>
      <c r="M71" s="390"/>
      <c r="N71" s="390"/>
      <c r="O71" s="391"/>
      <c r="P71" s="390"/>
      <c r="Q71" s="389"/>
      <c r="R71" s="389"/>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selectLockedCells="1"/>
  <protectedRanges>
    <protectedRange sqref="Q20" name="Range19"/>
    <protectedRange sqref="D5:E6" name="Range3"/>
    <protectedRange sqref="D8:E15" name="Range6"/>
    <protectedRange sqref="D18:E20" name="Range7"/>
    <protectedRange sqref="I9:I12" name="Range8"/>
    <protectedRange sqref="H15:H17" name="Range9"/>
    <protectedRange sqref="H19:H20" name="Range10"/>
    <protectedRange sqref="M5" name="Range11"/>
    <protectedRange sqref="O5" name="Range12"/>
    <protectedRange sqref="N6" name="Range13"/>
    <protectedRange sqref="M7:M10" name="Range14"/>
    <protectedRange sqref="O7:O10" name="Range15"/>
    <protectedRange sqref="L14:M20" name="Range16"/>
    <protectedRange sqref="Q13:Q14" name="Range17"/>
    <protectedRange sqref="B24:D71 E24 E26 E28 E30 E32 E34 E36 E38 E40 E42 E44 E46 G24:R71 F24:F46 E48:F71" name="Range18"/>
  </protectedRanges>
  <mergeCells count="73">
    <mergeCell ref="B5:C5"/>
    <mergeCell ref="D5:E5"/>
    <mergeCell ref="G5:H5"/>
    <mergeCell ref="J5:L5"/>
    <mergeCell ref="P2:Q2"/>
    <mergeCell ref="P3:S4"/>
    <mergeCell ref="C2:N2"/>
    <mergeCell ref="B4:C4"/>
    <mergeCell ref="D4:F4"/>
    <mergeCell ref="J6:M6"/>
    <mergeCell ref="B6:C6"/>
    <mergeCell ref="D6:E6"/>
    <mergeCell ref="G6:H6"/>
    <mergeCell ref="D11:E11"/>
    <mergeCell ref="F11:H11"/>
    <mergeCell ref="J7:L7"/>
    <mergeCell ref="B7:E7"/>
    <mergeCell ref="J8:L8"/>
    <mergeCell ref="B9:C9"/>
    <mergeCell ref="D8:E8"/>
    <mergeCell ref="D9:E9"/>
    <mergeCell ref="F9:H9"/>
    <mergeCell ref="J9:L9"/>
    <mergeCell ref="B8:C8"/>
    <mergeCell ref="B10:C10"/>
    <mergeCell ref="N14:P14"/>
    <mergeCell ref="N13:P13"/>
    <mergeCell ref="B12:C12"/>
    <mergeCell ref="D12:E12"/>
    <mergeCell ref="F12:H12"/>
    <mergeCell ref="B11:C11"/>
    <mergeCell ref="B15:C15"/>
    <mergeCell ref="D15:E15"/>
    <mergeCell ref="F15:G15"/>
    <mergeCell ref="J15:K15"/>
    <mergeCell ref="B13:C13"/>
    <mergeCell ref="D13:E13"/>
    <mergeCell ref="B14:C14"/>
    <mergeCell ref="J19:K19"/>
    <mergeCell ref="F16:G16"/>
    <mergeCell ref="J16:K16"/>
    <mergeCell ref="J17:K17"/>
    <mergeCell ref="D10:E10"/>
    <mergeCell ref="F10:H10"/>
    <mergeCell ref="J10:L10"/>
    <mergeCell ref="D14:E14"/>
    <mergeCell ref="J14:K14"/>
    <mergeCell ref="F17:G17"/>
    <mergeCell ref="B18:C18"/>
    <mergeCell ref="D18:E18"/>
    <mergeCell ref="J18:K18"/>
    <mergeCell ref="R22:R23"/>
    <mergeCell ref="N20:P20"/>
    <mergeCell ref="H22:I22"/>
    <mergeCell ref="J22:J23"/>
    <mergeCell ref="K22:K23"/>
    <mergeCell ref="L22:M22"/>
    <mergeCell ref="N22:N23"/>
    <mergeCell ref="O22:P22"/>
    <mergeCell ref="Q22:Q23"/>
    <mergeCell ref="J20:K20"/>
    <mergeCell ref="B20:C20"/>
    <mergeCell ref="D20:E20"/>
    <mergeCell ref="F20:G20"/>
    <mergeCell ref="D86:H86"/>
    <mergeCell ref="B19:C19"/>
    <mergeCell ref="D19:E19"/>
    <mergeCell ref="F19:G19"/>
    <mergeCell ref="B22:B23"/>
    <mergeCell ref="C22:D22"/>
    <mergeCell ref="E22:E23"/>
    <mergeCell ref="F22:F23"/>
    <mergeCell ref="G22:G23"/>
  </mergeCells>
  <dataValidations count="3">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formula1>"Yes,No"</formula1>
    </dataValidation>
  </dataValidations>
  <pageMargins left="0.45" right="0.45" top="0.5" bottom="0.5" header="0.3" footer="0.3"/>
  <pageSetup scale="55" orientation="landscape" r:id="rId1"/>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tabSelected="1" showWhiteSpace="0" zoomScale="70" zoomScaleNormal="70" zoomScaleSheetLayoutView="51" zoomScalePageLayoutView="38" workbookViewId="0">
      <selection activeCell="Q20" sqref="Q20"/>
    </sheetView>
  </sheetViews>
  <sheetFormatPr defaultColWidth="16.109375" defaultRowHeight="20.100000000000001" customHeight="1" x14ac:dyDescent="0.2"/>
  <cols>
    <col min="1" max="1" width="1.7773437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2"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506" t="str">
        <f>IF(ISNUMBER(D6),IF('Data Sheet 1'!C2:N2="","",'Data Sheet 1'!C2:N2),"")</f>
        <v>NoSouth Sway</v>
      </c>
      <c r="D2" s="506"/>
      <c r="E2" s="506"/>
      <c r="F2" s="506"/>
      <c r="G2" s="506"/>
      <c r="H2" s="506"/>
      <c r="I2" s="506"/>
      <c r="J2" s="506"/>
      <c r="K2" s="506"/>
      <c r="L2" s="506"/>
      <c r="M2" s="506"/>
      <c r="N2" s="507"/>
      <c r="O2" s="303"/>
      <c r="P2" s="475" t="s">
        <v>357</v>
      </c>
      <c r="Q2" s="475"/>
    </row>
    <row r="3" spans="1:19" s="366" customFormat="1" ht="10.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8" t="str">
        <f>IF(ISNUMBER(D6),IF('Data Sheet 1'!D4:F4="","",'Data Sheet 1'!D4:F4),"")</f>
        <v>Scrubber (Boiler 7)</v>
      </c>
      <c r="E4" s="508"/>
      <c r="F4" s="508"/>
      <c r="G4" s="384"/>
      <c r="H4" s="383" t="s">
        <v>354</v>
      </c>
      <c r="I4" s="398" t="str">
        <f>IF(ISNUMBER(D6),IF('Data Sheet 1'!I4="","",'Data Sheet 1'!I4),"")</f>
        <v>PM/Metals</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f>'TSP HG-ISO Run3'!C9</f>
        <v>3</v>
      </c>
      <c r="E5" s="485"/>
      <c r="F5" s="378" t="s">
        <v>349</v>
      </c>
      <c r="G5" s="486" t="str">
        <f>IF(ISNUMBER(D6),IF('Data Sheet 1'!G5:H5="","",'Data Sheet 1'!G5:H5),"")</f>
        <v>TWB</v>
      </c>
      <c r="H5" s="486"/>
      <c r="I5" s="367"/>
      <c r="J5" s="469" t="s">
        <v>348</v>
      </c>
      <c r="K5" s="459"/>
      <c r="L5" s="459"/>
      <c r="M5" s="376">
        <v>15</v>
      </c>
      <c r="N5" s="367"/>
      <c r="O5" s="375">
        <v>7</v>
      </c>
      <c r="P5" s="303"/>
      <c r="Q5" s="303"/>
      <c r="R5" s="303"/>
      <c r="S5" s="303"/>
    </row>
    <row r="6" spans="1:19" s="366" customFormat="1" ht="20.100000000000001" customHeight="1" thickBot="1" x14ac:dyDescent="0.3">
      <c r="A6" s="370"/>
      <c r="B6" s="487" t="s">
        <v>347</v>
      </c>
      <c r="C6" s="488"/>
      <c r="D6" s="503">
        <f>'TSP HG-ISO Run3'!C7</f>
        <v>41855</v>
      </c>
      <c r="E6" s="503"/>
      <c r="F6" s="374" t="s">
        <v>346</v>
      </c>
      <c r="G6" s="493" t="str">
        <f>IF(ISNUMBER(D6),IF('Data Sheet 1'!G6:H6="","",'Data Sheet 1'!G6:H6),"")</f>
        <v>BB019012.0000</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v>1E-3</v>
      </c>
      <c r="N7" s="367"/>
      <c r="O7" s="368">
        <v>1E-3</v>
      </c>
      <c r="P7" s="303"/>
      <c r="Q7" s="303"/>
      <c r="R7" s="303"/>
      <c r="S7" s="303"/>
    </row>
    <row r="8" spans="1:19" ht="20.100000000000001" customHeight="1" thickBot="1" x14ac:dyDescent="0.3">
      <c r="A8" s="318"/>
      <c r="B8" s="454" t="s">
        <v>342</v>
      </c>
      <c r="C8" s="496"/>
      <c r="D8" s="497" t="s">
        <v>451</v>
      </c>
      <c r="E8" s="498"/>
      <c r="F8" s="365" t="s">
        <v>341</v>
      </c>
      <c r="G8" s="350"/>
      <c r="H8" s="350"/>
      <c r="I8" s="350"/>
      <c r="J8" s="469" t="s">
        <v>340</v>
      </c>
      <c r="K8" s="459"/>
      <c r="L8" s="459"/>
      <c r="M8" s="364" t="s">
        <v>419</v>
      </c>
      <c r="N8" s="363"/>
      <c r="O8" s="364" t="s">
        <v>419</v>
      </c>
      <c r="P8" s="326"/>
      <c r="Q8" s="326"/>
      <c r="R8" s="326"/>
      <c r="S8" s="326"/>
    </row>
    <row r="9" spans="1:19" ht="20.100000000000001" customHeight="1" thickBot="1" x14ac:dyDescent="0.3">
      <c r="A9" s="318"/>
      <c r="B9" s="454" t="s">
        <v>339</v>
      </c>
      <c r="C9" s="455"/>
      <c r="D9" s="470" t="s">
        <v>452</v>
      </c>
      <c r="E9" s="471"/>
      <c r="F9" s="454" t="s">
        <v>338</v>
      </c>
      <c r="G9" s="455"/>
      <c r="H9" s="455"/>
      <c r="I9" s="429">
        <f>'TSP HG-ISO Run3'!E23</f>
        <v>0.99</v>
      </c>
      <c r="J9" s="469" t="s">
        <v>337</v>
      </c>
      <c r="K9" s="459"/>
      <c r="L9" s="459"/>
      <c r="M9" s="364" t="s">
        <v>419</v>
      </c>
      <c r="N9" s="363"/>
      <c r="O9" s="364" t="s">
        <v>419</v>
      </c>
      <c r="P9" s="326"/>
      <c r="Q9" s="326"/>
      <c r="R9" s="326"/>
      <c r="S9" s="326"/>
    </row>
    <row r="10" spans="1:19" ht="20.100000000000001" customHeight="1" thickBot="1" x14ac:dyDescent="0.4">
      <c r="A10" s="318"/>
      <c r="B10" s="454" t="s">
        <v>336</v>
      </c>
      <c r="C10" s="455"/>
      <c r="D10" s="470">
        <v>1</v>
      </c>
      <c r="E10" s="471"/>
      <c r="F10" s="457" t="s">
        <v>335</v>
      </c>
      <c r="G10" s="458"/>
      <c r="H10" s="458"/>
      <c r="I10" s="395">
        <v>1.68</v>
      </c>
      <c r="J10" s="463" t="s">
        <v>334</v>
      </c>
      <c r="K10" s="464"/>
      <c r="L10" s="464"/>
      <c r="M10" s="360" t="s">
        <v>419</v>
      </c>
      <c r="N10" s="359"/>
      <c r="O10" s="360" t="s">
        <v>419</v>
      </c>
      <c r="P10" s="326"/>
      <c r="Q10" s="326"/>
      <c r="R10" s="326"/>
      <c r="S10" s="326"/>
    </row>
    <row r="11" spans="1:19" ht="20.100000000000001" customHeight="1" thickBot="1" x14ac:dyDescent="0.3">
      <c r="A11" s="318"/>
      <c r="B11" s="457" t="s">
        <v>333</v>
      </c>
      <c r="C11" s="458"/>
      <c r="D11" s="465" t="s">
        <v>450</v>
      </c>
      <c r="E11" s="466"/>
      <c r="F11" s="457" t="s">
        <v>332</v>
      </c>
      <c r="G11" s="458"/>
      <c r="H11" s="458"/>
      <c r="I11" s="357">
        <f>'TSP HG-ISO Run3'!E22</f>
        <v>0.83</v>
      </c>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f>'TSP HG-ISO Run3'!E21</f>
        <v>0.502</v>
      </c>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t="s">
        <v>420</v>
      </c>
      <c r="R13" s="326"/>
      <c r="S13" s="326"/>
    </row>
    <row r="14" spans="1:19" ht="20.100000000000001" customHeight="1" thickBot="1" x14ac:dyDescent="0.3">
      <c r="A14" s="318"/>
      <c r="B14" s="454" t="s">
        <v>324</v>
      </c>
      <c r="C14" s="455"/>
      <c r="D14" s="470">
        <v>128</v>
      </c>
      <c r="E14" s="471"/>
      <c r="F14" s="394" t="s">
        <v>323</v>
      </c>
      <c r="G14" s="350"/>
      <c r="H14" s="349"/>
      <c r="I14" s="326"/>
      <c r="J14" s="457" t="s">
        <v>322</v>
      </c>
      <c r="K14" s="458"/>
      <c r="L14" s="348">
        <f>'TSP HG-ISO Run3'!J39</f>
        <v>542.6</v>
      </c>
      <c r="M14" s="347">
        <f>'TSP HG-ISO Run3'!I39</f>
        <v>607.1</v>
      </c>
      <c r="N14" s="483" t="s">
        <v>321</v>
      </c>
      <c r="O14" s="483"/>
      <c r="P14" s="483"/>
      <c r="Q14" s="346"/>
      <c r="R14" s="326"/>
      <c r="S14" s="303"/>
    </row>
    <row r="15" spans="1:19" ht="20.100000000000001" customHeight="1" thickBot="1" x14ac:dyDescent="0.3">
      <c r="A15" s="318"/>
      <c r="B15" s="454" t="s">
        <v>320</v>
      </c>
      <c r="C15" s="455"/>
      <c r="D15" s="460" t="s">
        <v>453</v>
      </c>
      <c r="E15" s="461"/>
      <c r="F15" s="505" t="s">
        <v>319</v>
      </c>
      <c r="G15" s="456"/>
      <c r="H15" s="423">
        <f>'TSP HG-ISO Run3'!E18</f>
        <v>30.02</v>
      </c>
      <c r="I15" s="326"/>
      <c r="J15" s="454" t="s">
        <v>318</v>
      </c>
      <c r="K15" s="455"/>
      <c r="L15" s="335">
        <f>'TSP HG-ISO Run3'!J40</f>
        <v>770.9</v>
      </c>
      <c r="M15" s="334">
        <f>'TSP HG-ISO Run3'!I40</f>
        <v>896.3</v>
      </c>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f>'TSP HG-ISO Run3'!J41</f>
        <v>717.8</v>
      </c>
      <c r="M16" s="334">
        <f>'TSP HG-ISO Run3'!I41</f>
        <v>756.1</v>
      </c>
      <c r="N16" s="326"/>
      <c r="O16" s="326"/>
      <c r="P16" s="326"/>
      <c r="Q16" s="333"/>
      <c r="R16" s="326"/>
      <c r="S16" s="326"/>
    </row>
    <row r="17" spans="1:19" ht="20.100000000000001" customHeight="1" thickBot="1" x14ac:dyDescent="0.3">
      <c r="A17" s="318"/>
      <c r="B17" s="344" t="s">
        <v>315</v>
      </c>
      <c r="C17" s="339"/>
      <c r="D17" s="326"/>
      <c r="E17" s="333"/>
      <c r="F17" s="469" t="s">
        <v>314</v>
      </c>
      <c r="G17" s="459"/>
      <c r="H17" s="343">
        <f>'TSP HG-ISO Run3'!E17</f>
        <v>-0.08</v>
      </c>
      <c r="I17" s="326"/>
      <c r="J17" s="454" t="s">
        <v>313</v>
      </c>
      <c r="K17" s="455"/>
      <c r="L17" s="335">
        <f>'TSP HG-ISO Run3'!J42</f>
        <v>641</v>
      </c>
      <c r="M17" s="334">
        <f>'TSP HG-ISO Run3'!I42</f>
        <v>648</v>
      </c>
      <c r="N17" s="326"/>
      <c r="O17" s="326"/>
      <c r="P17" s="326"/>
      <c r="Q17" s="333"/>
      <c r="R17" s="326"/>
      <c r="S17" s="326"/>
    </row>
    <row r="18" spans="1:19" ht="20.100000000000001" customHeight="1" thickBot="1" x14ac:dyDescent="0.3">
      <c r="A18" s="318"/>
      <c r="B18" s="469" t="s">
        <v>312</v>
      </c>
      <c r="C18" s="459"/>
      <c r="D18" s="467" t="s">
        <v>448</v>
      </c>
      <c r="E18" s="468"/>
      <c r="F18" s="393" t="s">
        <v>311</v>
      </c>
      <c r="G18" s="339"/>
      <c r="H18" s="338"/>
      <c r="I18" s="326"/>
      <c r="J18" s="457" t="s">
        <v>310</v>
      </c>
      <c r="K18" s="458"/>
      <c r="L18" s="335">
        <f>'TSP HG-ISO Run3'!J43</f>
        <v>770.4</v>
      </c>
      <c r="M18" s="334">
        <f>'TSP HG-ISO Run3'!I43</f>
        <v>774.4</v>
      </c>
      <c r="N18" s="326"/>
      <c r="O18" s="326"/>
      <c r="P18" s="326"/>
      <c r="Q18" s="333"/>
      <c r="R18" s="326"/>
      <c r="S18" s="326"/>
    </row>
    <row r="19" spans="1:19" ht="20.100000000000001" customHeight="1" thickBot="1" x14ac:dyDescent="0.4">
      <c r="A19" s="318"/>
      <c r="B19" s="469" t="s">
        <v>309</v>
      </c>
      <c r="C19" s="459"/>
      <c r="D19" s="465"/>
      <c r="E19" s="466"/>
      <c r="F19" s="469" t="s">
        <v>308</v>
      </c>
      <c r="G19" s="459"/>
      <c r="H19" s="423">
        <f>'TSP HG-ISO Run3'!E20</f>
        <v>12.688997113997111</v>
      </c>
      <c r="I19" s="326"/>
      <c r="J19" s="454" t="s">
        <v>307</v>
      </c>
      <c r="K19" s="455"/>
      <c r="L19" s="335">
        <f>'TSP HG-ISO Run3'!J44</f>
        <v>772.7</v>
      </c>
      <c r="M19" s="334">
        <f>'TSP HG-ISO Run3'!I44</f>
        <v>773</v>
      </c>
      <c r="N19" s="326"/>
      <c r="O19" s="326"/>
      <c r="P19" s="326"/>
      <c r="Q19" s="333"/>
      <c r="R19" s="326"/>
      <c r="S19" s="326"/>
    </row>
    <row r="20" spans="1:19" ht="20.100000000000001" customHeight="1" thickBot="1" x14ac:dyDescent="0.4">
      <c r="A20" s="318"/>
      <c r="B20" s="463" t="s">
        <v>306</v>
      </c>
      <c r="C20" s="464"/>
      <c r="D20" s="473"/>
      <c r="E20" s="474"/>
      <c r="F20" s="463" t="s">
        <v>305</v>
      </c>
      <c r="G20" s="464"/>
      <c r="H20" s="356">
        <f>'TSP HG-ISO Run3'!E19</f>
        <v>7.3964114285714295</v>
      </c>
      <c r="I20" s="326"/>
      <c r="J20" s="491" t="s">
        <v>304</v>
      </c>
      <c r="K20" s="492"/>
      <c r="L20" s="424">
        <f>'TSP HG-ISO Run3'!J45</f>
        <v>924.5</v>
      </c>
      <c r="M20" s="425">
        <f>'TSP HG-ISO Run3'!I45</f>
        <v>942.9</v>
      </c>
      <c r="N20" s="489" t="s">
        <v>303</v>
      </c>
      <c r="O20" s="489"/>
      <c r="P20" s="489"/>
      <c r="Q20" s="327">
        <f>(M14-L14)+(M15-L15)+(M16-L16)+(M17-L17)+(M18-L18)+(M19-L19)+(M20-L20)</f>
        <v>257.89999999999998</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12">
        <v>1</v>
      </c>
      <c r="C24" s="312">
        <v>0</v>
      </c>
      <c r="D24" s="312">
        <v>5</v>
      </c>
      <c r="E24" s="392">
        <v>0.67361111111111116</v>
      </c>
      <c r="F24" s="312">
        <f>'TSP HG-ISO Run3'!E13</f>
        <v>20.632999999999999</v>
      </c>
      <c r="G24" s="317">
        <f>'TSP HG-ISO Run3'!H6</f>
        <v>0.05</v>
      </c>
      <c r="H24" s="427">
        <f>'TSP HG-ISO Run3'!I6</f>
        <v>2.3000000000000003</v>
      </c>
      <c r="I24" s="428">
        <f>+H24</f>
        <v>2.3000000000000003</v>
      </c>
      <c r="J24" s="312">
        <f>'TSP HG-ISO Run3'!L6</f>
        <v>108</v>
      </c>
      <c r="K24" s="312">
        <v>245</v>
      </c>
      <c r="L24" s="313">
        <v>248</v>
      </c>
      <c r="M24" s="313"/>
      <c r="N24" s="312">
        <v>33</v>
      </c>
      <c r="O24" s="312">
        <f>'TSP HG-ISO Run3'!J6</f>
        <v>74</v>
      </c>
      <c r="P24" s="311">
        <f>O24</f>
        <v>74</v>
      </c>
      <c r="Q24" s="310">
        <v>2</v>
      </c>
      <c r="R24" s="310"/>
    </row>
    <row r="25" spans="1:19" ht="20.100000000000001" customHeight="1" x14ac:dyDescent="0.2">
      <c r="A25" s="318"/>
      <c r="B25" s="312">
        <v>2</v>
      </c>
      <c r="C25" s="312">
        <f>D24</f>
        <v>5</v>
      </c>
      <c r="D25" s="312">
        <v>10</v>
      </c>
      <c r="E25" s="430">
        <v>0.67708333333333337</v>
      </c>
      <c r="F25" s="312">
        <v>25.513999999999999</v>
      </c>
      <c r="G25" s="317">
        <f>'TSP HG-ISO Run3'!H7</f>
        <v>0.05</v>
      </c>
      <c r="H25" s="427">
        <f>'TSP HG-ISO Run3'!I7</f>
        <v>2.3000000000000003</v>
      </c>
      <c r="I25" s="428">
        <f t="shared" ref="I25:I47" si="0">+H25</f>
        <v>2.3000000000000003</v>
      </c>
      <c r="J25" s="312">
        <f>'TSP HG-ISO Run3'!L7</f>
        <v>108</v>
      </c>
      <c r="K25" s="312">
        <v>245</v>
      </c>
      <c r="L25" s="313">
        <v>248</v>
      </c>
      <c r="M25" s="313"/>
      <c r="N25" s="312">
        <v>33</v>
      </c>
      <c r="O25" s="312">
        <f>'TSP HG-ISO Run3'!J7</f>
        <v>74</v>
      </c>
      <c r="P25" s="311">
        <f t="shared" ref="P25:P47" si="1">O25</f>
        <v>74</v>
      </c>
      <c r="Q25" s="310">
        <v>3</v>
      </c>
      <c r="R25" s="389"/>
    </row>
    <row r="26" spans="1:19" ht="20.100000000000001" customHeight="1" x14ac:dyDescent="0.2">
      <c r="A26" s="318"/>
      <c r="B26" s="312">
        <f>+B25+1</f>
        <v>3</v>
      </c>
      <c r="C26" s="312">
        <f>D25</f>
        <v>10</v>
      </c>
      <c r="D26" s="312">
        <f>+D25+5</f>
        <v>15</v>
      </c>
      <c r="E26" s="430">
        <v>0.68055555555555547</v>
      </c>
      <c r="F26" s="312">
        <v>30.395</v>
      </c>
      <c r="G26" s="317">
        <f>'TSP HG-ISO Run3'!H8</f>
        <v>5.5E-2</v>
      </c>
      <c r="H26" s="427">
        <f>'TSP HG-ISO Run3'!I8</f>
        <v>2.5299999999999998</v>
      </c>
      <c r="I26" s="428">
        <f t="shared" si="0"/>
        <v>2.5299999999999998</v>
      </c>
      <c r="J26" s="312">
        <f>'TSP HG-ISO Run3'!L8</f>
        <v>107</v>
      </c>
      <c r="K26" s="312">
        <v>245</v>
      </c>
      <c r="L26" s="313">
        <v>248</v>
      </c>
      <c r="M26" s="313"/>
      <c r="N26" s="312">
        <v>33</v>
      </c>
      <c r="O26" s="312">
        <f>'TSP HG-ISO Run3'!J8</f>
        <v>75</v>
      </c>
      <c r="P26" s="311">
        <f t="shared" si="1"/>
        <v>75</v>
      </c>
      <c r="Q26" s="310">
        <v>4</v>
      </c>
      <c r="R26" s="389"/>
    </row>
    <row r="27" spans="1:19" ht="20.100000000000001" customHeight="1" x14ac:dyDescent="0.2">
      <c r="A27" s="318"/>
      <c r="B27" s="312">
        <f t="shared" ref="B27:B47" si="2">+B26+1</f>
        <v>4</v>
      </c>
      <c r="C27" s="312">
        <f t="shared" ref="C27:C47" si="3">D26</f>
        <v>15</v>
      </c>
      <c r="D27" s="312">
        <f t="shared" ref="D27:D47" si="4">+D26+5</f>
        <v>20</v>
      </c>
      <c r="E27" s="430">
        <v>0.68402777777777779</v>
      </c>
      <c r="F27" s="312">
        <v>35.276000000000003</v>
      </c>
      <c r="G27" s="317">
        <f>'TSP HG-ISO Run3'!H9</f>
        <v>0.06</v>
      </c>
      <c r="H27" s="427">
        <f>'TSP HG-ISO Run3'!I9</f>
        <v>2.76</v>
      </c>
      <c r="I27" s="428">
        <f t="shared" si="0"/>
        <v>2.76</v>
      </c>
      <c r="J27" s="312">
        <f>'TSP HG-ISO Run3'!L9</f>
        <v>107</v>
      </c>
      <c r="K27" s="312">
        <v>245</v>
      </c>
      <c r="L27" s="313">
        <v>248</v>
      </c>
      <c r="M27" s="313"/>
      <c r="N27" s="312">
        <v>33</v>
      </c>
      <c r="O27" s="312">
        <f>'TSP HG-ISO Run3'!J9</f>
        <v>75</v>
      </c>
      <c r="P27" s="311">
        <f t="shared" si="1"/>
        <v>75</v>
      </c>
      <c r="Q27" s="310">
        <v>5</v>
      </c>
      <c r="R27" s="389"/>
    </row>
    <row r="28" spans="1:19" ht="20.100000000000001" customHeight="1" x14ac:dyDescent="0.2">
      <c r="A28" s="318"/>
      <c r="B28" s="312">
        <f t="shared" si="2"/>
        <v>5</v>
      </c>
      <c r="C28" s="312">
        <f t="shared" si="3"/>
        <v>20</v>
      </c>
      <c r="D28" s="312">
        <f t="shared" si="4"/>
        <v>25</v>
      </c>
      <c r="E28" s="430">
        <v>0.6875</v>
      </c>
      <c r="F28" s="312">
        <v>40.156999999999996</v>
      </c>
      <c r="G28" s="317">
        <f>'TSP HG-ISO Run3'!H10</f>
        <v>0.06</v>
      </c>
      <c r="H28" s="427">
        <f>'TSP HG-ISO Run3'!I10</f>
        <v>2.76</v>
      </c>
      <c r="I28" s="428">
        <f t="shared" si="0"/>
        <v>2.76</v>
      </c>
      <c r="J28" s="312">
        <f>'TSP HG-ISO Run3'!L10</f>
        <v>108</v>
      </c>
      <c r="K28" s="312">
        <v>245</v>
      </c>
      <c r="L28" s="313">
        <v>248</v>
      </c>
      <c r="M28" s="313"/>
      <c r="N28" s="312">
        <v>33</v>
      </c>
      <c r="O28" s="312">
        <f>'TSP HG-ISO Run3'!J10</f>
        <v>76</v>
      </c>
      <c r="P28" s="311">
        <f t="shared" si="1"/>
        <v>76</v>
      </c>
      <c r="Q28" s="310">
        <v>6</v>
      </c>
      <c r="R28" s="389"/>
    </row>
    <row r="29" spans="1:19" ht="20.100000000000001" customHeight="1" x14ac:dyDescent="0.2">
      <c r="A29" s="318"/>
      <c r="B29" s="312">
        <f t="shared" si="2"/>
        <v>6</v>
      </c>
      <c r="C29" s="312">
        <f t="shared" si="3"/>
        <v>25</v>
      </c>
      <c r="D29" s="312">
        <f t="shared" si="4"/>
        <v>30</v>
      </c>
      <c r="E29" s="430">
        <v>0.69097222222222221</v>
      </c>
      <c r="F29" s="312">
        <v>45.037999999999997</v>
      </c>
      <c r="G29" s="317">
        <f>'TSP HG-ISO Run3'!H11</f>
        <v>0.06</v>
      </c>
      <c r="H29" s="427">
        <f>'TSP HG-ISO Run3'!I11</f>
        <v>2.76</v>
      </c>
      <c r="I29" s="428">
        <f t="shared" si="0"/>
        <v>2.76</v>
      </c>
      <c r="J29" s="312">
        <f>'TSP HG-ISO Run3'!L11</f>
        <v>107</v>
      </c>
      <c r="K29" s="312">
        <v>245</v>
      </c>
      <c r="L29" s="313">
        <v>248</v>
      </c>
      <c r="M29" s="313"/>
      <c r="N29" s="312">
        <v>33</v>
      </c>
      <c r="O29" s="312">
        <f>'TSP HG-ISO Run3'!J11</f>
        <v>77</v>
      </c>
      <c r="P29" s="311">
        <f t="shared" si="1"/>
        <v>77</v>
      </c>
      <c r="Q29" s="310">
        <v>7</v>
      </c>
      <c r="R29" s="389"/>
    </row>
    <row r="30" spans="1:19" ht="20.100000000000001" customHeight="1" x14ac:dyDescent="0.2">
      <c r="A30" s="318"/>
      <c r="B30" s="312">
        <f t="shared" si="2"/>
        <v>7</v>
      </c>
      <c r="C30" s="312">
        <f t="shared" si="3"/>
        <v>30</v>
      </c>
      <c r="D30" s="312">
        <f t="shared" si="4"/>
        <v>35</v>
      </c>
      <c r="E30" s="430">
        <v>0.69444444444444453</v>
      </c>
      <c r="F30" s="312">
        <v>49.918999999999997</v>
      </c>
      <c r="G30" s="317">
        <f>'TSP HG-ISO Run3'!H12</f>
        <v>6.5000000000000002E-2</v>
      </c>
      <c r="H30" s="427">
        <f>'TSP HG-ISO Run3'!I12</f>
        <v>2.99</v>
      </c>
      <c r="I30" s="428">
        <f t="shared" si="0"/>
        <v>2.99</v>
      </c>
      <c r="J30" s="312">
        <f>'TSP HG-ISO Run3'!L12</f>
        <v>107</v>
      </c>
      <c r="K30" s="312">
        <v>245</v>
      </c>
      <c r="L30" s="313">
        <v>248</v>
      </c>
      <c r="M30" s="313"/>
      <c r="N30" s="312">
        <v>33</v>
      </c>
      <c r="O30" s="312">
        <f>'TSP HG-ISO Run3'!J12</f>
        <v>77</v>
      </c>
      <c r="P30" s="311">
        <f t="shared" si="1"/>
        <v>77</v>
      </c>
      <c r="Q30" s="310">
        <v>8</v>
      </c>
      <c r="R30" s="389"/>
    </row>
    <row r="31" spans="1:19" ht="20.100000000000001" customHeight="1" x14ac:dyDescent="0.2">
      <c r="A31" s="318"/>
      <c r="B31" s="312">
        <f t="shared" si="2"/>
        <v>8</v>
      </c>
      <c r="C31" s="312">
        <f t="shared" si="3"/>
        <v>35</v>
      </c>
      <c r="D31" s="312">
        <f t="shared" si="4"/>
        <v>40</v>
      </c>
      <c r="E31" s="430">
        <v>0.69791666666666663</v>
      </c>
      <c r="F31" s="312">
        <v>54.8</v>
      </c>
      <c r="G31" s="317">
        <f>'TSP HG-ISO Run3'!H13</f>
        <v>6.5000000000000002E-2</v>
      </c>
      <c r="H31" s="427">
        <f>'TSP HG-ISO Run3'!I13</f>
        <v>2.99</v>
      </c>
      <c r="I31" s="428">
        <f t="shared" si="0"/>
        <v>2.99</v>
      </c>
      <c r="J31" s="312">
        <f>'TSP HG-ISO Run3'!L13</f>
        <v>108</v>
      </c>
      <c r="K31" s="312">
        <v>245</v>
      </c>
      <c r="L31" s="313">
        <v>248</v>
      </c>
      <c r="M31" s="313"/>
      <c r="N31" s="312">
        <v>33</v>
      </c>
      <c r="O31" s="312">
        <f>'TSP HG-ISO Run3'!J13</f>
        <v>78</v>
      </c>
      <c r="P31" s="311">
        <f t="shared" si="1"/>
        <v>78</v>
      </c>
      <c r="Q31" s="310">
        <v>9</v>
      </c>
      <c r="R31" s="389"/>
    </row>
    <row r="32" spans="1:19" ht="20.100000000000001" customHeight="1" x14ac:dyDescent="0.2">
      <c r="A32" s="318"/>
      <c r="B32" s="312">
        <f t="shared" si="2"/>
        <v>9</v>
      </c>
      <c r="C32" s="312">
        <f t="shared" si="3"/>
        <v>40</v>
      </c>
      <c r="D32" s="312">
        <f t="shared" si="4"/>
        <v>45</v>
      </c>
      <c r="E32" s="430">
        <v>0.70138888888888884</v>
      </c>
      <c r="F32" s="312">
        <v>59.680999999999997</v>
      </c>
      <c r="G32" s="317">
        <f>'TSP HG-ISO Run3'!H14</f>
        <v>0.06</v>
      </c>
      <c r="H32" s="427">
        <f>'TSP HG-ISO Run3'!I14</f>
        <v>2.76</v>
      </c>
      <c r="I32" s="428">
        <f t="shared" si="0"/>
        <v>2.76</v>
      </c>
      <c r="J32" s="312">
        <f>'TSP HG-ISO Run3'!L14</f>
        <v>108</v>
      </c>
      <c r="K32" s="312">
        <v>245</v>
      </c>
      <c r="L32" s="313">
        <v>248</v>
      </c>
      <c r="M32" s="313"/>
      <c r="N32" s="312">
        <v>33</v>
      </c>
      <c r="O32" s="312">
        <f>'TSP HG-ISO Run3'!J14</f>
        <v>79</v>
      </c>
      <c r="P32" s="311">
        <f t="shared" si="1"/>
        <v>79</v>
      </c>
      <c r="Q32" s="310">
        <v>10</v>
      </c>
      <c r="R32" s="389"/>
    </row>
    <row r="33" spans="1:18" ht="20.100000000000001" customHeight="1" x14ac:dyDescent="0.2">
      <c r="A33" s="318"/>
      <c r="B33" s="312">
        <f t="shared" si="2"/>
        <v>10</v>
      </c>
      <c r="C33" s="312">
        <f t="shared" si="3"/>
        <v>45</v>
      </c>
      <c r="D33" s="312">
        <f t="shared" si="4"/>
        <v>50</v>
      </c>
      <c r="E33" s="430">
        <v>0.70486111111111116</v>
      </c>
      <c r="F33" s="312">
        <v>64.561999999999998</v>
      </c>
      <c r="G33" s="317">
        <f>'TSP HG-ISO Run3'!H15</f>
        <v>5.5E-2</v>
      </c>
      <c r="H33" s="427">
        <f>'TSP HG-ISO Run3'!I15</f>
        <v>2.5299999999999998</v>
      </c>
      <c r="I33" s="428">
        <f t="shared" si="0"/>
        <v>2.5299999999999998</v>
      </c>
      <c r="J33" s="312">
        <f>'TSP HG-ISO Run3'!L15</f>
        <v>106</v>
      </c>
      <c r="K33" s="312">
        <v>245</v>
      </c>
      <c r="L33" s="313">
        <v>248</v>
      </c>
      <c r="M33" s="313"/>
      <c r="N33" s="312">
        <v>33</v>
      </c>
      <c r="O33" s="312">
        <f>'TSP HG-ISO Run3'!J15</f>
        <v>80</v>
      </c>
      <c r="P33" s="311">
        <f t="shared" si="1"/>
        <v>80</v>
      </c>
      <c r="Q33" s="310">
        <v>11</v>
      </c>
      <c r="R33" s="389"/>
    </row>
    <row r="34" spans="1:18" ht="20.100000000000001" customHeight="1" x14ac:dyDescent="0.2">
      <c r="A34" s="318"/>
      <c r="B34" s="312">
        <f t="shared" si="2"/>
        <v>11</v>
      </c>
      <c r="C34" s="312">
        <f t="shared" si="3"/>
        <v>50</v>
      </c>
      <c r="D34" s="312">
        <f t="shared" si="4"/>
        <v>55</v>
      </c>
      <c r="E34" s="430">
        <v>0.70833333333333337</v>
      </c>
      <c r="F34" s="312">
        <v>69.442999999999998</v>
      </c>
      <c r="G34" s="317">
        <f>'TSP HG-ISO Run3'!H16</f>
        <v>0.05</v>
      </c>
      <c r="H34" s="427">
        <f>'TSP HG-ISO Run3'!I16</f>
        <v>2.3000000000000003</v>
      </c>
      <c r="I34" s="428">
        <f t="shared" si="0"/>
        <v>2.3000000000000003</v>
      </c>
      <c r="J34" s="312">
        <f>'TSP HG-ISO Run3'!L16</f>
        <v>107</v>
      </c>
      <c r="K34" s="312">
        <v>245</v>
      </c>
      <c r="L34" s="313">
        <v>248</v>
      </c>
      <c r="M34" s="313"/>
      <c r="N34" s="312">
        <v>33</v>
      </c>
      <c r="O34" s="312">
        <f>'TSP HG-ISO Run3'!J16</f>
        <v>81</v>
      </c>
      <c r="P34" s="311">
        <f t="shared" si="1"/>
        <v>81</v>
      </c>
      <c r="Q34" s="310">
        <v>12</v>
      </c>
      <c r="R34" s="389"/>
    </row>
    <row r="35" spans="1:18" ht="20.100000000000001" customHeight="1" x14ac:dyDescent="0.2">
      <c r="A35" s="318"/>
      <c r="B35" s="312">
        <f t="shared" si="2"/>
        <v>12</v>
      </c>
      <c r="C35" s="312">
        <f t="shared" si="3"/>
        <v>55</v>
      </c>
      <c r="D35" s="312">
        <f t="shared" si="4"/>
        <v>60</v>
      </c>
      <c r="E35" s="430">
        <v>0.71180555555555547</v>
      </c>
      <c r="F35" s="312">
        <v>74.323999999999998</v>
      </c>
      <c r="G35" s="317">
        <f>'TSP HG-ISO Run3'!H17</f>
        <v>0.05</v>
      </c>
      <c r="H35" s="427">
        <f>'TSP HG-ISO Run3'!I17</f>
        <v>2.3000000000000003</v>
      </c>
      <c r="I35" s="428">
        <f t="shared" si="0"/>
        <v>2.3000000000000003</v>
      </c>
      <c r="J35" s="312">
        <f>'TSP HG-ISO Run3'!L17</f>
        <v>107</v>
      </c>
      <c r="K35" s="312">
        <v>245</v>
      </c>
      <c r="L35" s="313">
        <v>248</v>
      </c>
      <c r="M35" s="313"/>
      <c r="N35" s="312">
        <v>33</v>
      </c>
      <c r="O35" s="312">
        <f>'TSP HG-ISO Run3'!J17</f>
        <v>81</v>
      </c>
      <c r="P35" s="311">
        <f t="shared" si="1"/>
        <v>81</v>
      </c>
      <c r="Q35" s="310">
        <v>13</v>
      </c>
      <c r="R35" s="389"/>
    </row>
    <row r="36" spans="1:18" ht="20.100000000000001" customHeight="1" x14ac:dyDescent="0.2">
      <c r="A36" s="318"/>
      <c r="B36" s="312">
        <f t="shared" si="2"/>
        <v>13</v>
      </c>
      <c r="C36" s="312">
        <f t="shared" si="3"/>
        <v>60</v>
      </c>
      <c r="D36" s="312">
        <f t="shared" si="4"/>
        <v>65</v>
      </c>
      <c r="E36" s="430">
        <v>0.71527777777777779</v>
      </c>
      <c r="F36" s="312">
        <v>79.204999999999998</v>
      </c>
      <c r="G36" s="317">
        <f>'TSP HG-ISO Run3'!H18</f>
        <v>5.5E-2</v>
      </c>
      <c r="H36" s="427">
        <f>'TSP HG-ISO Run3'!I18</f>
        <v>2.5299999999999998</v>
      </c>
      <c r="I36" s="428">
        <f t="shared" si="0"/>
        <v>2.5299999999999998</v>
      </c>
      <c r="J36" s="312">
        <f>'TSP HG-ISO Run3'!L18</f>
        <v>107</v>
      </c>
      <c r="K36" s="312">
        <v>245</v>
      </c>
      <c r="L36" s="313">
        <v>248</v>
      </c>
      <c r="M36" s="313"/>
      <c r="N36" s="312">
        <v>33</v>
      </c>
      <c r="O36" s="312">
        <f>'TSP HG-ISO Run3'!J18</f>
        <v>81</v>
      </c>
      <c r="P36" s="311">
        <f t="shared" si="1"/>
        <v>81</v>
      </c>
      <c r="Q36" s="310">
        <v>14</v>
      </c>
      <c r="R36" s="389"/>
    </row>
    <row r="37" spans="1:18" ht="20.100000000000001" customHeight="1" x14ac:dyDescent="0.2">
      <c r="A37" s="318"/>
      <c r="B37" s="312">
        <f t="shared" si="2"/>
        <v>14</v>
      </c>
      <c r="C37" s="312">
        <f t="shared" si="3"/>
        <v>65</v>
      </c>
      <c r="D37" s="312">
        <f t="shared" si="4"/>
        <v>70</v>
      </c>
      <c r="E37" s="430">
        <v>0.71875</v>
      </c>
      <c r="F37" s="312">
        <v>84.085999999999999</v>
      </c>
      <c r="G37" s="317">
        <f>'TSP HG-ISO Run3'!H19</f>
        <v>5.5E-2</v>
      </c>
      <c r="H37" s="427">
        <f>'TSP HG-ISO Run3'!I19</f>
        <v>2.5299999999999998</v>
      </c>
      <c r="I37" s="428">
        <f t="shared" si="0"/>
        <v>2.5299999999999998</v>
      </c>
      <c r="J37" s="312">
        <f>'TSP HG-ISO Run3'!L19</f>
        <v>108</v>
      </c>
      <c r="K37" s="312">
        <v>245</v>
      </c>
      <c r="L37" s="313">
        <v>248</v>
      </c>
      <c r="M37" s="313"/>
      <c r="N37" s="312">
        <v>33</v>
      </c>
      <c r="O37" s="312">
        <f>'TSP HG-ISO Run3'!J19</f>
        <v>81</v>
      </c>
      <c r="P37" s="311">
        <f t="shared" si="1"/>
        <v>81</v>
      </c>
      <c r="Q37" s="310">
        <v>15</v>
      </c>
      <c r="R37" s="389"/>
    </row>
    <row r="38" spans="1:18" ht="20.100000000000001" customHeight="1" x14ac:dyDescent="0.2">
      <c r="A38" s="318"/>
      <c r="B38" s="312">
        <f t="shared" si="2"/>
        <v>15</v>
      </c>
      <c r="C38" s="312">
        <f t="shared" si="3"/>
        <v>70</v>
      </c>
      <c r="D38" s="312">
        <f t="shared" si="4"/>
        <v>75</v>
      </c>
      <c r="E38" s="430">
        <v>0.72222222222222221</v>
      </c>
      <c r="F38" s="312">
        <v>88.966999999999999</v>
      </c>
      <c r="G38" s="317">
        <f>'TSP HG-ISO Run3'!H20</f>
        <v>0.06</v>
      </c>
      <c r="H38" s="427">
        <f>'TSP HG-ISO Run3'!I20</f>
        <v>2.76</v>
      </c>
      <c r="I38" s="428">
        <f t="shared" si="0"/>
        <v>2.76</v>
      </c>
      <c r="J38" s="312">
        <f>'TSP HG-ISO Run3'!L20</f>
        <v>109</v>
      </c>
      <c r="K38" s="312">
        <v>245</v>
      </c>
      <c r="L38" s="313">
        <v>248</v>
      </c>
      <c r="M38" s="313"/>
      <c r="N38" s="312">
        <v>33</v>
      </c>
      <c r="O38" s="312">
        <f>'TSP HG-ISO Run3'!J20</f>
        <v>81</v>
      </c>
      <c r="P38" s="311">
        <f t="shared" si="1"/>
        <v>81</v>
      </c>
      <c r="Q38" s="310">
        <v>16</v>
      </c>
      <c r="R38" s="389"/>
    </row>
    <row r="39" spans="1:18" ht="20.100000000000001" customHeight="1" x14ac:dyDescent="0.2">
      <c r="A39" s="318"/>
      <c r="B39" s="312">
        <f t="shared" si="2"/>
        <v>16</v>
      </c>
      <c r="C39" s="312">
        <f t="shared" si="3"/>
        <v>75</v>
      </c>
      <c r="D39" s="312">
        <f t="shared" si="4"/>
        <v>80</v>
      </c>
      <c r="E39" s="430">
        <v>0.72569444444444453</v>
      </c>
      <c r="F39" s="312">
        <v>93.847999999999999</v>
      </c>
      <c r="G39" s="317">
        <f>'TSP HG-ISO Run3'!H21</f>
        <v>0.06</v>
      </c>
      <c r="H39" s="427">
        <f>'TSP HG-ISO Run3'!I21</f>
        <v>2.76</v>
      </c>
      <c r="I39" s="428">
        <f t="shared" si="0"/>
        <v>2.76</v>
      </c>
      <c r="J39" s="312">
        <f>'TSP HG-ISO Run3'!L21</f>
        <v>107</v>
      </c>
      <c r="K39" s="312">
        <v>245</v>
      </c>
      <c r="L39" s="313">
        <v>248</v>
      </c>
      <c r="M39" s="313"/>
      <c r="N39" s="312">
        <v>33</v>
      </c>
      <c r="O39" s="312">
        <f>'TSP HG-ISO Run3'!J21</f>
        <v>81</v>
      </c>
      <c r="P39" s="311">
        <f t="shared" si="1"/>
        <v>81</v>
      </c>
      <c r="Q39" s="310">
        <v>17</v>
      </c>
      <c r="R39" s="389"/>
    </row>
    <row r="40" spans="1:18" ht="20.100000000000001" customHeight="1" x14ac:dyDescent="0.2">
      <c r="A40" s="318"/>
      <c r="B40" s="312">
        <f t="shared" si="2"/>
        <v>17</v>
      </c>
      <c r="C40" s="312">
        <f t="shared" si="3"/>
        <v>80</v>
      </c>
      <c r="D40" s="312">
        <f t="shared" si="4"/>
        <v>85</v>
      </c>
      <c r="E40" s="430">
        <v>0.72916666666666663</v>
      </c>
      <c r="F40" s="312">
        <v>98.728999999999999</v>
      </c>
      <c r="G40" s="317">
        <f>'TSP HG-ISO Run3'!H22</f>
        <v>5.5E-2</v>
      </c>
      <c r="H40" s="427">
        <f>'TSP HG-ISO Run3'!I22</f>
        <v>2.5299999999999998</v>
      </c>
      <c r="I40" s="428">
        <f t="shared" si="0"/>
        <v>2.5299999999999998</v>
      </c>
      <c r="J40" s="312">
        <f>'TSP HG-ISO Run3'!L22</f>
        <v>108</v>
      </c>
      <c r="K40" s="312">
        <v>245</v>
      </c>
      <c r="L40" s="313">
        <v>248</v>
      </c>
      <c r="M40" s="313"/>
      <c r="N40" s="312">
        <v>33</v>
      </c>
      <c r="O40" s="312">
        <f>'TSP HG-ISO Run3'!J22</f>
        <v>81</v>
      </c>
      <c r="P40" s="311">
        <f t="shared" si="1"/>
        <v>81</v>
      </c>
      <c r="Q40" s="310">
        <v>18</v>
      </c>
      <c r="R40" s="389"/>
    </row>
    <row r="41" spans="1:18" ht="20.100000000000001" customHeight="1" x14ac:dyDescent="0.2">
      <c r="A41" s="318"/>
      <c r="B41" s="312">
        <f t="shared" si="2"/>
        <v>18</v>
      </c>
      <c r="C41" s="312">
        <f t="shared" si="3"/>
        <v>85</v>
      </c>
      <c r="D41" s="312">
        <f t="shared" si="4"/>
        <v>90</v>
      </c>
      <c r="E41" s="430">
        <v>0.73263888888888884</v>
      </c>
      <c r="F41" s="312">
        <v>103.61</v>
      </c>
      <c r="G41" s="317">
        <f>'TSP HG-ISO Run3'!H23</f>
        <v>5.5E-2</v>
      </c>
      <c r="H41" s="427">
        <f>'TSP HG-ISO Run3'!I23</f>
        <v>2.5299999999999998</v>
      </c>
      <c r="I41" s="428">
        <f t="shared" si="0"/>
        <v>2.5299999999999998</v>
      </c>
      <c r="J41" s="312">
        <f>'TSP HG-ISO Run3'!L23</f>
        <v>109</v>
      </c>
      <c r="K41" s="312">
        <v>245</v>
      </c>
      <c r="L41" s="313">
        <v>248</v>
      </c>
      <c r="M41" s="313"/>
      <c r="N41" s="312">
        <v>33</v>
      </c>
      <c r="O41" s="312">
        <f>'TSP HG-ISO Run3'!J23</f>
        <v>80</v>
      </c>
      <c r="P41" s="311">
        <f t="shared" si="1"/>
        <v>80</v>
      </c>
      <c r="Q41" s="310">
        <v>19</v>
      </c>
      <c r="R41" s="389"/>
    </row>
    <row r="42" spans="1:18" ht="20.100000000000001" customHeight="1" x14ac:dyDescent="0.2">
      <c r="A42" s="318"/>
      <c r="B42" s="312">
        <f t="shared" si="2"/>
        <v>19</v>
      </c>
      <c r="C42" s="312">
        <f t="shared" si="3"/>
        <v>90</v>
      </c>
      <c r="D42" s="312">
        <f t="shared" si="4"/>
        <v>95</v>
      </c>
      <c r="E42" s="430">
        <v>0.73611111111111116</v>
      </c>
      <c r="F42" s="312">
        <v>108.491</v>
      </c>
      <c r="G42" s="317">
        <f>'TSP HG-ISO Run3'!H24</f>
        <v>0.06</v>
      </c>
      <c r="H42" s="427">
        <f>'TSP HG-ISO Run3'!I24</f>
        <v>2.76</v>
      </c>
      <c r="I42" s="428">
        <f t="shared" si="0"/>
        <v>2.76</v>
      </c>
      <c r="J42" s="312">
        <f>'TSP HG-ISO Run3'!L24</f>
        <v>108</v>
      </c>
      <c r="K42" s="312">
        <v>245</v>
      </c>
      <c r="L42" s="313">
        <v>248</v>
      </c>
      <c r="M42" s="313"/>
      <c r="N42" s="312">
        <v>33</v>
      </c>
      <c r="O42" s="312">
        <f>'TSP HG-ISO Run3'!J24</f>
        <v>80</v>
      </c>
      <c r="P42" s="311">
        <f t="shared" si="1"/>
        <v>80</v>
      </c>
      <c r="Q42" s="310">
        <v>20</v>
      </c>
      <c r="R42" s="389"/>
    </row>
    <row r="43" spans="1:18" ht="20.100000000000001" customHeight="1" x14ac:dyDescent="0.2">
      <c r="A43" s="318"/>
      <c r="B43" s="312">
        <f t="shared" si="2"/>
        <v>20</v>
      </c>
      <c r="C43" s="312">
        <f t="shared" si="3"/>
        <v>95</v>
      </c>
      <c r="D43" s="312">
        <f t="shared" si="4"/>
        <v>100</v>
      </c>
      <c r="E43" s="430">
        <v>0.73958333333333337</v>
      </c>
      <c r="F43" s="312">
        <v>113.372</v>
      </c>
      <c r="G43" s="317">
        <f>'TSP HG-ISO Run3'!H25</f>
        <v>6.5000000000000002E-2</v>
      </c>
      <c r="H43" s="427">
        <f>'TSP HG-ISO Run3'!I25</f>
        <v>2.99</v>
      </c>
      <c r="I43" s="428">
        <f t="shared" si="0"/>
        <v>2.99</v>
      </c>
      <c r="J43" s="312">
        <f>'TSP HG-ISO Run3'!L25</f>
        <v>107</v>
      </c>
      <c r="K43" s="312">
        <v>245</v>
      </c>
      <c r="L43" s="313">
        <v>248</v>
      </c>
      <c r="M43" s="313"/>
      <c r="N43" s="312">
        <v>33</v>
      </c>
      <c r="O43" s="312">
        <f>'TSP HG-ISO Run3'!J25</f>
        <v>80</v>
      </c>
      <c r="P43" s="311">
        <f t="shared" si="1"/>
        <v>80</v>
      </c>
      <c r="Q43" s="310">
        <v>21</v>
      </c>
      <c r="R43" s="389"/>
    </row>
    <row r="44" spans="1:18" ht="20.100000000000001" customHeight="1" x14ac:dyDescent="0.2">
      <c r="A44" s="318"/>
      <c r="B44" s="312">
        <f t="shared" si="2"/>
        <v>21</v>
      </c>
      <c r="C44" s="312">
        <f t="shared" si="3"/>
        <v>100</v>
      </c>
      <c r="D44" s="312">
        <f t="shared" si="4"/>
        <v>105</v>
      </c>
      <c r="E44" s="430">
        <v>0.74305555555555547</v>
      </c>
      <c r="F44" s="312">
        <v>118.253</v>
      </c>
      <c r="G44" s="317">
        <f>'TSP HG-ISO Run3'!H26</f>
        <v>6.5000000000000002E-2</v>
      </c>
      <c r="H44" s="427">
        <f>'TSP HG-ISO Run3'!I26</f>
        <v>2.99</v>
      </c>
      <c r="I44" s="428">
        <f t="shared" si="0"/>
        <v>2.99</v>
      </c>
      <c r="J44" s="312">
        <f>'TSP HG-ISO Run3'!L26</f>
        <v>107</v>
      </c>
      <c r="K44" s="312">
        <v>245</v>
      </c>
      <c r="L44" s="313">
        <v>248</v>
      </c>
      <c r="M44" s="313"/>
      <c r="N44" s="312">
        <v>33</v>
      </c>
      <c r="O44" s="312">
        <f>'TSP HG-ISO Run3'!J26</f>
        <v>80</v>
      </c>
      <c r="P44" s="311">
        <f t="shared" si="1"/>
        <v>80</v>
      </c>
      <c r="Q44" s="310">
        <v>22</v>
      </c>
      <c r="R44" s="389"/>
    </row>
    <row r="45" spans="1:18" ht="20.100000000000001" customHeight="1" x14ac:dyDescent="0.2">
      <c r="A45" s="315"/>
      <c r="B45" s="312">
        <f t="shared" si="2"/>
        <v>22</v>
      </c>
      <c r="C45" s="312">
        <f t="shared" si="3"/>
        <v>105</v>
      </c>
      <c r="D45" s="312">
        <f t="shared" si="4"/>
        <v>110</v>
      </c>
      <c r="E45" s="430">
        <v>0.74652777777777779</v>
      </c>
      <c r="F45" s="312">
        <v>123.134</v>
      </c>
      <c r="G45" s="317">
        <f>'TSP HG-ISO Run3'!H27</f>
        <v>5.5E-2</v>
      </c>
      <c r="H45" s="427">
        <f>'TSP HG-ISO Run3'!I27</f>
        <v>2.5299999999999998</v>
      </c>
      <c r="I45" s="428">
        <f t="shared" si="0"/>
        <v>2.5299999999999998</v>
      </c>
      <c r="J45" s="312">
        <f>'TSP HG-ISO Run3'!L27</f>
        <v>107</v>
      </c>
      <c r="K45" s="312">
        <v>245</v>
      </c>
      <c r="L45" s="313">
        <v>248</v>
      </c>
      <c r="M45" s="313"/>
      <c r="N45" s="312">
        <v>33</v>
      </c>
      <c r="O45" s="312">
        <f>'TSP HG-ISO Run3'!J27</f>
        <v>80</v>
      </c>
      <c r="P45" s="311">
        <f t="shared" si="1"/>
        <v>80</v>
      </c>
      <c r="Q45" s="310">
        <v>23</v>
      </c>
      <c r="R45" s="389"/>
    </row>
    <row r="46" spans="1:18" ht="20.100000000000001" customHeight="1" x14ac:dyDescent="0.2">
      <c r="A46" s="315"/>
      <c r="B46" s="312">
        <f t="shared" si="2"/>
        <v>23</v>
      </c>
      <c r="C46" s="312">
        <f t="shared" si="3"/>
        <v>110</v>
      </c>
      <c r="D46" s="312">
        <f t="shared" si="4"/>
        <v>115</v>
      </c>
      <c r="E46" s="430">
        <v>0.75</v>
      </c>
      <c r="F46" s="312">
        <v>128.01499999999999</v>
      </c>
      <c r="G46" s="317">
        <f>'TSP HG-ISO Run3'!H28</f>
        <v>0.05</v>
      </c>
      <c r="H46" s="427">
        <f>'TSP HG-ISO Run3'!I28</f>
        <v>2.3000000000000003</v>
      </c>
      <c r="I46" s="428">
        <f t="shared" si="0"/>
        <v>2.3000000000000003</v>
      </c>
      <c r="J46" s="312">
        <f>'TSP HG-ISO Run3'!L28</f>
        <v>107</v>
      </c>
      <c r="K46" s="312">
        <v>245</v>
      </c>
      <c r="L46" s="313">
        <v>248</v>
      </c>
      <c r="M46" s="313"/>
      <c r="N46" s="312">
        <v>33</v>
      </c>
      <c r="O46" s="312">
        <f>'TSP HG-ISO Run3'!J28</f>
        <v>80</v>
      </c>
      <c r="P46" s="311">
        <f t="shared" si="1"/>
        <v>80</v>
      </c>
      <c r="Q46" s="310">
        <v>24</v>
      </c>
      <c r="R46" s="389"/>
    </row>
    <row r="47" spans="1:18" ht="20.100000000000001" customHeight="1" x14ac:dyDescent="0.2">
      <c r="A47" s="315"/>
      <c r="B47" s="312">
        <f t="shared" si="2"/>
        <v>24</v>
      </c>
      <c r="C47" s="312">
        <f t="shared" si="3"/>
        <v>115</v>
      </c>
      <c r="D47" s="312">
        <f t="shared" si="4"/>
        <v>120</v>
      </c>
      <c r="E47" s="430">
        <v>0.75347222222222221</v>
      </c>
      <c r="F47" s="312">
        <v>132.89599999999999</v>
      </c>
      <c r="G47" s="317">
        <f>'TSP HG-ISO Run3'!H29</f>
        <v>0.05</v>
      </c>
      <c r="H47" s="427">
        <f>'TSP HG-ISO Run3'!I29</f>
        <v>2.3000000000000003</v>
      </c>
      <c r="I47" s="428">
        <f t="shared" si="0"/>
        <v>2.3000000000000003</v>
      </c>
      <c r="J47" s="312">
        <f>'TSP HG-ISO Run3'!L29</f>
        <v>107</v>
      </c>
      <c r="K47" s="312">
        <v>245</v>
      </c>
      <c r="L47" s="313">
        <v>248</v>
      </c>
      <c r="M47" s="313"/>
      <c r="N47" s="312">
        <v>33</v>
      </c>
      <c r="O47" s="312">
        <f>'TSP HG-ISO Run3'!J29</f>
        <v>80</v>
      </c>
      <c r="P47" s="311">
        <f t="shared" si="1"/>
        <v>80</v>
      </c>
      <c r="Q47" s="310">
        <v>25</v>
      </c>
      <c r="R47" s="389"/>
    </row>
    <row r="48" spans="1:18" ht="20.100000000000001" customHeight="1" x14ac:dyDescent="0.2">
      <c r="A48" s="315"/>
      <c r="B48" s="391"/>
      <c r="C48" s="391">
        <v>120</v>
      </c>
      <c r="D48" s="390"/>
      <c r="E48" s="389"/>
      <c r="F48" s="312">
        <f>'TSP HG-ISO Run3'!E14</f>
        <v>137.768</v>
      </c>
      <c r="G48" s="390"/>
      <c r="H48" s="389"/>
      <c r="I48" s="390"/>
      <c r="J48" s="391"/>
      <c r="K48" s="391"/>
      <c r="L48" s="401"/>
      <c r="M48" s="400"/>
      <c r="N48" s="390"/>
      <c r="O48" s="391"/>
      <c r="P48" s="399"/>
      <c r="Q48" s="389"/>
      <c r="R48" s="389"/>
    </row>
    <row r="49" spans="1:18" ht="20.100000000000001" customHeight="1" x14ac:dyDescent="0.2">
      <c r="A49" s="315"/>
      <c r="B49" s="391"/>
      <c r="C49" s="391"/>
      <c r="D49" s="390"/>
      <c r="E49" s="389"/>
      <c r="F49" s="390"/>
      <c r="G49" s="390"/>
      <c r="H49" s="389"/>
      <c r="I49" s="390"/>
      <c r="J49" s="391"/>
      <c r="K49" s="391"/>
      <c r="L49" s="401"/>
      <c r="M49" s="400"/>
      <c r="N49" s="390"/>
      <c r="O49" s="391"/>
      <c r="P49" s="399"/>
      <c r="Q49" s="389"/>
      <c r="R49" s="389"/>
    </row>
    <row r="50" spans="1:18" ht="20.100000000000001" customHeight="1" x14ac:dyDescent="0.2">
      <c r="A50" s="315"/>
      <c r="B50" s="391"/>
      <c r="C50" s="391"/>
      <c r="D50" s="390"/>
      <c r="E50" s="389"/>
      <c r="F50" s="390"/>
      <c r="G50" s="390"/>
      <c r="H50" s="389"/>
      <c r="I50" s="390"/>
      <c r="J50" s="391"/>
      <c r="K50" s="391"/>
      <c r="L50" s="401"/>
      <c r="M50" s="400"/>
      <c r="N50" s="390"/>
      <c r="O50" s="391"/>
      <c r="P50" s="399"/>
      <c r="Q50" s="389"/>
      <c r="R50" s="389"/>
    </row>
    <row r="51" spans="1:18" ht="20.100000000000001" customHeight="1" x14ac:dyDescent="0.2">
      <c r="A51" s="315"/>
      <c r="B51" s="391"/>
      <c r="C51" s="391"/>
      <c r="D51" s="390"/>
      <c r="E51" s="389"/>
      <c r="F51" s="390"/>
      <c r="G51" s="390"/>
      <c r="H51" s="389"/>
      <c r="I51" s="390"/>
      <c r="J51" s="391"/>
      <c r="K51" s="391"/>
      <c r="L51" s="401"/>
      <c r="M51" s="400"/>
      <c r="N51" s="390"/>
      <c r="O51" s="391"/>
      <c r="P51" s="399"/>
      <c r="Q51" s="389"/>
      <c r="R51" s="389"/>
    </row>
    <row r="52" spans="1:18" ht="20.100000000000001" customHeight="1" x14ac:dyDescent="0.2">
      <c r="A52" s="315"/>
      <c r="B52" s="391"/>
      <c r="C52" s="391"/>
      <c r="D52" s="390"/>
      <c r="E52" s="389"/>
      <c r="F52" s="390"/>
      <c r="G52" s="390"/>
      <c r="H52" s="389"/>
      <c r="I52" s="390"/>
      <c r="J52" s="391"/>
      <c r="K52" s="391"/>
      <c r="L52" s="401"/>
      <c r="M52" s="400"/>
      <c r="N52" s="390"/>
      <c r="O52" s="391"/>
      <c r="P52" s="399"/>
      <c r="Q52" s="389"/>
      <c r="R52" s="389"/>
    </row>
    <row r="53" spans="1:18" ht="20.100000000000001" customHeight="1" x14ac:dyDescent="0.2">
      <c r="A53" s="315"/>
      <c r="B53" s="391"/>
      <c r="C53" s="391"/>
      <c r="D53" s="390"/>
      <c r="E53" s="389"/>
      <c r="F53" s="390"/>
      <c r="G53" s="390"/>
      <c r="H53" s="389"/>
      <c r="I53" s="390"/>
      <c r="J53" s="391"/>
      <c r="K53" s="391"/>
      <c r="L53" s="401"/>
      <c r="M53" s="400"/>
      <c r="N53" s="390"/>
      <c r="O53" s="391"/>
      <c r="P53" s="399"/>
      <c r="Q53" s="389"/>
      <c r="R53" s="389"/>
    </row>
    <row r="54" spans="1:18" ht="20.100000000000001" customHeight="1" x14ac:dyDescent="0.2">
      <c r="A54" s="315"/>
      <c r="B54" s="391"/>
      <c r="C54" s="391"/>
      <c r="D54" s="390"/>
      <c r="E54" s="389"/>
      <c r="F54" s="390"/>
      <c r="G54" s="390"/>
      <c r="H54" s="389"/>
      <c r="I54" s="390"/>
      <c r="J54" s="391"/>
      <c r="K54" s="391"/>
      <c r="L54" s="401"/>
      <c r="M54" s="400"/>
      <c r="N54" s="390"/>
      <c r="O54" s="391"/>
      <c r="P54" s="399"/>
      <c r="Q54" s="389"/>
      <c r="R54" s="389"/>
    </row>
    <row r="55" spans="1:18" ht="20.100000000000001" customHeight="1" x14ac:dyDescent="0.2">
      <c r="A55" s="315"/>
      <c r="B55" s="391"/>
      <c r="C55" s="391"/>
      <c r="D55" s="390"/>
      <c r="E55" s="389"/>
      <c r="F55" s="390"/>
      <c r="G55" s="390"/>
      <c r="H55" s="389"/>
      <c r="I55" s="390"/>
      <c r="J55" s="391"/>
      <c r="K55" s="391"/>
      <c r="L55" s="401"/>
      <c r="M55" s="400"/>
      <c r="N55" s="390"/>
      <c r="O55" s="391"/>
      <c r="P55" s="399"/>
      <c r="Q55" s="389"/>
      <c r="R55" s="389"/>
    </row>
    <row r="56" spans="1:18" ht="20.100000000000001" customHeight="1" x14ac:dyDescent="0.2">
      <c r="A56" s="315"/>
      <c r="B56" s="391"/>
      <c r="C56" s="391"/>
      <c r="D56" s="390"/>
      <c r="E56" s="389"/>
      <c r="F56" s="390"/>
      <c r="G56" s="390"/>
      <c r="H56" s="389"/>
      <c r="I56" s="390"/>
      <c r="J56" s="391"/>
      <c r="K56" s="391"/>
      <c r="L56" s="401"/>
      <c r="M56" s="400"/>
      <c r="N56" s="390"/>
      <c r="O56" s="391"/>
      <c r="P56" s="399"/>
      <c r="Q56" s="389"/>
      <c r="R56" s="389"/>
    </row>
    <row r="57" spans="1:18" ht="20.100000000000001" customHeight="1" x14ac:dyDescent="0.2">
      <c r="A57" s="315"/>
      <c r="B57" s="391"/>
      <c r="C57" s="391"/>
      <c r="D57" s="390"/>
      <c r="E57" s="389"/>
      <c r="F57" s="390"/>
      <c r="G57" s="390"/>
      <c r="H57" s="389"/>
      <c r="I57" s="390"/>
      <c r="J57" s="391"/>
      <c r="K57" s="391"/>
      <c r="L57" s="401"/>
      <c r="M57" s="400"/>
      <c r="N57" s="390"/>
      <c r="O57" s="391"/>
      <c r="P57" s="399"/>
      <c r="Q57" s="389"/>
      <c r="R57" s="389"/>
    </row>
    <row r="58" spans="1:18" ht="20.100000000000001" customHeight="1" x14ac:dyDescent="0.2">
      <c r="A58" s="315"/>
      <c r="B58" s="391"/>
      <c r="C58" s="391"/>
      <c r="D58" s="390"/>
      <c r="E58" s="389"/>
      <c r="F58" s="390"/>
      <c r="G58" s="390"/>
      <c r="H58" s="389"/>
      <c r="I58" s="390"/>
      <c r="J58" s="391"/>
      <c r="K58" s="391"/>
      <c r="L58" s="401"/>
      <c r="M58" s="400"/>
      <c r="N58" s="390"/>
      <c r="O58" s="391"/>
      <c r="P58" s="399"/>
      <c r="Q58" s="389"/>
      <c r="R58" s="389"/>
    </row>
    <row r="59" spans="1:18" ht="20.100000000000001" customHeight="1" x14ac:dyDescent="0.2">
      <c r="A59" s="315"/>
      <c r="B59" s="391"/>
      <c r="C59" s="391"/>
      <c r="D59" s="390"/>
      <c r="E59" s="389"/>
      <c r="F59" s="390"/>
      <c r="G59" s="390"/>
      <c r="H59" s="389"/>
      <c r="I59" s="390"/>
      <c r="J59" s="391"/>
      <c r="K59" s="391"/>
      <c r="L59" s="401"/>
      <c r="M59" s="400"/>
      <c r="N59" s="390"/>
      <c r="O59" s="391"/>
      <c r="P59" s="399"/>
      <c r="Q59" s="389"/>
      <c r="R59" s="389"/>
    </row>
    <row r="60" spans="1:18" ht="20.100000000000001" customHeight="1" x14ac:dyDescent="0.2">
      <c r="A60" s="315"/>
      <c r="B60" s="391"/>
      <c r="C60" s="391"/>
      <c r="D60" s="390"/>
      <c r="E60" s="389"/>
      <c r="F60" s="390"/>
      <c r="G60" s="390"/>
      <c r="H60" s="389"/>
      <c r="I60" s="390"/>
      <c r="J60" s="391"/>
      <c r="K60" s="391"/>
      <c r="L60" s="401"/>
      <c r="M60" s="400"/>
      <c r="N60" s="390"/>
      <c r="O60" s="391"/>
      <c r="P60" s="399"/>
      <c r="Q60" s="389"/>
      <c r="R60" s="389"/>
    </row>
    <row r="61" spans="1:18" ht="20.100000000000001" customHeight="1" x14ac:dyDescent="0.2">
      <c r="A61" s="315"/>
      <c r="B61" s="391"/>
      <c r="C61" s="391"/>
      <c r="D61" s="390"/>
      <c r="E61" s="389"/>
      <c r="F61" s="390"/>
      <c r="G61" s="390"/>
      <c r="H61" s="389"/>
      <c r="I61" s="390"/>
      <c r="J61" s="391"/>
      <c r="K61" s="391"/>
      <c r="L61" s="401"/>
      <c r="M61" s="400"/>
      <c r="N61" s="390"/>
      <c r="O61" s="391"/>
      <c r="P61" s="399"/>
      <c r="Q61" s="389"/>
      <c r="R61" s="389"/>
    </row>
    <row r="62" spans="1:18" ht="20.100000000000001" customHeight="1" x14ac:dyDescent="0.2">
      <c r="A62" s="315"/>
      <c r="B62" s="391"/>
      <c r="C62" s="391"/>
      <c r="D62" s="390"/>
      <c r="E62" s="389"/>
      <c r="F62" s="390"/>
      <c r="G62" s="390"/>
      <c r="H62" s="389"/>
      <c r="I62" s="390"/>
      <c r="J62" s="391"/>
      <c r="K62" s="391"/>
      <c r="L62" s="401"/>
      <c r="M62" s="400"/>
      <c r="N62" s="390"/>
      <c r="O62" s="391"/>
      <c r="P62" s="399"/>
      <c r="Q62" s="389"/>
      <c r="R62" s="389"/>
    </row>
    <row r="63" spans="1:18" ht="20.100000000000001" customHeight="1" x14ac:dyDescent="0.2">
      <c r="A63" s="315"/>
      <c r="B63" s="391"/>
      <c r="C63" s="391"/>
      <c r="D63" s="390"/>
      <c r="E63" s="389"/>
      <c r="F63" s="390"/>
      <c r="G63" s="390"/>
      <c r="H63" s="389"/>
      <c r="I63" s="390"/>
      <c r="J63" s="391"/>
      <c r="K63" s="391"/>
      <c r="L63" s="401"/>
      <c r="M63" s="400"/>
      <c r="N63" s="390"/>
      <c r="O63" s="391"/>
      <c r="P63" s="399"/>
      <c r="Q63" s="389"/>
      <c r="R63" s="389"/>
    </row>
    <row r="64" spans="1:18" ht="20.100000000000001" customHeight="1" x14ac:dyDescent="0.2">
      <c r="A64" s="315"/>
      <c r="B64" s="391"/>
      <c r="C64" s="391"/>
      <c r="D64" s="390"/>
      <c r="E64" s="389"/>
      <c r="F64" s="390"/>
      <c r="G64" s="390"/>
      <c r="H64" s="389"/>
      <c r="I64" s="390"/>
      <c r="J64" s="391"/>
      <c r="K64" s="391"/>
      <c r="L64" s="401"/>
      <c r="M64" s="400"/>
      <c r="N64" s="390"/>
      <c r="O64" s="391"/>
      <c r="P64" s="399"/>
      <c r="Q64" s="389"/>
      <c r="R64" s="389"/>
    </row>
    <row r="65" spans="1:18" ht="20.100000000000001" customHeight="1" x14ac:dyDescent="0.2">
      <c r="A65" s="315"/>
      <c r="B65" s="391"/>
      <c r="C65" s="391"/>
      <c r="D65" s="390"/>
      <c r="E65" s="389"/>
      <c r="F65" s="390"/>
      <c r="G65" s="390"/>
      <c r="H65" s="389"/>
      <c r="I65" s="390"/>
      <c r="J65" s="391"/>
      <c r="K65" s="391"/>
      <c r="L65" s="401"/>
      <c r="M65" s="400"/>
      <c r="N65" s="390"/>
      <c r="O65" s="391"/>
      <c r="P65" s="399"/>
      <c r="Q65" s="389"/>
      <c r="R65" s="389"/>
    </row>
    <row r="66" spans="1:18" ht="20.100000000000001" customHeight="1" x14ac:dyDescent="0.2">
      <c r="A66" s="315"/>
      <c r="B66" s="391"/>
      <c r="C66" s="391"/>
      <c r="D66" s="390"/>
      <c r="E66" s="389"/>
      <c r="F66" s="390"/>
      <c r="G66" s="390"/>
      <c r="H66" s="389"/>
      <c r="I66" s="390"/>
      <c r="J66" s="391"/>
      <c r="K66" s="391"/>
      <c r="L66" s="401"/>
      <c r="M66" s="400"/>
      <c r="N66" s="390"/>
      <c r="O66" s="391"/>
      <c r="P66" s="399"/>
      <c r="Q66" s="389"/>
      <c r="R66" s="389"/>
    </row>
    <row r="67" spans="1:18" ht="20.100000000000001" customHeight="1" x14ac:dyDescent="0.2">
      <c r="A67" s="315"/>
      <c r="B67" s="391"/>
      <c r="C67" s="391"/>
      <c r="D67" s="390"/>
      <c r="E67" s="389"/>
      <c r="F67" s="390"/>
      <c r="G67" s="390"/>
      <c r="H67" s="389"/>
      <c r="I67" s="390"/>
      <c r="J67" s="391"/>
      <c r="K67" s="391"/>
      <c r="L67" s="401"/>
      <c r="M67" s="400"/>
      <c r="N67" s="390"/>
      <c r="O67" s="391"/>
      <c r="P67" s="399"/>
      <c r="Q67" s="389"/>
      <c r="R67" s="389"/>
    </row>
    <row r="68" spans="1:18" ht="20.100000000000001" customHeight="1" x14ac:dyDescent="0.2">
      <c r="A68" s="315"/>
      <c r="B68" s="391"/>
      <c r="C68" s="391"/>
      <c r="D68" s="390"/>
      <c r="E68" s="389"/>
      <c r="F68" s="390"/>
      <c r="G68" s="390"/>
      <c r="H68" s="389"/>
      <c r="I68" s="390"/>
      <c r="J68" s="391"/>
      <c r="K68" s="391"/>
      <c r="L68" s="401"/>
      <c r="M68" s="400"/>
      <c r="N68" s="390"/>
      <c r="O68" s="391"/>
      <c r="P68" s="399"/>
      <c r="Q68" s="389"/>
      <c r="R68" s="389"/>
    </row>
    <row r="69" spans="1:18" ht="20.100000000000001" customHeight="1" x14ac:dyDescent="0.2">
      <c r="A69" s="315"/>
      <c r="B69" s="391"/>
      <c r="C69" s="391"/>
      <c r="D69" s="390"/>
      <c r="E69" s="389"/>
      <c r="F69" s="390"/>
      <c r="G69" s="390"/>
      <c r="H69" s="389"/>
      <c r="I69" s="390"/>
      <c r="J69" s="391"/>
      <c r="K69" s="391"/>
      <c r="L69" s="401"/>
      <c r="M69" s="400"/>
      <c r="N69" s="390"/>
      <c r="O69" s="391"/>
      <c r="P69" s="399"/>
      <c r="Q69" s="389"/>
      <c r="R69" s="389"/>
    </row>
    <row r="70" spans="1:18" ht="20.100000000000001" customHeight="1" x14ac:dyDescent="0.2">
      <c r="A70" s="315"/>
      <c r="B70" s="391"/>
      <c r="C70" s="391"/>
      <c r="D70" s="390"/>
      <c r="E70" s="389"/>
      <c r="F70" s="390"/>
      <c r="G70" s="390"/>
      <c r="H70" s="389"/>
      <c r="I70" s="390"/>
      <c r="J70" s="391"/>
      <c r="K70" s="391"/>
      <c r="L70" s="401"/>
      <c r="M70" s="400"/>
      <c r="N70" s="390"/>
      <c r="O70" s="391"/>
      <c r="P70" s="399"/>
      <c r="Q70" s="389"/>
      <c r="R70" s="389"/>
    </row>
    <row r="71" spans="1:18" ht="20.100000000000001" customHeight="1" x14ac:dyDescent="0.2">
      <c r="A71" s="315"/>
      <c r="B71" s="391"/>
      <c r="C71" s="391"/>
      <c r="D71" s="390"/>
      <c r="E71" s="389"/>
      <c r="F71" s="390"/>
      <c r="G71" s="390"/>
      <c r="H71" s="389"/>
      <c r="I71" s="390"/>
      <c r="J71" s="391"/>
      <c r="K71" s="391"/>
      <c r="L71" s="401"/>
      <c r="M71" s="400"/>
      <c r="N71" s="390"/>
      <c r="O71" s="391"/>
      <c r="P71" s="399"/>
      <c r="Q71" s="389"/>
      <c r="R71" s="389"/>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protectedRanges>
    <protectedRange sqref="D18:E20" name="Range3"/>
    <protectedRange sqref="D8:E15" name="Range2"/>
    <protectedRange sqref="D5:E6" name="Range1"/>
    <protectedRange sqref="I9:I12" name="Range4"/>
    <protectedRange sqref="H15:H17" name="Range5"/>
    <protectedRange sqref="H19:H20" name="Range6"/>
    <protectedRange sqref="M5" name="Range7"/>
    <protectedRange sqref="N6" name="Range8"/>
    <protectedRange sqref="O5" name="Range9"/>
    <protectedRange sqref="M7:M10" name="Range10"/>
    <protectedRange sqref="O7:O10" name="Range11"/>
    <protectedRange sqref="L14:M20" name="Range12"/>
    <protectedRange sqref="Q13:Q14" name="Range13"/>
    <protectedRange sqref="Q20" name="Range14"/>
    <protectedRange sqref="B24:E71 G24:R71 F24:F46 F48:F71" name="Range15"/>
  </protectedRanges>
  <mergeCells count="73">
    <mergeCell ref="B5:C5"/>
    <mergeCell ref="D5:E5"/>
    <mergeCell ref="G5:H5"/>
    <mergeCell ref="J5:L5"/>
    <mergeCell ref="P2:Q2"/>
    <mergeCell ref="P3:S4"/>
    <mergeCell ref="C2:N2"/>
    <mergeCell ref="B4:C4"/>
    <mergeCell ref="D4:F4"/>
    <mergeCell ref="J6:M6"/>
    <mergeCell ref="B6:C6"/>
    <mergeCell ref="D6:E6"/>
    <mergeCell ref="G6:H6"/>
    <mergeCell ref="D11:E11"/>
    <mergeCell ref="F11:H11"/>
    <mergeCell ref="J7:L7"/>
    <mergeCell ref="B7:E7"/>
    <mergeCell ref="J8:L8"/>
    <mergeCell ref="B9:C9"/>
    <mergeCell ref="D8:E8"/>
    <mergeCell ref="D9:E9"/>
    <mergeCell ref="F9:H9"/>
    <mergeCell ref="J9:L9"/>
    <mergeCell ref="B8:C8"/>
    <mergeCell ref="B10:C10"/>
    <mergeCell ref="N14:P14"/>
    <mergeCell ref="N13:P13"/>
    <mergeCell ref="B12:C12"/>
    <mergeCell ref="D12:E12"/>
    <mergeCell ref="F12:H12"/>
    <mergeCell ref="B11:C11"/>
    <mergeCell ref="B15:C15"/>
    <mergeCell ref="D15:E15"/>
    <mergeCell ref="F15:G15"/>
    <mergeCell ref="J15:K15"/>
    <mergeCell ref="B13:C13"/>
    <mergeCell ref="D13:E13"/>
    <mergeCell ref="B14:C14"/>
    <mergeCell ref="J19:K19"/>
    <mergeCell ref="F16:G16"/>
    <mergeCell ref="J16:K16"/>
    <mergeCell ref="J17:K17"/>
    <mergeCell ref="D10:E10"/>
    <mergeCell ref="F10:H10"/>
    <mergeCell ref="J10:L10"/>
    <mergeCell ref="D14:E14"/>
    <mergeCell ref="J14:K14"/>
    <mergeCell ref="F17:G17"/>
    <mergeCell ref="B18:C18"/>
    <mergeCell ref="D18:E18"/>
    <mergeCell ref="J18:K18"/>
    <mergeCell ref="R22:R23"/>
    <mergeCell ref="N20:P20"/>
    <mergeCell ref="H22:I22"/>
    <mergeCell ref="J22:J23"/>
    <mergeCell ref="K22:K23"/>
    <mergeCell ref="L22:M22"/>
    <mergeCell ref="N22:N23"/>
    <mergeCell ref="O22:P22"/>
    <mergeCell ref="Q22:Q23"/>
    <mergeCell ref="J20:K20"/>
    <mergeCell ref="B20:C20"/>
    <mergeCell ref="D20:E20"/>
    <mergeCell ref="F20:G20"/>
    <mergeCell ref="D86:H86"/>
    <mergeCell ref="B19:C19"/>
    <mergeCell ref="D19:E19"/>
    <mergeCell ref="F19:G19"/>
    <mergeCell ref="B22:B23"/>
    <mergeCell ref="C22:D22"/>
    <mergeCell ref="E22:E23"/>
    <mergeCell ref="F22:F23"/>
    <mergeCell ref="G22:G23"/>
  </mergeCells>
  <dataValidations count="3">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s>
  <pageMargins left="0.45" right="0.45" top="0.5" bottom="0.5" header="0.3" footer="0.3"/>
  <pageSetup scale="55" orientation="landscape" r:id="rId1"/>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G5" sqref="G5:H5"/>
    </sheetView>
  </sheetViews>
  <sheetFormatPr defaultColWidth="16.109375" defaultRowHeight="20.100000000000001" customHeight="1" x14ac:dyDescent="0.2"/>
  <cols>
    <col min="1" max="1" width="1.7773437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1" style="298" customWidth="1"/>
    <col min="17" max="17" width="8.77734375" style="299" customWidth="1"/>
    <col min="18" max="18" width="8" style="298" customWidth="1"/>
    <col min="19" max="16384" width="16.109375" style="298"/>
  </cols>
  <sheetData>
    <row r="1" spans="1:19" ht="9" customHeight="1" thickBot="1" x14ac:dyDescent="0.25">
      <c r="Q1" s="325"/>
    </row>
    <row r="2" spans="1:19" s="366" customFormat="1" ht="20.100000000000001" customHeight="1" thickBot="1" x14ac:dyDescent="0.3">
      <c r="A2" s="370"/>
      <c r="B2" s="388" t="s">
        <v>358</v>
      </c>
      <c r="C2" s="494" t="str">
        <f>IF(ISNUMBER(D6),IF('Data Sheet 1'!C2:N2="","",'Data Sheet 1'!C2:N2),"")</f>
        <v/>
      </c>
      <c r="D2" s="494"/>
      <c r="E2" s="494"/>
      <c r="F2" s="494"/>
      <c r="G2" s="494"/>
      <c r="H2" s="494"/>
      <c r="I2" s="494"/>
      <c r="J2" s="494"/>
      <c r="K2" s="494"/>
      <c r="L2" s="494"/>
      <c r="M2" s="494"/>
      <c r="N2" s="495"/>
      <c r="O2" s="303"/>
      <c r="P2" s="475" t="s">
        <v>357</v>
      </c>
      <c r="Q2" s="475"/>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96"/>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395"/>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57"/>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49"/>
      <c r="I14" s="326"/>
      <c r="J14" s="457" t="s">
        <v>322</v>
      </c>
      <c r="K14" s="458"/>
      <c r="L14" s="348"/>
      <c r="M14" s="34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36"/>
      <c r="I15" s="326"/>
      <c r="J15" s="454" t="s">
        <v>318</v>
      </c>
      <c r="K15" s="455"/>
      <c r="L15" s="335"/>
      <c r="M15" s="334"/>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c r="M16" s="334"/>
      <c r="N16" s="326"/>
      <c r="O16" s="326"/>
      <c r="P16" s="326"/>
      <c r="Q16" s="333"/>
      <c r="R16" s="326"/>
      <c r="S16" s="326"/>
    </row>
    <row r="17" spans="1:19" ht="20.100000000000001" customHeight="1" thickBot="1" x14ac:dyDescent="0.3">
      <c r="A17" s="318"/>
      <c r="B17" s="344" t="s">
        <v>315</v>
      </c>
      <c r="C17" s="339"/>
      <c r="D17" s="326"/>
      <c r="E17" s="333"/>
      <c r="F17" s="469" t="s">
        <v>314</v>
      </c>
      <c r="G17" s="459"/>
      <c r="H17" s="343"/>
      <c r="I17" s="326"/>
      <c r="J17" s="454" t="s">
        <v>313</v>
      </c>
      <c r="K17" s="455"/>
      <c r="L17" s="335"/>
      <c r="M17" s="334"/>
      <c r="N17" s="326"/>
      <c r="O17" s="326"/>
      <c r="P17" s="326"/>
      <c r="Q17" s="333"/>
      <c r="R17" s="326"/>
      <c r="S17" s="326"/>
    </row>
    <row r="18" spans="1:19" ht="20.100000000000001" customHeight="1" thickBot="1" x14ac:dyDescent="0.3">
      <c r="A18" s="318"/>
      <c r="B18" s="469" t="s">
        <v>312</v>
      </c>
      <c r="C18" s="459"/>
      <c r="D18" s="467"/>
      <c r="E18" s="468"/>
      <c r="F18" s="393" t="s">
        <v>311</v>
      </c>
      <c r="G18" s="339"/>
      <c r="H18" s="338"/>
      <c r="I18" s="326"/>
      <c r="J18" s="457" t="s">
        <v>310</v>
      </c>
      <c r="K18" s="458"/>
      <c r="L18" s="335"/>
      <c r="M18" s="334"/>
      <c r="N18" s="326"/>
      <c r="O18" s="326"/>
      <c r="P18" s="326"/>
      <c r="Q18" s="333"/>
      <c r="R18" s="326"/>
      <c r="S18" s="326"/>
    </row>
    <row r="19" spans="1:19" ht="20.100000000000001" customHeight="1" thickBot="1" x14ac:dyDescent="0.4">
      <c r="A19" s="318"/>
      <c r="B19" s="469" t="s">
        <v>309</v>
      </c>
      <c r="C19" s="459"/>
      <c r="D19" s="465"/>
      <c r="E19" s="466"/>
      <c r="F19" s="469" t="s">
        <v>308</v>
      </c>
      <c r="G19" s="459"/>
      <c r="H19" s="336"/>
      <c r="I19" s="326"/>
      <c r="J19" s="454" t="s">
        <v>307</v>
      </c>
      <c r="K19" s="455"/>
      <c r="L19" s="335"/>
      <c r="M19" s="334"/>
      <c r="N19" s="326"/>
      <c r="O19" s="326"/>
      <c r="P19" s="326"/>
      <c r="Q19" s="333"/>
      <c r="R19" s="326"/>
      <c r="S19" s="326"/>
    </row>
    <row r="20" spans="1:19" ht="20.100000000000001" customHeight="1" thickBot="1" x14ac:dyDescent="0.4">
      <c r="A20" s="318"/>
      <c r="B20" s="463" t="s">
        <v>306</v>
      </c>
      <c r="C20" s="464"/>
      <c r="D20" s="473"/>
      <c r="E20" s="474"/>
      <c r="F20" s="463" t="s">
        <v>305</v>
      </c>
      <c r="G20" s="464"/>
      <c r="H20" s="331"/>
      <c r="I20" s="326"/>
      <c r="J20" s="491" t="s">
        <v>304</v>
      </c>
      <c r="K20" s="492"/>
      <c r="L20" s="329"/>
      <c r="M20" s="328"/>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91"/>
      <c r="C24" s="391"/>
      <c r="D24" s="390"/>
      <c r="E24" s="392"/>
      <c r="F24" s="312"/>
      <c r="G24" s="312"/>
      <c r="H24" s="310"/>
      <c r="I24" s="314"/>
      <c r="J24" s="312"/>
      <c r="K24" s="312"/>
      <c r="L24" s="313"/>
      <c r="M24" s="313"/>
      <c r="N24" s="312"/>
      <c r="O24" s="312"/>
      <c r="P24" s="311"/>
      <c r="Q24" s="310"/>
      <c r="R24" s="310"/>
    </row>
    <row r="25" spans="1:19" ht="20.100000000000001" customHeight="1" x14ac:dyDescent="0.2">
      <c r="A25" s="318"/>
      <c r="B25" s="312"/>
      <c r="C25" s="312"/>
      <c r="D25" s="312"/>
      <c r="E25" s="316"/>
      <c r="F25" s="312"/>
      <c r="G25" s="312"/>
      <c r="H25" s="310"/>
      <c r="I25" s="314"/>
      <c r="J25" s="312"/>
      <c r="K25" s="312"/>
      <c r="L25" s="313"/>
      <c r="M25" s="313"/>
      <c r="N25" s="312"/>
      <c r="O25" s="312"/>
      <c r="P25" s="311"/>
      <c r="Q25" s="310"/>
      <c r="R25" s="310"/>
    </row>
    <row r="26" spans="1:19" ht="20.100000000000001" customHeight="1" x14ac:dyDescent="0.2">
      <c r="A26" s="315"/>
      <c r="B26" s="312"/>
      <c r="C26" s="312"/>
      <c r="D26" s="312"/>
      <c r="E26" s="316"/>
      <c r="F26" s="312"/>
      <c r="G26" s="312"/>
      <c r="H26" s="310"/>
      <c r="I26" s="314"/>
      <c r="J26" s="312"/>
      <c r="K26" s="312"/>
      <c r="L26" s="313"/>
      <c r="M26" s="313"/>
      <c r="N26" s="312"/>
      <c r="O26" s="312"/>
      <c r="P26" s="311"/>
      <c r="Q26" s="310"/>
      <c r="R26" s="310"/>
    </row>
    <row r="27" spans="1:19" ht="20.100000000000001" customHeight="1" x14ac:dyDescent="0.2">
      <c r="A27" s="315"/>
      <c r="B27" s="312"/>
      <c r="C27" s="312"/>
      <c r="D27" s="312"/>
      <c r="E27" s="316"/>
      <c r="F27" s="312"/>
      <c r="G27" s="312"/>
      <c r="H27" s="310"/>
      <c r="I27" s="314"/>
      <c r="J27" s="312"/>
      <c r="K27" s="312"/>
      <c r="L27" s="313"/>
      <c r="M27" s="313"/>
      <c r="N27" s="312"/>
      <c r="O27" s="312"/>
      <c r="P27" s="311"/>
      <c r="Q27" s="310"/>
      <c r="R27" s="310"/>
    </row>
    <row r="28" spans="1:19" ht="20.100000000000001" customHeight="1" x14ac:dyDescent="0.2">
      <c r="A28" s="315"/>
      <c r="B28" s="312"/>
      <c r="C28" s="312"/>
      <c r="D28" s="312"/>
      <c r="E28" s="316"/>
      <c r="F28" s="312"/>
      <c r="G28" s="312"/>
      <c r="H28" s="310"/>
      <c r="I28" s="314"/>
      <c r="J28" s="312"/>
      <c r="K28" s="312"/>
      <c r="L28" s="313"/>
      <c r="M28" s="313"/>
      <c r="N28" s="312"/>
      <c r="O28" s="312"/>
      <c r="P28" s="311"/>
      <c r="Q28" s="310"/>
      <c r="R28" s="310"/>
    </row>
    <row r="29" spans="1:19" ht="20.100000000000001" customHeight="1" x14ac:dyDescent="0.2">
      <c r="A29" s="315"/>
      <c r="B29" s="312"/>
      <c r="C29" s="312"/>
      <c r="D29" s="312"/>
      <c r="E29" s="316"/>
      <c r="F29" s="312"/>
      <c r="G29" s="312"/>
      <c r="H29" s="310"/>
      <c r="I29" s="314"/>
      <c r="J29" s="312"/>
      <c r="K29" s="312"/>
      <c r="L29" s="313"/>
      <c r="M29" s="313"/>
      <c r="N29" s="312"/>
      <c r="O29" s="312"/>
      <c r="P29" s="311"/>
      <c r="Q29" s="310"/>
      <c r="R29" s="310"/>
    </row>
    <row r="30" spans="1:19" ht="20.100000000000001" customHeight="1" x14ac:dyDescent="0.2">
      <c r="A30" s="315"/>
      <c r="B30" s="312"/>
      <c r="C30" s="312"/>
      <c r="D30" s="312"/>
      <c r="E30" s="316"/>
      <c r="F30" s="312"/>
      <c r="G30" s="312"/>
      <c r="H30" s="310"/>
      <c r="I30" s="314"/>
      <c r="J30" s="312"/>
      <c r="K30" s="312"/>
      <c r="L30" s="313"/>
      <c r="M30" s="313"/>
      <c r="N30" s="312"/>
      <c r="O30" s="312"/>
      <c r="P30" s="311"/>
      <c r="Q30" s="310"/>
      <c r="R30" s="310"/>
    </row>
    <row r="31" spans="1:19" ht="20.100000000000001" customHeight="1" x14ac:dyDescent="0.2">
      <c r="A31" s="315"/>
      <c r="B31" s="312"/>
      <c r="C31" s="312"/>
      <c r="D31" s="312"/>
      <c r="E31" s="316"/>
      <c r="F31" s="312"/>
      <c r="G31" s="312"/>
      <c r="H31" s="310"/>
      <c r="I31" s="314"/>
      <c r="J31" s="312"/>
      <c r="K31" s="312"/>
      <c r="L31" s="313"/>
      <c r="M31" s="313"/>
      <c r="N31" s="312"/>
      <c r="O31" s="312"/>
      <c r="P31" s="311"/>
      <c r="Q31" s="310"/>
      <c r="R31" s="310"/>
    </row>
    <row r="32" spans="1:19" ht="20.100000000000001" customHeight="1" x14ac:dyDescent="0.2">
      <c r="A32" s="315"/>
      <c r="B32" s="312"/>
      <c r="C32" s="312"/>
      <c r="D32" s="312"/>
      <c r="E32" s="316"/>
      <c r="F32" s="312"/>
      <c r="G32" s="312"/>
      <c r="H32" s="310"/>
      <c r="I32" s="314"/>
      <c r="J32" s="312"/>
      <c r="K32" s="312"/>
      <c r="L32" s="313"/>
      <c r="M32" s="313"/>
      <c r="N32" s="312"/>
      <c r="O32" s="312"/>
      <c r="P32" s="311"/>
      <c r="Q32" s="310"/>
      <c r="R32" s="310"/>
    </row>
    <row r="33" spans="1:18" ht="20.100000000000001" customHeight="1" x14ac:dyDescent="0.2">
      <c r="A33" s="315"/>
      <c r="B33" s="312"/>
      <c r="C33" s="312"/>
      <c r="D33" s="312"/>
      <c r="E33" s="316"/>
      <c r="F33" s="312"/>
      <c r="G33" s="312"/>
      <c r="H33" s="310"/>
      <c r="I33" s="314"/>
      <c r="J33" s="312"/>
      <c r="K33" s="312"/>
      <c r="L33" s="313"/>
      <c r="M33" s="313"/>
      <c r="N33" s="312"/>
      <c r="O33" s="312"/>
      <c r="P33" s="311"/>
      <c r="Q33" s="310"/>
      <c r="R33" s="310"/>
    </row>
    <row r="34" spans="1:18" ht="20.100000000000001" customHeight="1" x14ac:dyDescent="0.2">
      <c r="A34" s="315"/>
      <c r="B34" s="312"/>
      <c r="C34" s="312"/>
      <c r="D34" s="312"/>
      <c r="E34" s="316"/>
      <c r="F34" s="312"/>
      <c r="G34" s="312"/>
      <c r="H34" s="310"/>
      <c r="I34" s="314"/>
      <c r="J34" s="312"/>
      <c r="K34" s="312"/>
      <c r="L34" s="313"/>
      <c r="M34" s="313"/>
      <c r="N34" s="312"/>
      <c r="O34" s="312"/>
      <c r="P34" s="311"/>
      <c r="Q34" s="310"/>
      <c r="R34" s="310"/>
    </row>
    <row r="35" spans="1:18" ht="20.100000000000001" customHeight="1" x14ac:dyDescent="0.2">
      <c r="A35" s="315"/>
      <c r="B35" s="312"/>
      <c r="C35" s="312"/>
      <c r="D35" s="312"/>
      <c r="E35" s="316"/>
      <c r="F35" s="312"/>
      <c r="G35" s="312"/>
      <c r="H35" s="310"/>
      <c r="I35" s="314"/>
      <c r="J35" s="312"/>
      <c r="K35" s="312"/>
      <c r="L35" s="313"/>
      <c r="M35" s="313"/>
      <c r="N35" s="312"/>
      <c r="O35" s="312"/>
      <c r="P35" s="311"/>
      <c r="Q35" s="310"/>
      <c r="R35" s="310"/>
    </row>
    <row r="36" spans="1:18" ht="20.100000000000001" customHeight="1" x14ac:dyDescent="0.2">
      <c r="A36" s="315"/>
      <c r="B36" s="312"/>
      <c r="C36" s="312"/>
      <c r="D36" s="312"/>
      <c r="E36" s="316"/>
      <c r="F36" s="312"/>
      <c r="G36" s="312"/>
      <c r="H36" s="310"/>
      <c r="I36" s="314"/>
      <c r="J36" s="312"/>
      <c r="K36" s="312"/>
      <c r="L36" s="313"/>
      <c r="M36" s="313"/>
      <c r="N36" s="312"/>
      <c r="O36" s="312"/>
      <c r="P36" s="311"/>
      <c r="Q36" s="310"/>
      <c r="R36" s="310"/>
    </row>
    <row r="37" spans="1:18" ht="20.100000000000001" customHeight="1" x14ac:dyDescent="0.2">
      <c r="A37" s="315"/>
      <c r="B37" s="312"/>
      <c r="C37" s="312"/>
      <c r="D37" s="312"/>
      <c r="E37" s="316"/>
      <c r="F37" s="312"/>
      <c r="G37" s="312"/>
      <c r="H37" s="310"/>
      <c r="I37" s="314"/>
      <c r="J37" s="312"/>
      <c r="K37" s="312"/>
      <c r="L37" s="313"/>
      <c r="M37" s="313"/>
      <c r="N37" s="312"/>
      <c r="O37" s="312"/>
      <c r="P37" s="311"/>
      <c r="Q37" s="310"/>
      <c r="R37" s="310"/>
    </row>
    <row r="38" spans="1:18" ht="20.100000000000001" customHeight="1" x14ac:dyDescent="0.2">
      <c r="A38" s="315"/>
      <c r="B38" s="312"/>
      <c r="C38" s="312"/>
      <c r="D38" s="312"/>
      <c r="E38" s="316"/>
      <c r="F38" s="312"/>
      <c r="G38" s="312"/>
      <c r="H38" s="310"/>
      <c r="I38" s="314"/>
      <c r="J38" s="312"/>
      <c r="K38" s="312"/>
      <c r="L38" s="313"/>
      <c r="M38" s="313"/>
      <c r="N38" s="312"/>
      <c r="O38" s="312"/>
      <c r="P38" s="311"/>
      <c r="Q38" s="310"/>
      <c r="R38" s="310"/>
    </row>
    <row r="39" spans="1:18" ht="20.100000000000001" customHeight="1" x14ac:dyDescent="0.2">
      <c r="A39" s="315"/>
      <c r="B39" s="312"/>
      <c r="C39" s="312"/>
      <c r="D39" s="312"/>
      <c r="E39" s="316"/>
      <c r="F39" s="312"/>
      <c r="G39" s="312"/>
      <c r="H39" s="310"/>
      <c r="I39" s="314"/>
      <c r="J39" s="312"/>
      <c r="K39" s="312"/>
      <c r="L39" s="313"/>
      <c r="M39" s="313"/>
      <c r="N39" s="312"/>
      <c r="O39" s="312"/>
      <c r="P39" s="311"/>
      <c r="Q39" s="310"/>
      <c r="R39" s="310"/>
    </row>
    <row r="40" spans="1:18" ht="20.100000000000001" customHeight="1" x14ac:dyDescent="0.2">
      <c r="A40" s="315"/>
      <c r="B40" s="312"/>
      <c r="C40" s="312"/>
      <c r="D40" s="312"/>
      <c r="E40" s="316"/>
      <c r="F40" s="312"/>
      <c r="G40" s="312"/>
      <c r="H40" s="310"/>
      <c r="I40" s="314"/>
      <c r="J40" s="312"/>
      <c r="K40" s="312"/>
      <c r="L40" s="313"/>
      <c r="M40" s="313"/>
      <c r="N40" s="312"/>
      <c r="O40" s="312"/>
      <c r="P40" s="311"/>
      <c r="Q40" s="310"/>
      <c r="R40" s="310"/>
    </row>
    <row r="41" spans="1:18" ht="20.100000000000001" customHeight="1" x14ac:dyDescent="0.2">
      <c r="A41" s="315"/>
      <c r="B41" s="312"/>
      <c r="C41" s="312"/>
      <c r="D41" s="312"/>
      <c r="E41" s="316"/>
      <c r="F41" s="312"/>
      <c r="G41" s="312"/>
      <c r="H41" s="310"/>
      <c r="I41" s="314"/>
      <c r="J41" s="312"/>
      <c r="K41" s="312"/>
      <c r="L41" s="313"/>
      <c r="M41" s="313"/>
      <c r="N41" s="312"/>
      <c r="O41" s="312"/>
      <c r="P41" s="311"/>
      <c r="Q41" s="310"/>
      <c r="R41" s="310"/>
    </row>
    <row r="42" spans="1:18" ht="20.100000000000001" customHeight="1" x14ac:dyDescent="0.2">
      <c r="A42" s="315"/>
      <c r="B42" s="312"/>
      <c r="C42" s="312"/>
      <c r="D42" s="312"/>
      <c r="E42" s="316"/>
      <c r="F42" s="312"/>
      <c r="G42" s="312"/>
      <c r="H42" s="310"/>
      <c r="I42" s="314"/>
      <c r="J42" s="312"/>
      <c r="K42" s="312"/>
      <c r="L42" s="313"/>
      <c r="M42" s="313"/>
      <c r="N42" s="312"/>
      <c r="O42" s="312"/>
      <c r="P42" s="311"/>
      <c r="Q42" s="310"/>
      <c r="R42" s="310"/>
    </row>
    <row r="43" spans="1:18" ht="20.100000000000001" customHeight="1" x14ac:dyDescent="0.2">
      <c r="A43" s="315"/>
      <c r="B43" s="312"/>
      <c r="C43" s="312"/>
      <c r="D43" s="312"/>
      <c r="E43" s="316"/>
      <c r="F43" s="312"/>
      <c r="G43" s="312"/>
      <c r="H43" s="310"/>
      <c r="I43" s="314"/>
      <c r="J43" s="312"/>
      <c r="K43" s="312"/>
      <c r="L43" s="313"/>
      <c r="M43" s="313"/>
      <c r="N43" s="312"/>
      <c r="O43" s="312"/>
      <c r="P43" s="311"/>
      <c r="Q43" s="310"/>
      <c r="R43" s="310"/>
    </row>
    <row r="44" spans="1:18" ht="20.100000000000001" customHeight="1" x14ac:dyDescent="0.2">
      <c r="A44" s="315"/>
      <c r="B44" s="312"/>
      <c r="C44" s="312"/>
      <c r="D44" s="312"/>
      <c r="E44" s="316"/>
      <c r="F44" s="312"/>
      <c r="G44" s="312"/>
      <c r="H44" s="310"/>
      <c r="I44" s="314"/>
      <c r="J44" s="312"/>
      <c r="K44" s="312"/>
      <c r="L44" s="313"/>
      <c r="M44" s="313"/>
      <c r="N44" s="312"/>
      <c r="O44" s="312"/>
      <c r="P44" s="311"/>
      <c r="Q44" s="310"/>
      <c r="R44" s="310"/>
    </row>
    <row r="45" spans="1:18" ht="20.100000000000001" customHeight="1" x14ac:dyDescent="0.2">
      <c r="A45" s="315"/>
      <c r="B45" s="312"/>
      <c r="C45" s="312"/>
      <c r="D45" s="312"/>
      <c r="E45" s="316"/>
      <c r="F45" s="312"/>
      <c r="G45" s="312"/>
      <c r="H45" s="310"/>
      <c r="I45" s="314"/>
      <c r="J45" s="312"/>
      <c r="K45" s="312"/>
      <c r="L45" s="313"/>
      <c r="M45" s="313"/>
      <c r="N45" s="312"/>
      <c r="O45" s="312"/>
      <c r="P45" s="311"/>
      <c r="Q45" s="310"/>
      <c r="R45" s="310"/>
    </row>
    <row r="46" spans="1:18" ht="20.100000000000001" customHeight="1" x14ac:dyDescent="0.2">
      <c r="A46" s="315"/>
      <c r="B46" s="312"/>
      <c r="C46" s="312"/>
      <c r="D46" s="312"/>
      <c r="E46" s="316"/>
      <c r="F46" s="312"/>
      <c r="G46" s="312"/>
      <c r="H46" s="310"/>
      <c r="I46" s="314"/>
      <c r="J46" s="312"/>
      <c r="K46" s="312"/>
      <c r="L46" s="313"/>
      <c r="M46" s="313"/>
      <c r="N46" s="312"/>
      <c r="O46" s="312"/>
      <c r="P46" s="311"/>
      <c r="Q46" s="310"/>
      <c r="R46" s="310"/>
    </row>
    <row r="47" spans="1:18" ht="20.100000000000001" customHeight="1" x14ac:dyDescent="0.2">
      <c r="A47" s="315"/>
      <c r="B47" s="312"/>
      <c r="C47" s="312"/>
      <c r="D47" s="312"/>
      <c r="E47" s="316"/>
      <c r="F47" s="312"/>
      <c r="G47" s="312"/>
      <c r="H47" s="310"/>
      <c r="I47" s="314"/>
      <c r="J47" s="312"/>
      <c r="K47" s="312"/>
      <c r="L47" s="313"/>
      <c r="M47" s="313"/>
      <c r="N47" s="312"/>
      <c r="O47" s="312"/>
      <c r="P47" s="311"/>
      <c r="Q47" s="310"/>
      <c r="R47" s="310"/>
    </row>
    <row r="48" spans="1:18" ht="20.100000000000001" customHeight="1" x14ac:dyDescent="0.2">
      <c r="A48" s="315"/>
      <c r="B48" s="312"/>
      <c r="C48" s="312"/>
      <c r="D48" s="312"/>
      <c r="E48" s="316"/>
      <c r="F48" s="312"/>
      <c r="G48" s="312"/>
      <c r="H48" s="310"/>
      <c r="I48" s="314"/>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protectedRanges>
    <protectedRange sqref="B24:R71" name="Range19"/>
    <protectedRange sqref="Q20" name="Range18"/>
    <protectedRange sqref="L14:M20" name="Range17"/>
    <protectedRange sqref="Q13:Q14" name="Range16"/>
    <protectedRange sqref="O7:O10" name="Range15"/>
    <protectedRange sqref="M7:M10" name="Range14"/>
    <protectedRange sqref="O5" name="Range13"/>
    <protectedRange sqref="N6" name="Range12"/>
    <protectedRange sqref="M5" name="Range11"/>
    <protectedRange sqref="H19:H20" name="Range10"/>
    <protectedRange sqref="H15:H17" name="Range9"/>
    <protectedRange sqref="D18:E20" name="Range8"/>
    <protectedRange sqref="I9:I12" name="Range7"/>
    <protectedRange sqref="D8:E15" name="Range6"/>
    <protectedRange sqref="D5:E6" name="Range3"/>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s>
  <pageMargins left="0.45" right="0.45" top="0.5" bottom="0.5" header="0.3" footer="0.3"/>
  <pageSetup scale="55" orientation="landscape" r:id="rId1"/>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G5" sqref="G5:H5"/>
    </sheetView>
  </sheetViews>
  <sheetFormatPr defaultColWidth="16.109375" defaultRowHeight="20.100000000000001" customHeight="1" x14ac:dyDescent="0.2"/>
  <cols>
    <col min="1" max="1" width="1.332031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1.33203125"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494" t="str">
        <f>IF(ISNUMBER(D6),IF('Data Sheet 1'!C2:N2="","",'Data Sheet 1'!C2:N2),"")</f>
        <v/>
      </c>
      <c r="D2" s="494"/>
      <c r="E2" s="494"/>
      <c r="F2" s="494"/>
      <c r="G2" s="494"/>
      <c r="H2" s="494"/>
      <c r="I2" s="494"/>
      <c r="J2" s="494"/>
      <c r="K2" s="494"/>
      <c r="L2" s="494"/>
      <c r="M2" s="494"/>
      <c r="N2" s="495"/>
      <c r="O2" s="303"/>
      <c r="P2" s="512" t="s">
        <v>357</v>
      </c>
      <c r="Q2" s="512"/>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96"/>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395"/>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57"/>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49"/>
      <c r="I14" s="326"/>
      <c r="J14" s="457" t="s">
        <v>322</v>
      </c>
      <c r="K14" s="458"/>
      <c r="L14" s="348"/>
      <c r="M14" s="34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36"/>
      <c r="I15" s="326"/>
      <c r="J15" s="454" t="s">
        <v>318</v>
      </c>
      <c r="K15" s="455"/>
      <c r="L15" s="335"/>
      <c r="M15" s="334"/>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c r="M16" s="334"/>
      <c r="N16" s="326"/>
      <c r="O16" s="326"/>
      <c r="P16" s="326"/>
      <c r="Q16" s="333"/>
      <c r="R16" s="326"/>
      <c r="S16" s="326"/>
    </row>
    <row r="17" spans="1:19" ht="20.100000000000001" customHeight="1" thickBot="1" x14ac:dyDescent="0.3">
      <c r="A17" s="318"/>
      <c r="B17" s="344" t="s">
        <v>315</v>
      </c>
      <c r="C17" s="339"/>
      <c r="D17" s="326"/>
      <c r="E17" s="333"/>
      <c r="F17" s="469" t="s">
        <v>314</v>
      </c>
      <c r="G17" s="459"/>
      <c r="H17" s="343"/>
      <c r="I17" s="326"/>
      <c r="J17" s="454" t="s">
        <v>313</v>
      </c>
      <c r="K17" s="455"/>
      <c r="L17" s="335"/>
      <c r="M17" s="334"/>
      <c r="N17" s="326"/>
      <c r="O17" s="326"/>
      <c r="P17" s="326"/>
      <c r="Q17" s="333"/>
      <c r="R17" s="326"/>
      <c r="S17" s="326"/>
    </row>
    <row r="18" spans="1:19" ht="20.100000000000001" customHeight="1" thickBot="1" x14ac:dyDescent="0.3">
      <c r="A18" s="318"/>
      <c r="B18" s="469" t="s">
        <v>312</v>
      </c>
      <c r="C18" s="459"/>
      <c r="D18" s="467"/>
      <c r="E18" s="468"/>
      <c r="F18" s="393" t="s">
        <v>311</v>
      </c>
      <c r="G18" s="339"/>
      <c r="H18" s="338"/>
      <c r="I18" s="326"/>
      <c r="J18" s="457" t="s">
        <v>310</v>
      </c>
      <c r="K18" s="458"/>
      <c r="L18" s="335"/>
      <c r="M18" s="334"/>
      <c r="N18" s="326"/>
      <c r="O18" s="326"/>
      <c r="P18" s="326"/>
      <c r="Q18" s="333"/>
      <c r="R18" s="326"/>
      <c r="S18" s="326"/>
    </row>
    <row r="19" spans="1:19" ht="20.100000000000001" customHeight="1" thickBot="1" x14ac:dyDescent="0.4">
      <c r="A19" s="318"/>
      <c r="B19" s="469" t="s">
        <v>309</v>
      </c>
      <c r="C19" s="459"/>
      <c r="D19" s="465"/>
      <c r="E19" s="466"/>
      <c r="F19" s="469" t="s">
        <v>308</v>
      </c>
      <c r="G19" s="459"/>
      <c r="H19" s="336"/>
      <c r="I19" s="326"/>
      <c r="J19" s="454" t="s">
        <v>307</v>
      </c>
      <c r="K19" s="455"/>
      <c r="L19" s="335"/>
      <c r="M19" s="334"/>
      <c r="N19" s="326"/>
      <c r="O19" s="326"/>
      <c r="P19" s="326"/>
      <c r="Q19" s="333"/>
      <c r="R19" s="326"/>
      <c r="S19" s="326"/>
    </row>
    <row r="20" spans="1:19" ht="20.100000000000001" customHeight="1" thickBot="1" x14ac:dyDescent="0.4">
      <c r="A20" s="318"/>
      <c r="B20" s="463" t="s">
        <v>306</v>
      </c>
      <c r="C20" s="464"/>
      <c r="D20" s="473"/>
      <c r="E20" s="474"/>
      <c r="F20" s="463" t="s">
        <v>305</v>
      </c>
      <c r="G20" s="464"/>
      <c r="H20" s="331"/>
      <c r="I20" s="326"/>
      <c r="J20" s="491" t="s">
        <v>304</v>
      </c>
      <c r="K20" s="492"/>
      <c r="L20" s="329"/>
      <c r="M20" s="328"/>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91"/>
      <c r="C24" s="391"/>
      <c r="D24" s="390"/>
      <c r="E24" s="392"/>
      <c r="F24" s="312"/>
      <c r="G24" s="312"/>
      <c r="H24" s="310"/>
      <c r="I24" s="314"/>
      <c r="J24" s="312"/>
      <c r="K24" s="312"/>
      <c r="L24" s="313"/>
      <c r="M24" s="313"/>
      <c r="N24" s="312"/>
      <c r="O24" s="312"/>
      <c r="P24" s="311"/>
      <c r="Q24" s="310"/>
      <c r="R24" s="310"/>
    </row>
    <row r="25" spans="1:19" ht="20.100000000000001" customHeight="1" x14ac:dyDescent="0.2">
      <c r="A25" s="318"/>
      <c r="B25" s="312"/>
      <c r="C25" s="312"/>
      <c r="D25" s="312"/>
      <c r="E25" s="316"/>
      <c r="F25" s="312"/>
      <c r="G25" s="312"/>
      <c r="H25" s="310"/>
      <c r="I25" s="314"/>
      <c r="J25" s="312"/>
      <c r="K25" s="312"/>
      <c r="L25" s="313"/>
      <c r="M25" s="313"/>
      <c r="N25" s="312"/>
      <c r="O25" s="312"/>
      <c r="P25" s="311"/>
      <c r="Q25" s="310"/>
      <c r="R25" s="310"/>
    </row>
    <row r="26" spans="1:19" ht="20.100000000000001" customHeight="1" x14ac:dyDescent="0.2">
      <c r="A26" s="315"/>
      <c r="B26" s="312"/>
      <c r="C26" s="312"/>
      <c r="D26" s="312"/>
      <c r="E26" s="316"/>
      <c r="F26" s="312"/>
      <c r="G26" s="312"/>
      <c r="H26" s="310"/>
      <c r="I26" s="314"/>
      <c r="J26" s="312"/>
      <c r="K26" s="312"/>
      <c r="L26" s="313"/>
      <c r="M26" s="313"/>
      <c r="N26" s="312"/>
      <c r="O26" s="312"/>
      <c r="P26" s="311"/>
      <c r="Q26" s="310"/>
      <c r="R26" s="310"/>
    </row>
    <row r="27" spans="1:19" ht="20.100000000000001" customHeight="1" x14ac:dyDescent="0.2">
      <c r="A27" s="315"/>
      <c r="B27" s="312"/>
      <c r="C27" s="312"/>
      <c r="D27" s="312"/>
      <c r="E27" s="316"/>
      <c r="F27" s="312"/>
      <c r="G27" s="312"/>
      <c r="H27" s="310"/>
      <c r="I27" s="314"/>
      <c r="J27" s="312"/>
      <c r="K27" s="312"/>
      <c r="L27" s="313"/>
      <c r="M27" s="313"/>
      <c r="N27" s="312"/>
      <c r="O27" s="312"/>
      <c r="P27" s="311"/>
      <c r="Q27" s="310"/>
      <c r="R27" s="310"/>
    </row>
    <row r="28" spans="1:19" ht="20.100000000000001" customHeight="1" x14ac:dyDescent="0.2">
      <c r="A28" s="315"/>
      <c r="B28" s="312"/>
      <c r="C28" s="312"/>
      <c r="D28" s="312"/>
      <c r="E28" s="316"/>
      <c r="F28" s="312"/>
      <c r="G28" s="312"/>
      <c r="H28" s="310"/>
      <c r="I28" s="314"/>
      <c r="J28" s="312"/>
      <c r="K28" s="312"/>
      <c r="L28" s="313"/>
      <c r="M28" s="313"/>
      <c r="N28" s="312"/>
      <c r="O28" s="312"/>
      <c r="P28" s="311"/>
      <c r="Q28" s="310"/>
      <c r="R28" s="310"/>
    </row>
    <row r="29" spans="1:19" ht="20.100000000000001" customHeight="1" x14ac:dyDescent="0.2">
      <c r="A29" s="315"/>
      <c r="B29" s="312"/>
      <c r="C29" s="312"/>
      <c r="D29" s="312"/>
      <c r="E29" s="316"/>
      <c r="F29" s="312"/>
      <c r="G29" s="312"/>
      <c r="H29" s="310"/>
      <c r="I29" s="314"/>
      <c r="J29" s="312"/>
      <c r="K29" s="312"/>
      <c r="L29" s="313"/>
      <c r="M29" s="313"/>
      <c r="N29" s="312"/>
      <c r="O29" s="312"/>
      <c r="P29" s="311"/>
      <c r="Q29" s="310"/>
      <c r="R29" s="310"/>
    </row>
    <row r="30" spans="1:19" ht="20.100000000000001" customHeight="1" x14ac:dyDescent="0.2">
      <c r="A30" s="315"/>
      <c r="B30" s="312"/>
      <c r="C30" s="312"/>
      <c r="D30" s="312"/>
      <c r="E30" s="316"/>
      <c r="F30" s="312"/>
      <c r="G30" s="312"/>
      <c r="H30" s="310"/>
      <c r="I30" s="314"/>
      <c r="J30" s="312"/>
      <c r="K30" s="312"/>
      <c r="L30" s="313"/>
      <c r="M30" s="313"/>
      <c r="N30" s="312"/>
      <c r="O30" s="312"/>
      <c r="P30" s="311"/>
      <c r="Q30" s="310"/>
      <c r="R30" s="310"/>
    </row>
    <row r="31" spans="1:19" ht="20.100000000000001" customHeight="1" x14ac:dyDescent="0.2">
      <c r="A31" s="315"/>
      <c r="B31" s="312"/>
      <c r="C31" s="312"/>
      <c r="D31" s="312"/>
      <c r="E31" s="316"/>
      <c r="F31" s="312"/>
      <c r="G31" s="312"/>
      <c r="H31" s="310"/>
      <c r="I31" s="314"/>
      <c r="J31" s="312"/>
      <c r="K31" s="312"/>
      <c r="L31" s="313"/>
      <c r="M31" s="313"/>
      <c r="N31" s="312"/>
      <c r="O31" s="312"/>
      <c r="P31" s="311"/>
      <c r="Q31" s="310"/>
      <c r="R31" s="310"/>
    </row>
    <row r="32" spans="1:19" ht="20.100000000000001" customHeight="1" x14ac:dyDescent="0.2">
      <c r="A32" s="315"/>
      <c r="B32" s="312"/>
      <c r="C32" s="312"/>
      <c r="D32" s="312"/>
      <c r="E32" s="316"/>
      <c r="F32" s="312"/>
      <c r="G32" s="312"/>
      <c r="H32" s="310"/>
      <c r="I32" s="314"/>
      <c r="J32" s="312"/>
      <c r="K32" s="312"/>
      <c r="L32" s="313"/>
      <c r="M32" s="313"/>
      <c r="N32" s="312"/>
      <c r="O32" s="312"/>
      <c r="P32" s="311"/>
      <c r="Q32" s="310"/>
      <c r="R32" s="310"/>
    </row>
    <row r="33" spans="1:18" ht="20.100000000000001" customHeight="1" x14ac:dyDescent="0.2">
      <c r="A33" s="315"/>
      <c r="B33" s="312"/>
      <c r="C33" s="312"/>
      <c r="D33" s="312"/>
      <c r="E33" s="316"/>
      <c r="F33" s="312"/>
      <c r="G33" s="312"/>
      <c r="H33" s="310"/>
      <c r="I33" s="314"/>
      <c r="J33" s="312"/>
      <c r="K33" s="312"/>
      <c r="L33" s="313"/>
      <c r="M33" s="313"/>
      <c r="N33" s="312"/>
      <c r="O33" s="312"/>
      <c r="P33" s="311"/>
      <c r="Q33" s="310"/>
      <c r="R33" s="310"/>
    </row>
    <row r="34" spans="1:18" ht="20.100000000000001" customHeight="1" x14ac:dyDescent="0.2">
      <c r="A34" s="315"/>
      <c r="B34" s="312"/>
      <c r="C34" s="312"/>
      <c r="D34" s="312"/>
      <c r="E34" s="316"/>
      <c r="F34" s="312"/>
      <c r="G34" s="312"/>
      <c r="H34" s="310"/>
      <c r="I34" s="314"/>
      <c r="J34" s="312"/>
      <c r="K34" s="312"/>
      <c r="L34" s="313"/>
      <c r="M34" s="313"/>
      <c r="N34" s="312"/>
      <c r="O34" s="312"/>
      <c r="P34" s="311"/>
      <c r="Q34" s="310"/>
      <c r="R34" s="310"/>
    </row>
    <row r="35" spans="1:18" ht="20.100000000000001" customHeight="1" x14ac:dyDescent="0.2">
      <c r="A35" s="315"/>
      <c r="B35" s="312"/>
      <c r="C35" s="312"/>
      <c r="D35" s="312"/>
      <c r="E35" s="316"/>
      <c r="F35" s="312"/>
      <c r="G35" s="312"/>
      <c r="H35" s="310"/>
      <c r="I35" s="314"/>
      <c r="J35" s="312"/>
      <c r="K35" s="312"/>
      <c r="L35" s="313"/>
      <c r="M35" s="313"/>
      <c r="N35" s="312"/>
      <c r="O35" s="312"/>
      <c r="P35" s="311"/>
      <c r="Q35" s="310"/>
      <c r="R35" s="310"/>
    </row>
    <row r="36" spans="1:18" ht="20.100000000000001" customHeight="1" x14ac:dyDescent="0.2">
      <c r="A36" s="315"/>
      <c r="B36" s="312"/>
      <c r="C36" s="312"/>
      <c r="D36" s="312"/>
      <c r="E36" s="316"/>
      <c r="F36" s="312"/>
      <c r="G36" s="312"/>
      <c r="H36" s="310"/>
      <c r="I36" s="314"/>
      <c r="J36" s="312"/>
      <c r="K36" s="312"/>
      <c r="L36" s="313"/>
      <c r="M36" s="313"/>
      <c r="N36" s="312"/>
      <c r="O36" s="312"/>
      <c r="P36" s="311"/>
      <c r="Q36" s="310"/>
      <c r="R36" s="310"/>
    </row>
    <row r="37" spans="1:18" ht="20.100000000000001" customHeight="1" x14ac:dyDescent="0.2">
      <c r="A37" s="315"/>
      <c r="B37" s="312"/>
      <c r="C37" s="312"/>
      <c r="D37" s="312"/>
      <c r="E37" s="316"/>
      <c r="F37" s="312"/>
      <c r="G37" s="312"/>
      <c r="H37" s="310"/>
      <c r="I37" s="314"/>
      <c r="J37" s="312"/>
      <c r="K37" s="312"/>
      <c r="L37" s="313"/>
      <c r="M37" s="313"/>
      <c r="N37" s="312"/>
      <c r="O37" s="312"/>
      <c r="P37" s="311"/>
      <c r="Q37" s="310"/>
      <c r="R37" s="310"/>
    </row>
    <row r="38" spans="1:18" ht="20.100000000000001" customHeight="1" x14ac:dyDescent="0.2">
      <c r="A38" s="315"/>
      <c r="B38" s="312"/>
      <c r="C38" s="312"/>
      <c r="D38" s="312"/>
      <c r="E38" s="316"/>
      <c r="F38" s="312"/>
      <c r="G38" s="312"/>
      <c r="H38" s="310"/>
      <c r="I38" s="314"/>
      <c r="J38" s="312"/>
      <c r="K38" s="312"/>
      <c r="L38" s="313"/>
      <c r="M38" s="313"/>
      <c r="N38" s="312"/>
      <c r="O38" s="312"/>
      <c r="P38" s="311"/>
      <c r="Q38" s="310"/>
      <c r="R38" s="310"/>
    </row>
    <row r="39" spans="1:18" ht="20.100000000000001" customHeight="1" x14ac:dyDescent="0.2">
      <c r="A39" s="315"/>
      <c r="B39" s="312"/>
      <c r="C39" s="312"/>
      <c r="D39" s="312"/>
      <c r="E39" s="316"/>
      <c r="F39" s="312"/>
      <c r="G39" s="312"/>
      <c r="H39" s="310"/>
      <c r="I39" s="314"/>
      <c r="J39" s="312"/>
      <c r="K39" s="312"/>
      <c r="L39" s="313"/>
      <c r="M39" s="313"/>
      <c r="N39" s="312"/>
      <c r="O39" s="312"/>
      <c r="P39" s="311"/>
      <c r="Q39" s="310"/>
      <c r="R39" s="310"/>
    </row>
    <row r="40" spans="1:18" ht="20.100000000000001" customHeight="1" x14ac:dyDescent="0.2">
      <c r="A40" s="315"/>
      <c r="B40" s="312"/>
      <c r="C40" s="312"/>
      <c r="D40" s="312"/>
      <c r="E40" s="316"/>
      <c r="F40" s="312"/>
      <c r="G40" s="312"/>
      <c r="H40" s="310"/>
      <c r="I40" s="314"/>
      <c r="J40" s="312"/>
      <c r="K40" s="312"/>
      <c r="L40" s="313"/>
      <c r="M40" s="313"/>
      <c r="N40" s="312"/>
      <c r="O40" s="312"/>
      <c r="P40" s="311"/>
      <c r="Q40" s="310"/>
      <c r="R40" s="310"/>
    </row>
    <row r="41" spans="1:18" ht="20.100000000000001" customHeight="1" x14ac:dyDescent="0.2">
      <c r="A41" s="315"/>
      <c r="B41" s="312"/>
      <c r="C41" s="312"/>
      <c r="D41" s="312"/>
      <c r="E41" s="316"/>
      <c r="F41" s="312"/>
      <c r="G41" s="312"/>
      <c r="H41" s="310"/>
      <c r="I41" s="314"/>
      <c r="J41" s="312"/>
      <c r="K41" s="312"/>
      <c r="L41" s="313"/>
      <c r="M41" s="313"/>
      <c r="N41" s="312"/>
      <c r="O41" s="312"/>
      <c r="P41" s="311"/>
      <c r="Q41" s="310"/>
      <c r="R41" s="310"/>
    </row>
    <row r="42" spans="1:18" ht="20.100000000000001" customHeight="1" x14ac:dyDescent="0.2">
      <c r="A42" s="315"/>
      <c r="B42" s="312"/>
      <c r="C42" s="312"/>
      <c r="D42" s="312"/>
      <c r="E42" s="316"/>
      <c r="F42" s="312"/>
      <c r="G42" s="312"/>
      <c r="H42" s="310"/>
      <c r="I42" s="314"/>
      <c r="J42" s="312"/>
      <c r="K42" s="312"/>
      <c r="L42" s="313"/>
      <c r="M42" s="313"/>
      <c r="N42" s="312"/>
      <c r="O42" s="312"/>
      <c r="P42" s="311"/>
      <c r="Q42" s="310"/>
      <c r="R42" s="310"/>
    </row>
    <row r="43" spans="1:18" ht="20.100000000000001" customHeight="1" x14ac:dyDescent="0.2">
      <c r="A43" s="315"/>
      <c r="B43" s="312"/>
      <c r="C43" s="312"/>
      <c r="D43" s="312"/>
      <c r="E43" s="316"/>
      <c r="F43" s="312"/>
      <c r="G43" s="312"/>
      <c r="H43" s="310"/>
      <c r="I43" s="314"/>
      <c r="J43" s="312"/>
      <c r="K43" s="312"/>
      <c r="L43" s="313"/>
      <c r="M43" s="313"/>
      <c r="N43" s="312"/>
      <c r="O43" s="312"/>
      <c r="P43" s="311"/>
      <c r="Q43" s="310"/>
      <c r="R43" s="310"/>
    </row>
    <row r="44" spans="1:18" ht="20.100000000000001" customHeight="1" x14ac:dyDescent="0.2">
      <c r="A44" s="315"/>
      <c r="B44" s="312"/>
      <c r="C44" s="312"/>
      <c r="D44" s="312"/>
      <c r="E44" s="316"/>
      <c r="F44" s="312"/>
      <c r="G44" s="312"/>
      <c r="H44" s="310"/>
      <c r="I44" s="314"/>
      <c r="J44" s="312"/>
      <c r="K44" s="312"/>
      <c r="L44" s="313"/>
      <c r="M44" s="313"/>
      <c r="N44" s="312"/>
      <c r="O44" s="312"/>
      <c r="P44" s="311"/>
      <c r="Q44" s="310"/>
      <c r="R44" s="310"/>
    </row>
    <row r="45" spans="1:18" ht="20.100000000000001" customHeight="1" x14ac:dyDescent="0.2">
      <c r="A45" s="315"/>
      <c r="B45" s="312"/>
      <c r="C45" s="312"/>
      <c r="D45" s="312"/>
      <c r="E45" s="316"/>
      <c r="F45" s="312"/>
      <c r="G45" s="312"/>
      <c r="H45" s="310"/>
      <c r="I45" s="314"/>
      <c r="J45" s="312"/>
      <c r="K45" s="312"/>
      <c r="L45" s="313"/>
      <c r="M45" s="313"/>
      <c r="N45" s="312"/>
      <c r="O45" s="312"/>
      <c r="P45" s="311"/>
      <c r="Q45" s="310"/>
      <c r="R45" s="310"/>
    </row>
    <row r="46" spans="1:18" ht="20.100000000000001" customHeight="1" x14ac:dyDescent="0.2">
      <c r="A46" s="315"/>
      <c r="B46" s="312"/>
      <c r="C46" s="312"/>
      <c r="D46" s="312"/>
      <c r="E46" s="316"/>
      <c r="F46" s="312"/>
      <c r="G46" s="312"/>
      <c r="H46" s="310"/>
      <c r="I46" s="314"/>
      <c r="J46" s="312"/>
      <c r="K46" s="312"/>
      <c r="L46" s="313"/>
      <c r="M46" s="313"/>
      <c r="N46" s="312"/>
      <c r="O46" s="312"/>
      <c r="P46" s="311"/>
      <c r="Q46" s="310"/>
      <c r="R46" s="310"/>
    </row>
    <row r="47" spans="1:18" ht="20.100000000000001" customHeight="1" x14ac:dyDescent="0.2">
      <c r="A47" s="315"/>
      <c r="B47" s="312"/>
      <c r="C47" s="312"/>
      <c r="D47" s="312"/>
      <c r="E47" s="316"/>
      <c r="F47" s="312"/>
      <c r="G47" s="312"/>
      <c r="H47" s="310"/>
      <c r="I47" s="314"/>
      <c r="J47" s="312"/>
      <c r="K47" s="312"/>
      <c r="L47" s="313"/>
      <c r="M47" s="313"/>
      <c r="N47" s="312"/>
      <c r="O47" s="312"/>
      <c r="P47" s="311"/>
      <c r="Q47" s="310"/>
      <c r="R47" s="310"/>
    </row>
    <row r="48" spans="1:18" ht="20.100000000000001" customHeight="1" x14ac:dyDescent="0.2">
      <c r="A48" s="315"/>
      <c r="B48" s="312"/>
      <c r="C48" s="312"/>
      <c r="D48" s="312"/>
      <c r="E48" s="316"/>
      <c r="F48" s="312"/>
      <c r="G48" s="312"/>
      <c r="H48" s="310"/>
      <c r="I48" s="314"/>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protectedRanges>
    <protectedRange sqref="D5:E6" name="Range3"/>
    <protectedRange sqref="D8:E15" name="Range6"/>
    <protectedRange sqref="D18:E20" name="Range7"/>
    <protectedRange sqref="I9:I12" name="Range8"/>
    <protectedRange sqref="H15:H17" name="Range9"/>
    <protectedRange sqref="H19:H20" name="Range10"/>
    <protectedRange sqref="M5" name="Range11"/>
    <protectedRange sqref="O5" name="Range12"/>
    <protectedRange sqref="N6" name="Range13"/>
    <protectedRange sqref="M7:M10" name="Range14"/>
    <protectedRange sqref="O7:O10" name="Range15"/>
    <protectedRange sqref="L14:M20" name="Range16"/>
    <protectedRange sqref="Q13:Q14" name="Range17"/>
    <protectedRange sqref="Q20" name="Range18"/>
    <protectedRange sqref="B24:R71" name="Range19"/>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s>
  <pageMargins left="0.45" right="0.45" top="0.5" bottom="0.5" header="0.3" footer="0.3"/>
  <pageSetup scale="55" orientation="landscape"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G5" sqref="G5:H5"/>
    </sheetView>
  </sheetViews>
  <sheetFormatPr defaultColWidth="16.109375" defaultRowHeight="20.100000000000001" customHeight="1" x14ac:dyDescent="0.2"/>
  <cols>
    <col min="1" max="1" width="1.332031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1"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x14ac:dyDescent="0.25">
      <c r="A2" s="370"/>
      <c r="B2" s="403" t="s">
        <v>358</v>
      </c>
      <c r="C2" s="504" t="str">
        <f>IF(ISNUMBER(D6),IF('Data Sheet 1'!C2:N2="","",'Data Sheet 1'!C2:N2),"")</f>
        <v/>
      </c>
      <c r="D2" s="504"/>
      <c r="E2" s="504"/>
      <c r="F2" s="504"/>
      <c r="G2" s="504"/>
      <c r="H2" s="504"/>
      <c r="I2" s="504"/>
      <c r="J2" s="504"/>
      <c r="K2" s="504"/>
      <c r="L2" s="504"/>
      <c r="M2" s="504"/>
      <c r="N2" s="513"/>
      <c r="O2" s="303"/>
      <c r="P2" s="512" t="s">
        <v>357</v>
      </c>
      <c r="Q2" s="512"/>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96"/>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395"/>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57"/>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49"/>
      <c r="I14" s="326"/>
      <c r="J14" s="457" t="s">
        <v>322</v>
      </c>
      <c r="K14" s="458"/>
      <c r="L14" s="348"/>
      <c r="M14" s="34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36"/>
      <c r="I15" s="326"/>
      <c r="J15" s="454" t="s">
        <v>318</v>
      </c>
      <c r="K15" s="455"/>
      <c r="L15" s="335"/>
      <c r="M15" s="334"/>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c r="M16" s="334"/>
      <c r="N16" s="326"/>
      <c r="O16" s="326"/>
      <c r="P16" s="326"/>
      <c r="Q16" s="333"/>
      <c r="R16" s="326"/>
      <c r="S16" s="326"/>
    </row>
    <row r="17" spans="1:19" ht="20.100000000000001" customHeight="1" thickBot="1" x14ac:dyDescent="0.3">
      <c r="A17" s="318"/>
      <c r="B17" s="344" t="s">
        <v>315</v>
      </c>
      <c r="C17" s="339"/>
      <c r="D17" s="326"/>
      <c r="E17" s="333"/>
      <c r="F17" s="469" t="s">
        <v>314</v>
      </c>
      <c r="G17" s="459"/>
      <c r="H17" s="343"/>
      <c r="I17" s="326"/>
      <c r="J17" s="454" t="s">
        <v>313</v>
      </c>
      <c r="K17" s="455"/>
      <c r="L17" s="335"/>
      <c r="M17" s="334"/>
      <c r="N17" s="326"/>
      <c r="O17" s="326"/>
      <c r="P17" s="326"/>
      <c r="Q17" s="333"/>
      <c r="R17" s="326"/>
      <c r="S17" s="326"/>
    </row>
    <row r="18" spans="1:19" ht="20.100000000000001" customHeight="1" thickBot="1" x14ac:dyDescent="0.3">
      <c r="A18" s="318"/>
      <c r="B18" s="469" t="s">
        <v>312</v>
      </c>
      <c r="C18" s="459"/>
      <c r="D18" s="467"/>
      <c r="E18" s="468"/>
      <c r="F18" s="393" t="s">
        <v>311</v>
      </c>
      <c r="G18" s="339"/>
      <c r="H18" s="338"/>
      <c r="I18" s="326"/>
      <c r="J18" s="457" t="s">
        <v>310</v>
      </c>
      <c r="K18" s="458"/>
      <c r="L18" s="335"/>
      <c r="M18" s="334"/>
      <c r="N18" s="326"/>
      <c r="O18" s="326"/>
      <c r="P18" s="326"/>
      <c r="Q18" s="333"/>
      <c r="R18" s="326"/>
      <c r="S18" s="326"/>
    </row>
    <row r="19" spans="1:19" ht="20.100000000000001" customHeight="1" thickBot="1" x14ac:dyDescent="0.4">
      <c r="A19" s="318"/>
      <c r="B19" s="469" t="s">
        <v>309</v>
      </c>
      <c r="C19" s="459"/>
      <c r="D19" s="465"/>
      <c r="E19" s="466"/>
      <c r="F19" s="469" t="s">
        <v>308</v>
      </c>
      <c r="G19" s="459"/>
      <c r="H19" s="336"/>
      <c r="I19" s="326"/>
      <c r="J19" s="454" t="s">
        <v>307</v>
      </c>
      <c r="K19" s="455"/>
      <c r="L19" s="335"/>
      <c r="M19" s="334"/>
      <c r="N19" s="326"/>
      <c r="O19" s="326"/>
      <c r="P19" s="326"/>
      <c r="Q19" s="333"/>
      <c r="R19" s="326"/>
      <c r="S19" s="326"/>
    </row>
    <row r="20" spans="1:19" ht="20.100000000000001" customHeight="1" thickBot="1" x14ac:dyDescent="0.4">
      <c r="A20" s="318"/>
      <c r="B20" s="463" t="s">
        <v>306</v>
      </c>
      <c r="C20" s="464"/>
      <c r="D20" s="473"/>
      <c r="E20" s="474"/>
      <c r="F20" s="463" t="s">
        <v>305</v>
      </c>
      <c r="G20" s="464"/>
      <c r="H20" s="331"/>
      <c r="I20" s="326"/>
      <c r="J20" s="491" t="s">
        <v>304</v>
      </c>
      <c r="K20" s="492"/>
      <c r="L20" s="329"/>
      <c r="M20" s="328"/>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91"/>
      <c r="C24" s="391"/>
      <c r="D24" s="390"/>
      <c r="E24" s="392"/>
      <c r="F24" s="312"/>
      <c r="G24" s="312"/>
      <c r="H24" s="310"/>
      <c r="I24" s="314"/>
      <c r="J24" s="312"/>
      <c r="K24" s="312"/>
      <c r="L24" s="313"/>
      <c r="M24" s="313"/>
      <c r="N24" s="312"/>
      <c r="O24" s="312"/>
      <c r="P24" s="311"/>
      <c r="Q24" s="310"/>
      <c r="R24" s="310"/>
    </row>
    <row r="25" spans="1:19" ht="20.100000000000001" customHeight="1" x14ac:dyDescent="0.2">
      <c r="A25" s="318"/>
      <c r="B25" s="312"/>
      <c r="C25" s="312"/>
      <c r="D25" s="312"/>
      <c r="E25" s="316"/>
      <c r="F25" s="312"/>
      <c r="G25" s="312"/>
      <c r="H25" s="310"/>
      <c r="I25" s="314"/>
      <c r="J25" s="312"/>
      <c r="K25" s="312"/>
      <c r="L25" s="313"/>
      <c r="M25" s="313"/>
      <c r="N25" s="312"/>
      <c r="O25" s="312"/>
      <c r="P25" s="311"/>
      <c r="Q25" s="310"/>
      <c r="R25" s="310"/>
    </row>
    <row r="26" spans="1:19" ht="20.100000000000001" customHeight="1" x14ac:dyDescent="0.2">
      <c r="A26" s="315"/>
      <c r="B26" s="312"/>
      <c r="C26" s="312"/>
      <c r="D26" s="312"/>
      <c r="E26" s="316"/>
      <c r="F26" s="312"/>
      <c r="G26" s="312"/>
      <c r="H26" s="310"/>
      <c r="I26" s="314"/>
      <c r="J26" s="312"/>
      <c r="K26" s="312"/>
      <c r="L26" s="313"/>
      <c r="M26" s="313"/>
      <c r="N26" s="312"/>
      <c r="O26" s="312"/>
      <c r="P26" s="311"/>
      <c r="Q26" s="310"/>
      <c r="R26" s="310"/>
    </row>
    <row r="27" spans="1:19" ht="20.100000000000001" customHeight="1" x14ac:dyDescent="0.2">
      <c r="A27" s="315"/>
      <c r="B27" s="312"/>
      <c r="C27" s="312"/>
      <c r="D27" s="312"/>
      <c r="E27" s="316"/>
      <c r="F27" s="312"/>
      <c r="G27" s="312"/>
      <c r="H27" s="310"/>
      <c r="I27" s="314"/>
      <c r="J27" s="312"/>
      <c r="K27" s="312"/>
      <c r="L27" s="313"/>
      <c r="M27" s="313"/>
      <c r="N27" s="312"/>
      <c r="O27" s="312"/>
      <c r="P27" s="311"/>
      <c r="Q27" s="310"/>
      <c r="R27" s="310"/>
    </row>
    <row r="28" spans="1:19" ht="20.100000000000001" customHeight="1" x14ac:dyDescent="0.2">
      <c r="A28" s="315"/>
      <c r="B28" s="312"/>
      <c r="C28" s="312"/>
      <c r="D28" s="312"/>
      <c r="E28" s="316"/>
      <c r="F28" s="312"/>
      <c r="G28" s="312"/>
      <c r="H28" s="310"/>
      <c r="I28" s="314"/>
      <c r="J28" s="312"/>
      <c r="K28" s="312"/>
      <c r="L28" s="313"/>
      <c r="M28" s="313"/>
      <c r="N28" s="312"/>
      <c r="O28" s="312"/>
      <c r="P28" s="311"/>
      <c r="Q28" s="310"/>
      <c r="R28" s="310"/>
    </row>
    <row r="29" spans="1:19" ht="20.100000000000001" customHeight="1" x14ac:dyDescent="0.2">
      <c r="A29" s="315"/>
      <c r="B29" s="312"/>
      <c r="C29" s="312"/>
      <c r="D29" s="312"/>
      <c r="E29" s="316"/>
      <c r="F29" s="312"/>
      <c r="G29" s="312"/>
      <c r="H29" s="310"/>
      <c r="I29" s="314"/>
      <c r="J29" s="312"/>
      <c r="K29" s="312"/>
      <c r="L29" s="313"/>
      <c r="M29" s="313"/>
      <c r="N29" s="312"/>
      <c r="O29" s="312"/>
      <c r="P29" s="311"/>
      <c r="Q29" s="310"/>
      <c r="R29" s="310"/>
    </row>
    <row r="30" spans="1:19" ht="20.100000000000001" customHeight="1" x14ac:dyDescent="0.2">
      <c r="A30" s="315"/>
      <c r="B30" s="312"/>
      <c r="C30" s="312"/>
      <c r="D30" s="312"/>
      <c r="E30" s="316"/>
      <c r="F30" s="312"/>
      <c r="G30" s="312"/>
      <c r="H30" s="310"/>
      <c r="I30" s="314"/>
      <c r="J30" s="312"/>
      <c r="K30" s="312"/>
      <c r="L30" s="313"/>
      <c r="M30" s="313"/>
      <c r="N30" s="312"/>
      <c r="O30" s="312"/>
      <c r="P30" s="311"/>
      <c r="Q30" s="310"/>
      <c r="R30" s="310"/>
    </row>
    <row r="31" spans="1:19" ht="20.100000000000001" customHeight="1" x14ac:dyDescent="0.2">
      <c r="A31" s="315"/>
      <c r="B31" s="312"/>
      <c r="C31" s="312"/>
      <c r="D31" s="312"/>
      <c r="E31" s="316"/>
      <c r="F31" s="312"/>
      <c r="G31" s="312"/>
      <c r="H31" s="310"/>
      <c r="I31" s="314"/>
      <c r="J31" s="312"/>
      <c r="K31" s="312"/>
      <c r="L31" s="313"/>
      <c r="M31" s="313"/>
      <c r="N31" s="312"/>
      <c r="O31" s="312"/>
      <c r="P31" s="311"/>
      <c r="Q31" s="310"/>
      <c r="R31" s="310"/>
    </row>
    <row r="32" spans="1:19" ht="20.100000000000001" customHeight="1" x14ac:dyDescent="0.2">
      <c r="A32" s="315"/>
      <c r="B32" s="312"/>
      <c r="C32" s="312"/>
      <c r="D32" s="312"/>
      <c r="E32" s="316"/>
      <c r="F32" s="312"/>
      <c r="G32" s="312"/>
      <c r="H32" s="310"/>
      <c r="I32" s="314"/>
      <c r="J32" s="312"/>
      <c r="K32" s="312"/>
      <c r="L32" s="313"/>
      <c r="M32" s="313"/>
      <c r="N32" s="312"/>
      <c r="O32" s="312"/>
      <c r="P32" s="311"/>
      <c r="Q32" s="310"/>
      <c r="R32" s="310"/>
    </row>
    <row r="33" spans="1:18" ht="20.100000000000001" customHeight="1" x14ac:dyDescent="0.2">
      <c r="A33" s="315"/>
      <c r="B33" s="312"/>
      <c r="C33" s="312"/>
      <c r="D33" s="312"/>
      <c r="E33" s="316"/>
      <c r="F33" s="312"/>
      <c r="G33" s="312"/>
      <c r="H33" s="310"/>
      <c r="I33" s="314"/>
      <c r="J33" s="312"/>
      <c r="K33" s="312"/>
      <c r="L33" s="313"/>
      <c r="M33" s="313"/>
      <c r="N33" s="312"/>
      <c r="O33" s="312"/>
      <c r="P33" s="311"/>
      <c r="Q33" s="310"/>
      <c r="R33" s="310"/>
    </row>
    <row r="34" spans="1:18" ht="20.100000000000001" customHeight="1" x14ac:dyDescent="0.2">
      <c r="A34" s="315"/>
      <c r="B34" s="312"/>
      <c r="C34" s="312"/>
      <c r="D34" s="312"/>
      <c r="E34" s="316"/>
      <c r="F34" s="312"/>
      <c r="G34" s="312"/>
      <c r="H34" s="310"/>
      <c r="I34" s="314"/>
      <c r="J34" s="312"/>
      <c r="K34" s="312"/>
      <c r="L34" s="313"/>
      <c r="M34" s="313"/>
      <c r="N34" s="312"/>
      <c r="O34" s="312"/>
      <c r="P34" s="311"/>
      <c r="Q34" s="310"/>
      <c r="R34" s="310"/>
    </row>
    <row r="35" spans="1:18" ht="20.100000000000001" customHeight="1" x14ac:dyDescent="0.2">
      <c r="A35" s="315"/>
      <c r="B35" s="312"/>
      <c r="C35" s="312"/>
      <c r="D35" s="312"/>
      <c r="E35" s="316"/>
      <c r="F35" s="312"/>
      <c r="G35" s="312"/>
      <c r="H35" s="310"/>
      <c r="I35" s="314"/>
      <c r="J35" s="312"/>
      <c r="K35" s="312"/>
      <c r="L35" s="313"/>
      <c r="M35" s="313"/>
      <c r="N35" s="312"/>
      <c r="O35" s="312"/>
      <c r="P35" s="311"/>
      <c r="Q35" s="310"/>
      <c r="R35" s="310"/>
    </row>
    <row r="36" spans="1:18" ht="20.100000000000001" customHeight="1" x14ac:dyDescent="0.2">
      <c r="A36" s="315"/>
      <c r="B36" s="312"/>
      <c r="C36" s="312"/>
      <c r="D36" s="312"/>
      <c r="E36" s="316"/>
      <c r="F36" s="312"/>
      <c r="G36" s="312"/>
      <c r="H36" s="310"/>
      <c r="I36" s="314"/>
      <c r="J36" s="312"/>
      <c r="K36" s="312"/>
      <c r="L36" s="313"/>
      <c r="M36" s="313"/>
      <c r="N36" s="312"/>
      <c r="O36" s="312"/>
      <c r="P36" s="311"/>
      <c r="Q36" s="310"/>
      <c r="R36" s="310"/>
    </row>
    <row r="37" spans="1:18" ht="20.100000000000001" customHeight="1" x14ac:dyDescent="0.2">
      <c r="A37" s="315"/>
      <c r="B37" s="312"/>
      <c r="C37" s="312"/>
      <c r="D37" s="312"/>
      <c r="E37" s="316"/>
      <c r="F37" s="312"/>
      <c r="G37" s="312"/>
      <c r="H37" s="310"/>
      <c r="I37" s="314"/>
      <c r="J37" s="312"/>
      <c r="K37" s="312"/>
      <c r="L37" s="313"/>
      <c r="M37" s="313"/>
      <c r="N37" s="312"/>
      <c r="O37" s="312"/>
      <c r="P37" s="311"/>
      <c r="Q37" s="310"/>
      <c r="R37" s="310"/>
    </row>
    <row r="38" spans="1:18" ht="20.100000000000001" customHeight="1" x14ac:dyDescent="0.2">
      <c r="A38" s="315"/>
      <c r="B38" s="312"/>
      <c r="C38" s="312"/>
      <c r="D38" s="312"/>
      <c r="E38" s="316"/>
      <c r="F38" s="312"/>
      <c r="G38" s="312"/>
      <c r="H38" s="310"/>
      <c r="I38" s="314"/>
      <c r="J38" s="312"/>
      <c r="K38" s="312"/>
      <c r="L38" s="313"/>
      <c r="M38" s="313"/>
      <c r="N38" s="312"/>
      <c r="O38" s="312"/>
      <c r="P38" s="311"/>
      <c r="Q38" s="310"/>
      <c r="R38" s="310"/>
    </row>
    <row r="39" spans="1:18" ht="20.100000000000001" customHeight="1" x14ac:dyDescent="0.2">
      <c r="A39" s="315"/>
      <c r="B39" s="312"/>
      <c r="C39" s="312"/>
      <c r="D39" s="312"/>
      <c r="E39" s="316"/>
      <c r="F39" s="312"/>
      <c r="G39" s="312"/>
      <c r="H39" s="310"/>
      <c r="I39" s="314"/>
      <c r="J39" s="312"/>
      <c r="K39" s="312"/>
      <c r="L39" s="313"/>
      <c r="M39" s="313"/>
      <c r="N39" s="312"/>
      <c r="O39" s="312"/>
      <c r="P39" s="311"/>
      <c r="Q39" s="310"/>
      <c r="R39" s="310"/>
    </row>
    <row r="40" spans="1:18" ht="20.100000000000001" customHeight="1" x14ac:dyDescent="0.2">
      <c r="A40" s="315"/>
      <c r="B40" s="312"/>
      <c r="C40" s="312"/>
      <c r="D40" s="312"/>
      <c r="E40" s="316"/>
      <c r="F40" s="312"/>
      <c r="G40" s="312"/>
      <c r="H40" s="310"/>
      <c r="I40" s="314"/>
      <c r="J40" s="312"/>
      <c r="K40" s="312"/>
      <c r="L40" s="313"/>
      <c r="M40" s="313"/>
      <c r="N40" s="312"/>
      <c r="O40" s="312"/>
      <c r="P40" s="311"/>
      <c r="Q40" s="310"/>
      <c r="R40" s="310"/>
    </row>
    <row r="41" spans="1:18" ht="20.100000000000001" customHeight="1" x14ac:dyDescent="0.2">
      <c r="A41" s="315"/>
      <c r="B41" s="312"/>
      <c r="C41" s="312"/>
      <c r="D41" s="312"/>
      <c r="E41" s="316"/>
      <c r="F41" s="312"/>
      <c r="G41" s="312"/>
      <c r="H41" s="310"/>
      <c r="I41" s="314"/>
      <c r="J41" s="312"/>
      <c r="K41" s="312"/>
      <c r="L41" s="313"/>
      <c r="M41" s="313"/>
      <c r="N41" s="312"/>
      <c r="O41" s="312"/>
      <c r="P41" s="311"/>
      <c r="Q41" s="310"/>
      <c r="R41" s="310"/>
    </row>
    <row r="42" spans="1:18" ht="20.100000000000001" customHeight="1" x14ac:dyDescent="0.2">
      <c r="A42" s="315"/>
      <c r="B42" s="312"/>
      <c r="C42" s="312"/>
      <c r="D42" s="312"/>
      <c r="E42" s="316"/>
      <c r="F42" s="312"/>
      <c r="G42" s="312"/>
      <c r="H42" s="310"/>
      <c r="I42" s="314"/>
      <c r="J42" s="312"/>
      <c r="K42" s="312"/>
      <c r="L42" s="313"/>
      <c r="M42" s="313"/>
      <c r="N42" s="312"/>
      <c r="O42" s="312"/>
      <c r="P42" s="311"/>
      <c r="Q42" s="310"/>
      <c r="R42" s="310"/>
    </row>
    <row r="43" spans="1:18" ht="20.100000000000001" customHeight="1" x14ac:dyDescent="0.2">
      <c r="A43" s="315"/>
      <c r="B43" s="312"/>
      <c r="C43" s="312"/>
      <c r="D43" s="312"/>
      <c r="E43" s="316"/>
      <c r="F43" s="312"/>
      <c r="G43" s="312"/>
      <c r="H43" s="310"/>
      <c r="I43" s="314"/>
      <c r="J43" s="312"/>
      <c r="K43" s="312"/>
      <c r="L43" s="313"/>
      <c r="M43" s="313"/>
      <c r="N43" s="312"/>
      <c r="O43" s="312"/>
      <c r="P43" s="311"/>
      <c r="Q43" s="310"/>
      <c r="R43" s="310"/>
    </row>
    <row r="44" spans="1:18" ht="20.100000000000001" customHeight="1" x14ac:dyDescent="0.2">
      <c r="A44" s="315"/>
      <c r="B44" s="312"/>
      <c r="C44" s="312"/>
      <c r="D44" s="312"/>
      <c r="E44" s="316"/>
      <c r="F44" s="312"/>
      <c r="G44" s="312"/>
      <c r="H44" s="310"/>
      <c r="I44" s="314"/>
      <c r="J44" s="312"/>
      <c r="K44" s="312"/>
      <c r="L44" s="313"/>
      <c r="M44" s="313"/>
      <c r="N44" s="312"/>
      <c r="O44" s="312"/>
      <c r="P44" s="311"/>
      <c r="Q44" s="310"/>
      <c r="R44" s="310"/>
    </row>
    <row r="45" spans="1:18" ht="20.100000000000001" customHeight="1" x14ac:dyDescent="0.2">
      <c r="A45" s="315"/>
      <c r="B45" s="312"/>
      <c r="C45" s="312"/>
      <c r="D45" s="312"/>
      <c r="E45" s="316"/>
      <c r="F45" s="312"/>
      <c r="G45" s="312"/>
      <c r="H45" s="310"/>
      <c r="I45" s="314"/>
      <c r="J45" s="312"/>
      <c r="K45" s="312"/>
      <c r="L45" s="313"/>
      <c r="M45" s="313"/>
      <c r="N45" s="312"/>
      <c r="O45" s="312"/>
      <c r="P45" s="311"/>
      <c r="Q45" s="310"/>
      <c r="R45" s="310"/>
    </row>
    <row r="46" spans="1:18" ht="20.100000000000001" customHeight="1" x14ac:dyDescent="0.2">
      <c r="A46" s="315"/>
      <c r="B46" s="312"/>
      <c r="C46" s="312"/>
      <c r="D46" s="312"/>
      <c r="E46" s="316"/>
      <c r="F46" s="312"/>
      <c r="G46" s="312"/>
      <c r="H46" s="310"/>
      <c r="I46" s="314"/>
      <c r="J46" s="312"/>
      <c r="K46" s="312"/>
      <c r="L46" s="313"/>
      <c r="M46" s="313"/>
      <c r="N46" s="312"/>
      <c r="O46" s="312"/>
      <c r="P46" s="311"/>
      <c r="Q46" s="310"/>
      <c r="R46" s="310"/>
    </row>
    <row r="47" spans="1:18" ht="20.100000000000001" customHeight="1" x14ac:dyDescent="0.2">
      <c r="A47" s="315"/>
      <c r="B47" s="312"/>
      <c r="C47" s="312"/>
      <c r="D47" s="312"/>
      <c r="E47" s="316"/>
      <c r="F47" s="312"/>
      <c r="G47" s="312"/>
      <c r="H47" s="310"/>
      <c r="I47" s="314"/>
      <c r="J47" s="312"/>
      <c r="K47" s="312"/>
      <c r="L47" s="313"/>
      <c r="M47" s="313"/>
      <c r="N47" s="312"/>
      <c r="O47" s="312"/>
      <c r="P47" s="311"/>
      <c r="Q47" s="310"/>
      <c r="R47" s="310"/>
    </row>
    <row r="48" spans="1:18" ht="20.100000000000001" customHeight="1" x14ac:dyDescent="0.2">
      <c r="A48" s="315"/>
      <c r="B48" s="312"/>
      <c r="C48" s="312"/>
      <c r="D48" s="312"/>
      <c r="E48" s="316"/>
      <c r="F48" s="312"/>
      <c r="G48" s="312"/>
      <c r="H48" s="310"/>
      <c r="I48" s="314"/>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selectLockedCells="1"/>
  <protectedRanges>
    <protectedRange sqref="B24:R71" name="Range19"/>
    <protectedRange sqref="Q20" name="Range18"/>
    <protectedRange sqref="Q13:Q14" name="Range17"/>
    <protectedRange sqref="L14:M20" name="Range16"/>
    <protectedRange sqref="O7:O10" name="Range15"/>
    <protectedRange sqref="M7:M10" name="Range14"/>
    <protectedRange sqref="O5" name="Range13"/>
    <protectedRange sqref="N6" name="Range12"/>
    <protectedRange sqref="M5" name="Range11"/>
    <protectedRange sqref="H19:H20" name="Range10"/>
    <protectedRange sqref="H15:H17" name="Range9"/>
    <protectedRange sqref="I9:I12" name="Range8"/>
    <protectedRange sqref="D18:E20" name="Range7"/>
    <protectedRange sqref="D8:E15" name="Range6"/>
    <protectedRange sqref="D5:E6" name="Range3"/>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s>
  <pageMargins left="0.45" right="0.45" top="0.5" bottom="0.5" header="0.3" footer="0.3"/>
  <pageSetup scale="55" orientation="landscape"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G5" sqref="G5:H5"/>
    </sheetView>
  </sheetViews>
  <sheetFormatPr defaultColWidth="16.109375" defaultRowHeight="20.100000000000001" customHeight="1" x14ac:dyDescent="0.2"/>
  <cols>
    <col min="1" max="1" width="1.332031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0.5546875"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494" t="str">
        <f>IF(ISNUMBER(D6),IF('Data Sheet 1'!C2:N2="","",'Data Sheet 1'!C2:N2),"")</f>
        <v/>
      </c>
      <c r="D2" s="494"/>
      <c r="E2" s="494"/>
      <c r="F2" s="494"/>
      <c r="G2" s="494"/>
      <c r="H2" s="494"/>
      <c r="I2" s="494"/>
      <c r="J2" s="494"/>
      <c r="K2" s="494"/>
      <c r="L2" s="494"/>
      <c r="M2" s="494"/>
      <c r="N2" s="495"/>
      <c r="O2" s="303"/>
      <c r="P2" s="512" t="s">
        <v>357</v>
      </c>
      <c r="Q2" s="512"/>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96"/>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395"/>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57"/>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50"/>
      <c r="I14" s="350"/>
      <c r="J14" s="457" t="s">
        <v>322</v>
      </c>
      <c r="K14" s="458"/>
      <c r="L14" s="348"/>
      <c r="M14" s="34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96"/>
      <c r="I15" s="326"/>
      <c r="J15" s="454" t="s">
        <v>318</v>
      </c>
      <c r="K15" s="455"/>
      <c r="L15" s="335"/>
      <c r="M15" s="334"/>
      <c r="N15" s="326"/>
      <c r="O15" s="326"/>
      <c r="P15" s="326"/>
      <c r="Q15" s="333"/>
      <c r="R15" s="303"/>
      <c r="S15" s="303"/>
    </row>
    <row r="16" spans="1:19" ht="20.100000000000001" customHeight="1" thickBot="1" x14ac:dyDescent="0.3">
      <c r="A16" s="318"/>
      <c r="B16" s="318"/>
      <c r="C16" s="326"/>
      <c r="D16" s="326"/>
      <c r="E16" s="333"/>
      <c r="F16" s="505" t="s">
        <v>317</v>
      </c>
      <c r="G16" s="456"/>
      <c r="H16" s="410"/>
      <c r="I16" s="326"/>
      <c r="J16" s="457" t="s">
        <v>316</v>
      </c>
      <c r="K16" s="458"/>
      <c r="L16" s="335"/>
      <c r="M16" s="334"/>
      <c r="N16" s="326"/>
      <c r="O16" s="326"/>
      <c r="P16" s="326"/>
      <c r="Q16" s="333"/>
      <c r="R16" s="326"/>
      <c r="S16" s="326"/>
    </row>
    <row r="17" spans="1:19" ht="20.100000000000001" customHeight="1" thickBot="1" x14ac:dyDescent="0.3">
      <c r="A17" s="318"/>
      <c r="B17" s="344" t="s">
        <v>315</v>
      </c>
      <c r="C17" s="339"/>
      <c r="D17" s="326"/>
      <c r="E17" s="333"/>
      <c r="F17" s="469" t="s">
        <v>314</v>
      </c>
      <c r="G17" s="459"/>
      <c r="H17" s="409"/>
      <c r="I17" s="326"/>
      <c r="J17" s="454" t="s">
        <v>313</v>
      </c>
      <c r="K17" s="455"/>
      <c r="L17" s="335"/>
      <c r="M17" s="334"/>
      <c r="N17" s="326"/>
      <c r="O17" s="326"/>
      <c r="P17" s="326"/>
      <c r="Q17" s="333"/>
      <c r="R17" s="326"/>
      <c r="S17" s="326"/>
    </row>
    <row r="18" spans="1:19" ht="20.100000000000001" customHeight="1" thickBot="1" x14ac:dyDescent="0.3">
      <c r="A18" s="318"/>
      <c r="B18" s="469" t="s">
        <v>312</v>
      </c>
      <c r="C18" s="459"/>
      <c r="D18" s="467"/>
      <c r="E18" s="468"/>
      <c r="F18" s="393" t="s">
        <v>311</v>
      </c>
      <c r="G18" s="339"/>
      <c r="H18" s="339"/>
      <c r="I18" s="326"/>
      <c r="J18" s="457" t="s">
        <v>310</v>
      </c>
      <c r="K18" s="458"/>
      <c r="L18" s="335"/>
      <c r="M18" s="334"/>
      <c r="N18" s="326"/>
      <c r="O18" s="326"/>
      <c r="P18" s="326"/>
      <c r="Q18" s="333"/>
      <c r="R18" s="326"/>
      <c r="S18" s="326"/>
    </row>
    <row r="19" spans="1:19" ht="20.100000000000001" customHeight="1" thickBot="1" x14ac:dyDescent="0.4">
      <c r="A19" s="318"/>
      <c r="B19" s="469" t="s">
        <v>309</v>
      </c>
      <c r="C19" s="459"/>
      <c r="D19" s="465"/>
      <c r="E19" s="466"/>
      <c r="F19" s="469" t="s">
        <v>308</v>
      </c>
      <c r="G19" s="459"/>
      <c r="H19" s="396"/>
      <c r="I19" s="326"/>
      <c r="J19" s="454" t="s">
        <v>307</v>
      </c>
      <c r="K19" s="455"/>
      <c r="L19" s="335"/>
      <c r="M19" s="334"/>
      <c r="N19" s="326"/>
      <c r="O19" s="326"/>
      <c r="P19" s="326"/>
      <c r="Q19" s="333"/>
      <c r="R19" s="326"/>
      <c r="S19" s="326"/>
    </row>
    <row r="20" spans="1:19" ht="20.100000000000001" customHeight="1" thickBot="1" x14ac:dyDescent="0.4">
      <c r="A20" s="318"/>
      <c r="B20" s="463" t="s">
        <v>306</v>
      </c>
      <c r="C20" s="464"/>
      <c r="D20" s="473"/>
      <c r="E20" s="474"/>
      <c r="F20" s="463" t="s">
        <v>305</v>
      </c>
      <c r="G20" s="464"/>
      <c r="H20" s="408"/>
      <c r="I20" s="407"/>
      <c r="J20" s="491" t="s">
        <v>304</v>
      </c>
      <c r="K20" s="492"/>
      <c r="L20" s="329"/>
      <c r="M20" s="328"/>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406"/>
      <c r="C24" s="406"/>
      <c r="D24" s="405"/>
      <c r="E24" s="392"/>
      <c r="F24" s="312"/>
      <c r="G24" s="312"/>
      <c r="H24" s="310"/>
      <c r="I24" s="314"/>
      <c r="J24" s="312"/>
      <c r="K24" s="312"/>
      <c r="L24" s="313"/>
      <c r="M24" s="313"/>
      <c r="N24" s="312"/>
      <c r="O24" s="312"/>
      <c r="P24" s="311"/>
      <c r="Q24" s="310"/>
      <c r="R24" s="310"/>
    </row>
    <row r="25" spans="1:19" ht="20.100000000000001" customHeight="1" x14ac:dyDescent="0.2">
      <c r="A25" s="318"/>
      <c r="B25" s="404"/>
      <c r="C25" s="404"/>
      <c r="D25" s="404"/>
      <c r="E25" s="316"/>
      <c r="F25" s="312"/>
      <c r="G25" s="312"/>
      <c r="H25" s="310"/>
      <c r="I25" s="314"/>
      <c r="J25" s="312"/>
      <c r="K25" s="312"/>
      <c r="L25" s="313"/>
      <c r="M25" s="313"/>
      <c r="N25" s="312"/>
      <c r="O25" s="312"/>
      <c r="P25" s="311"/>
      <c r="Q25" s="310"/>
      <c r="R25" s="310"/>
    </row>
    <row r="26" spans="1:19" ht="20.100000000000001" customHeight="1" x14ac:dyDescent="0.2">
      <c r="A26" s="315"/>
      <c r="B26" s="404"/>
      <c r="C26" s="404"/>
      <c r="D26" s="404"/>
      <c r="E26" s="316"/>
      <c r="F26" s="312"/>
      <c r="G26" s="312"/>
      <c r="H26" s="310"/>
      <c r="I26" s="314"/>
      <c r="J26" s="312"/>
      <c r="K26" s="312"/>
      <c r="L26" s="313"/>
      <c r="M26" s="313"/>
      <c r="N26" s="312"/>
      <c r="O26" s="312"/>
      <c r="P26" s="311"/>
      <c r="Q26" s="310"/>
      <c r="R26" s="310"/>
    </row>
    <row r="27" spans="1:19" ht="20.100000000000001" customHeight="1" x14ac:dyDescent="0.2">
      <c r="A27" s="315"/>
      <c r="B27" s="404"/>
      <c r="C27" s="404"/>
      <c r="D27" s="404"/>
      <c r="E27" s="316"/>
      <c r="F27" s="312"/>
      <c r="G27" s="312"/>
      <c r="H27" s="310"/>
      <c r="I27" s="314"/>
      <c r="J27" s="312"/>
      <c r="K27" s="312"/>
      <c r="L27" s="313"/>
      <c r="M27" s="313"/>
      <c r="N27" s="312"/>
      <c r="O27" s="312"/>
      <c r="P27" s="311"/>
      <c r="Q27" s="310"/>
      <c r="R27" s="310"/>
    </row>
    <row r="28" spans="1:19" ht="20.100000000000001" customHeight="1" x14ac:dyDescent="0.2">
      <c r="A28" s="315"/>
      <c r="B28" s="404"/>
      <c r="C28" s="404"/>
      <c r="D28" s="404"/>
      <c r="E28" s="316"/>
      <c r="F28" s="312"/>
      <c r="G28" s="312"/>
      <c r="H28" s="310"/>
      <c r="I28" s="314"/>
      <c r="J28" s="312"/>
      <c r="K28" s="312"/>
      <c r="L28" s="313"/>
      <c r="M28" s="313"/>
      <c r="N28" s="312"/>
      <c r="O28" s="312"/>
      <c r="P28" s="311"/>
      <c r="Q28" s="310"/>
      <c r="R28" s="310"/>
    </row>
    <row r="29" spans="1:19" ht="20.100000000000001" customHeight="1" x14ac:dyDescent="0.2">
      <c r="A29" s="315"/>
      <c r="B29" s="404"/>
      <c r="C29" s="404"/>
      <c r="D29" s="404"/>
      <c r="E29" s="316"/>
      <c r="F29" s="312"/>
      <c r="G29" s="312"/>
      <c r="H29" s="310"/>
      <c r="I29" s="314"/>
      <c r="J29" s="312"/>
      <c r="K29" s="312"/>
      <c r="L29" s="313"/>
      <c r="M29" s="313"/>
      <c r="N29" s="312"/>
      <c r="O29" s="312"/>
      <c r="P29" s="311"/>
      <c r="Q29" s="310"/>
      <c r="R29" s="310"/>
    </row>
    <row r="30" spans="1:19" ht="20.100000000000001" customHeight="1" x14ac:dyDescent="0.2">
      <c r="A30" s="315"/>
      <c r="B30" s="404"/>
      <c r="C30" s="404"/>
      <c r="D30" s="404"/>
      <c r="E30" s="316"/>
      <c r="F30" s="312"/>
      <c r="G30" s="312"/>
      <c r="H30" s="310"/>
      <c r="I30" s="314"/>
      <c r="J30" s="312"/>
      <c r="K30" s="312"/>
      <c r="L30" s="313"/>
      <c r="M30" s="313"/>
      <c r="N30" s="312"/>
      <c r="O30" s="312"/>
      <c r="P30" s="311"/>
      <c r="Q30" s="310"/>
      <c r="R30" s="310"/>
    </row>
    <row r="31" spans="1:19" ht="20.100000000000001" customHeight="1" x14ac:dyDescent="0.2">
      <c r="A31" s="315"/>
      <c r="B31" s="404"/>
      <c r="C31" s="404"/>
      <c r="D31" s="404"/>
      <c r="E31" s="316"/>
      <c r="F31" s="312"/>
      <c r="G31" s="312"/>
      <c r="H31" s="310"/>
      <c r="I31" s="314"/>
      <c r="J31" s="312"/>
      <c r="K31" s="312"/>
      <c r="L31" s="313"/>
      <c r="M31" s="313"/>
      <c r="N31" s="312"/>
      <c r="O31" s="312"/>
      <c r="P31" s="311"/>
      <c r="Q31" s="310"/>
      <c r="R31" s="310"/>
    </row>
    <row r="32" spans="1:19" ht="20.100000000000001" customHeight="1" x14ac:dyDescent="0.2">
      <c r="A32" s="315"/>
      <c r="B32" s="404"/>
      <c r="C32" s="404"/>
      <c r="D32" s="404"/>
      <c r="E32" s="316"/>
      <c r="F32" s="312"/>
      <c r="G32" s="312"/>
      <c r="H32" s="310"/>
      <c r="I32" s="314"/>
      <c r="J32" s="312"/>
      <c r="K32" s="312"/>
      <c r="L32" s="313"/>
      <c r="M32" s="313"/>
      <c r="N32" s="312"/>
      <c r="O32" s="312"/>
      <c r="P32" s="311"/>
      <c r="Q32" s="310"/>
      <c r="R32" s="310"/>
    </row>
    <row r="33" spans="1:18" ht="20.100000000000001" customHeight="1" x14ac:dyDescent="0.2">
      <c r="A33" s="315"/>
      <c r="B33" s="404"/>
      <c r="C33" s="404"/>
      <c r="D33" s="404"/>
      <c r="E33" s="316"/>
      <c r="F33" s="312"/>
      <c r="G33" s="312"/>
      <c r="H33" s="310"/>
      <c r="I33" s="314"/>
      <c r="J33" s="312"/>
      <c r="K33" s="312"/>
      <c r="L33" s="313"/>
      <c r="M33" s="313"/>
      <c r="N33" s="312"/>
      <c r="O33" s="312"/>
      <c r="P33" s="311"/>
      <c r="Q33" s="310"/>
      <c r="R33" s="310"/>
    </row>
    <row r="34" spans="1:18" ht="20.100000000000001" customHeight="1" x14ac:dyDescent="0.2">
      <c r="A34" s="315"/>
      <c r="B34" s="404"/>
      <c r="C34" s="404"/>
      <c r="D34" s="404"/>
      <c r="E34" s="316"/>
      <c r="F34" s="312"/>
      <c r="G34" s="312"/>
      <c r="H34" s="310"/>
      <c r="I34" s="314"/>
      <c r="J34" s="312"/>
      <c r="K34" s="312"/>
      <c r="L34" s="313"/>
      <c r="M34" s="313"/>
      <c r="N34" s="312"/>
      <c r="O34" s="312"/>
      <c r="P34" s="311"/>
      <c r="Q34" s="310"/>
      <c r="R34" s="310"/>
    </row>
    <row r="35" spans="1:18" ht="20.100000000000001" customHeight="1" x14ac:dyDescent="0.2">
      <c r="A35" s="315"/>
      <c r="B35" s="404"/>
      <c r="C35" s="404"/>
      <c r="D35" s="404"/>
      <c r="E35" s="316"/>
      <c r="F35" s="312"/>
      <c r="G35" s="312"/>
      <c r="H35" s="310"/>
      <c r="I35" s="314"/>
      <c r="J35" s="312"/>
      <c r="K35" s="312"/>
      <c r="L35" s="313"/>
      <c r="M35" s="313"/>
      <c r="N35" s="312"/>
      <c r="O35" s="312"/>
      <c r="P35" s="311"/>
      <c r="Q35" s="310"/>
      <c r="R35" s="310"/>
    </row>
    <row r="36" spans="1:18" ht="20.100000000000001" customHeight="1" x14ac:dyDescent="0.2">
      <c r="A36" s="315"/>
      <c r="B36" s="404"/>
      <c r="C36" s="404"/>
      <c r="D36" s="404"/>
      <c r="E36" s="316"/>
      <c r="F36" s="312"/>
      <c r="G36" s="312"/>
      <c r="H36" s="310"/>
      <c r="I36" s="314"/>
      <c r="J36" s="312"/>
      <c r="K36" s="312"/>
      <c r="L36" s="313"/>
      <c r="M36" s="313"/>
      <c r="N36" s="312"/>
      <c r="O36" s="312"/>
      <c r="P36" s="311"/>
      <c r="Q36" s="310"/>
      <c r="R36" s="310"/>
    </row>
    <row r="37" spans="1:18" ht="20.100000000000001" customHeight="1" x14ac:dyDescent="0.2">
      <c r="A37" s="315"/>
      <c r="B37" s="404"/>
      <c r="C37" s="404"/>
      <c r="D37" s="404"/>
      <c r="E37" s="316"/>
      <c r="F37" s="312"/>
      <c r="G37" s="312"/>
      <c r="H37" s="310"/>
      <c r="I37" s="314"/>
      <c r="J37" s="312"/>
      <c r="K37" s="312"/>
      <c r="L37" s="313"/>
      <c r="M37" s="313"/>
      <c r="N37" s="312"/>
      <c r="O37" s="312"/>
      <c r="P37" s="311"/>
      <c r="Q37" s="310"/>
      <c r="R37" s="310"/>
    </row>
    <row r="38" spans="1:18" ht="20.100000000000001" customHeight="1" x14ac:dyDescent="0.2">
      <c r="A38" s="315"/>
      <c r="B38" s="404"/>
      <c r="C38" s="404"/>
      <c r="D38" s="404"/>
      <c r="E38" s="316"/>
      <c r="F38" s="312"/>
      <c r="G38" s="312"/>
      <c r="H38" s="310"/>
      <c r="I38" s="314"/>
      <c r="J38" s="312"/>
      <c r="K38" s="312"/>
      <c r="L38" s="313"/>
      <c r="M38" s="313"/>
      <c r="N38" s="312"/>
      <c r="O38" s="312"/>
      <c r="P38" s="311"/>
      <c r="Q38" s="310"/>
      <c r="R38" s="310"/>
    </row>
    <row r="39" spans="1:18" ht="20.100000000000001" customHeight="1" x14ac:dyDescent="0.2">
      <c r="A39" s="315"/>
      <c r="B39" s="404"/>
      <c r="C39" s="404"/>
      <c r="D39" s="404"/>
      <c r="E39" s="316"/>
      <c r="F39" s="312"/>
      <c r="G39" s="312"/>
      <c r="H39" s="310"/>
      <c r="I39" s="314"/>
      <c r="J39" s="312"/>
      <c r="K39" s="312"/>
      <c r="L39" s="313"/>
      <c r="M39" s="313"/>
      <c r="N39" s="312"/>
      <c r="O39" s="312"/>
      <c r="P39" s="311"/>
      <c r="Q39" s="310"/>
      <c r="R39" s="310"/>
    </row>
    <row r="40" spans="1:18" ht="20.100000000000001" customHeight="1" x14ac:dyDescent="0.2">
      <c r="A40" s="315"/>
      <c r="B40" s="404"/>
      <c r="C40" s="404"/>
      <c r="D40" s="404"/>
      <c r="E40" s="316"/>
      <c r="F40" s="312"/>
      <c r="G40" s="312"/>
      <c r="H40" s="310"/>
      <c r="I40" s="314"/>
      <c r="J40" s="312"/>
      <c r="K40" s="312"/>
      <c r="L40" s="313"/>
      <c r="M40" s="313"/>
      <c r="N40" s="312"/>
      <c r="O40" s="312"/>
      <c r="P40" s="311"/>
      <c r="Q40" s="310"/>
      <c r="R40" s="310"/>
    </row>
    <row r="41" spans="1:18" ht="20.100000000000001" customHeight="1" x14ac:dyDescent="0.2">
      <c r="A41" s="315"/>
      <c r="B41" s="404"/>
      <c r="C41" s="404"/>
      <c r="D41" s="404"/>
      <c r="E41" s="316"/>
      <c r="F41" s="312"/>
      <c r="G41" s="312"/>
      <c r="H41" s="310"/>
      <c r="I41" s="314"/>
      <c r="J41" s="312"/>
      <c r="K41" s="312"/>
      <c r="L41" s="313"/>
      <c r="M41" s="313"/>
      <c r="N41" s="312"/>
      <c r="O41" s="312"/>
      <c r="P41" s="311"/>
      <c r="Q41" s="310"/>
      <c r="R41" s="310"/>
    </row>
    <row r="42" spans="1:18" ht="20.100000000000001" customHeight="1" x14ac:dyDescent="0.2">
      <c r="A42" s="315"/>
      <c r="B42" s="404"/>
      <c r="C42" s="404"/>
      <c r="D42" s="404"/>
      <c r="E42" s="316"/>
      <c r="F42" s="312"/>
      <c r="G42" s="312"/>
      <c r="H42" s="310"/>
      <c r="I42" s="314"/>
      <c r="J42" s="312"/>
      <c r="K42" s="312"/>
      <c r="L42" s="313"/>
      <c r="M42" s="313"/>
      <c r="N42" s="312"/>
      <c r="O42" s="312"/>
      <c r="P42" s="311"/>
      <c r="Q42" s="310"/>
      <c r="R42" s="310"/>
    </row>
    <row r="43" spans="1:18" ht="20.100000000000001" customHeight="1" x14ac:dyDescent="0.2">
      <c r="A43" s="315"/>
      <c r="B43" s="404"/>
      <c r="C43" s="404"/>
      <c r="D43" s="404"/>
      <c r="E43" s="316"/>
      <c r="F43" s="312"/>
      <c r="G43" s="312"/>
      <c r="H43" s="310"/>
      <c r="I43" s="314"/>
      <c r="J43" s="312"/>
      <c r="K43" s="312"/>
      <c r="L43" s="313"/>
      <c r="M43" s="313"/>
      <c r="N43" s="312"/>
      <c r="O43" s="312"/>
      <c r="P43" s="311"/>
      <c r="Q43" s="310"/>
      <c r="R43" s="310"/>
    </row>
    <row r="44" spans="1:18" ht="20.100000000000001" customHeight="1" x14ac:dyDescent="0.2">
      <c r="A44" s="315"/>
      <c r="B44" s="404"/>
      <c r="C44" s="404"/>
      <c r="D44" s="404"/>
      <c r="E44" s="316"/>
      <c r="F44" s="312"/>
      <c r="G44" s="312"/>
      <c r="H44" s="310"/>
      <c r="I44" s="314"/>
      <c r="J44" s="312"/>
      <c r="K44" s="312"/>
      <c r="L44" s="313"/>
      <c r="M44" s="313"/>
      <c r="N44" s="312"/>
      <c r="O44" s="312"/>
      <c r="P44" s="311"/>
      <c r="Q44" s="310"/>
      <c r="R44" s="310"/>
    </row>
    <row r="45" spans="1:18" ht="20.100000000000001" customHeight="1" x14ac:dyDescent="0.2">
      <c r="A45" s="315"/>
      <c r="B45" s="404"/>
      <c r="C45" s="404"/>
      <c r="D45" s="404"/>
      <c r="E45" s="316"/>
      <c r="F45" s="312"/>
      <c r="G45" s="312"/>
      <c r="H45" s="310"/>
      <c r="I45" s="314"/>
      <c r="J45" s="312"/>
      <c r="K45" s="312"/>
      <c r="L45" s="313"/>
      <c r="M45" s="313"/>
      <c r="N45" s="312"/>
      <c r="O45" s="312"/>
      <c r="P45" s="311"/>
      <c r="Q45" s="310"/>
      <c r="R45" s="310"/>
    </row>
    <row r="46" spans="1:18" ht="20.100000000000001" customHeight="1" x14ac:dyDescent="0.2">
      <c r="A46" s="315"/>
      <c r="B46" s="404"/>
      <c r="C46" s="404"/>
      <c r="D46" s="404"/>
      <c r="E46" s="316"/>
      <c r="F46" s="312"/>
      <c r="G46" s="312"/>
      <c r="H46" s="310"/>
      <c r="I46" s="314"/>
      <c r="J46" s="312"/>
      <c r="K46" s="312"/>
      <c r="L46" s="313"/>
      <c r="M46" s="313"/>
      <c r="N46" s="312"/>
      <c r="O46" s="312"/>
      <c r="P46" s="311"/>
      <c r="Q46" s="310"/>
      <c r="R46" s="310"/>
    </row>
    <row r="47" spans="1:18" ht="20.100000000000001" customHeight="1" x14ac:dyDescent="0.2">
      <c r="A47" s="315"/>
      <c r="B47" s="404"/>
      <c r="C47" s="404"/>
      <c r="D47" s="404"/>
      <c r="E47" s="316"/>
      <c r="F47" s="312"/>
      <c r="G47" s="312"/>
      <c r="H47" s="310"/>
      <c r="I47" s="314"/>
      <c r="J47" s="312"/>
      <c r="K47" s="312"/>
      <c r="L47" s="313"/>
      <c r="M47" s="313"/>
      <c r="N47" s="312"/>
      <c r="O47" s="312"/>
      <c r="P47" s="311"/>
      <c r="Q47" s="310"/>
      <c r="R47" s="310"/>
    </row>
    <row r="48" spans="1:18" ht="20.100000000000001" customHeight="1" x14ac:dyDescent="0.2">
      <c r="A48" s="315"/>
      <c r="B48" s="404"/>
      <c r="C48" s="404"/>
      <c r="D48" s="404"/>
      <c r="E48" s="316"/>
      <c r="F48" s="312"/>
      <c r="G48" s="312"/>
      <c r="H48" s="310"/>
      <c r="I48" s="314"/>
      <c r="J48" s="312"/>
      <c r="K48" s="312"/>
      <c r="L48" s="313"/>
      <c r="M48" s="313"/>
      <c r="N48" s="312"/>
      <c r="O48" s="312"/>
      <c r="P48" s="311"/>
      <c r="Q48" s="310"/>
      <c r="R48" s="310"/>
    </row>
    <row r="49" spans="1:18" ht="20.100000000000001" customHeight="1" x14ac:dyDescent="0.2">
      <c r="A49" s="315"/>
      <c r="B49" s="404"/>
      <c r="C49" s="404"/>
      <c r="D49" s="404"/>
      <c r="E49" s="316"/>
      <c r="F49" s="312"/>
      <c r="G49" s="312"/>
      <c r="H49" s="310"/>
      <c r="I49" s="314"/>
      <c r="J49" s="312"/>
      <c r="K49" s="312"/>
      <c r="L49" s="313"/>
      <c r="M49" s="313"/>
      <c r="N49" s="312"/>
      <c r="O49" s="312"/>
      <c r="P49" s="311"/>
      <c r="Q49" s="310"/>
      <c r="R49" s="310"/>
    </row>
    <row r="50" spans="1:18" ht="20.100000000000001" customHeight="1" x14ac:dyDescent="0.2">
      <c r="A50" s="315"/>
      <c r="B50" s="404"/>
      <c r="C50" s="404"/>
      <c r="D50" s="404"/>
      <c r="E50" s="316"/>
      <c r="F50" s="312"/>
      <c r="G50" s="312"/>
      <c r="H50" s="310"/>
      <c r="I50" s="314"/>
      <c r="J50" s="312"/>
      <c r="K50" s="312"/>
      <c r="L50" s="313"/>
      <c r="M50" s="313"/>
      <c r="N50" s="312"/>
      <c r="O50" s="312"/>
      <c r="P50" s="311"/>
      <c r="Q50" s="310"/>
      <c r="R50" s="310"/>
    </row>
    <row r="51" spans="1:18" ht="20.100000000000001" customHeight="1" x14ac:dyDescent="0.2">
      <c r="A51" s="315"/>
      <c r="B51" s="404"/>
      <c r="C51" s="404"/>
      <c r="D51" s="404"/>
      <c r="E51" s="316"/>
      <c r="F51" s="312"/>
      <c r="G51" s="312"/>
      <c r="H51" s="310"/>
      <c r="I51" s="314"/>
      <c r="J51" s="312"/>
      <c r="K51" s="312"/>
      <c r="L51" s="313"/>
      <c r="M51" s="313"/>
      <c r="N51" s="312"/>
      <c r="O51" s="312"/>
      <c r="P51" s="311"/>
      <c r="Q51" s="310"/>
      <c r="R51" s="310"/>
    </row>
    <row r="52" spans="1:18" ht="20.100000000000001" customHeight="1" x14ac:dyDescent="0.2">
      <c r="A52" s="315"/>
      <c r="B52" s="404"/>
      <c r="C52" s="404"/>
      <c r="D52" s="404"/>
      <c r="E52" s="316"/>
      <c r="F52" s="312"/>
      <c r="G52" s="312"/>
      <c r="H52" s="310"/>
      <c r="I52" s="314"/>
      <c r="J52" s="312"/>
      <c r="K52" s="312"/>
      <c r="L52" s="313"/>
      <c r="M52" s="313"/>
      <c r="N52" s="312"/>
      <c r="O52" s="312"/>
      <c r="P52" s="311"/>
      <c r="Q52" s="310"/>
      <c r="R52" s="310"/>
    </row>
    <row r="53" spans="1:18" ht="20.100000000000001" customHeight="1" x14ac:dyDescent="0.2">
      <c r="A53" s="315"/>
      <c r="B53" s="404"/>
      <c r="C53" s="404"/>
      <c r="D53" s="404"/>
      <c r="E53" s="316"/>
      <c r="F53" s="312"/>
      <c r="G53" s="312"/>
      <c r="H53" s="310"/>
      <c r="I53" s="314"/>
      <c r="J53" s="312"/>
      <c r="K53" s="312"/>
      <c r="L53" s="313"/>
      <c r="M53" s="313"/>
      <c r="N53" s="312"/>
      <c r="O53" s="312"/>
      <c r="P53" s="311"/>
      <c r="Q53" s="310"/>
      <c r="R53" s="310"/>
    </row>
    <row r="54" spans="1:18" ht="20.100000000000001" customHeight="1" x14ac:dyDescent="0.2">
      <c r="A54" s="315"/>
      <c r="B54" s="404"/>
      <c r="C54" s="404"/>
      <c r="D54" s="404"/>
      <c r="E54" s="316"/>
      <c r="F54" s="312"/>
      <c r="G54" s="312"/>
      <c r="H54" s="310"/>
      <c r="I54" s="314"/>
      <c r="J54" s="312"/>
      <c r="K54" s="312"/>
      <c r="L54" s="313"/>
      <c r="M54" s="313"/>
      <c r="N54" s="312"/>
      <c r="O54" s="312"/>
      <c r="P54" s="311"/>
      <c r="Q54" s="310"/>
      <c r="R54" s="310"/>
    </row>
    <row r="55" spans="1:18" ht="20.100000000000001" customHeight="1" x14ac:dyDescent="0.2">
      <c r="A55" s="315"/>
      <c r="B55" s="404"/>
      <c r="C55" s="404"/>
      <c r="D55" s="404"/>
      <c r="E55" s="316"/>
      <c r="F55" s="312"/>
      <c r="G55" s="312"/>
      <c r="H55" s="310"/>
      <c r="I55" s="314"/>
      <c r="J55" s="312"/>
      <c r="K55" s="312"/>
      <c r="L55" s="313"/>
      <c r="M55" s="313"/>
      <c r="N55" s="312"/>
      <c r="O55" s="312"/>
      <c r="P55" s="311"/>
      <c r="Q55" s="310"/>
      <c r="R55" s="310"/>
    </row>
    <row r="56" spans="1:18" ht="20.100000000000001" customHeight="1" x14ac:dyDescent="0.2">
      <c r="A56" s="315"/>
      <c r="B56" s="404"/>
      <c r="C56" s="404"/>
      <c r="D56" s="404"/>
      <c r="E56" s="316"/>
      <c r="F56" s="312"/>
      <c r="G56" s="312"/>
      <c r="H56" s="310"/>
      <c r="I56" s="314"/>
      <c r="J56" s="312"/>
      <c r="K56" s="312"/>
      <c r="L56" s="313"/>
      <c r="M56" s="313"/>
      <c r="N56" s="312"/>
      <c r="O56" s="312"/>
      <c r="P56" s="311"/>
      <c r="Q56" s="310"/>
      <c r="R56" s="310"/>
    </row>
    <row r="57" spans="1:18" ht="20.100000000000001" customHeight="1" x14ac:dyDescent="0.2">
      <c r="A57" s="315"/>
      <c r="B57" s="404"/>
      <c r="C57" s="404"/>
      <c r="D57" s="404"/>
      <c r="E57" s="316"/>
      <c r="F57" s="312"/>
      <c r="G57" s="312"/>
      <c r="H57" s="310"/>
      <c r="I57" s="314"/>
      <c r="J57" s="312"/>
      <c r="K57" s="312"/>
      <c r="L57" s="313"/>
      <c r="M57" s="313"/>
      <c r="N57" s="312"/>
      <c r="O57" s="312"/>
      <c r="P57" s="311"/>
      <c r="Q57" s="310"/>
      <c r="R57" s="310"/>
    </row>
    <row r="58" spans="1:18" ht="20.100000000000001" customHeight="1" x14ac:dyDescent="0.2">
      <c r="A58" s="315"/>
      <c r="B58" s="404"/>
      <c r="C58" s="404"/>
      <c r="D58" s="404"/>
      <c r="E58" s="316"/>
      <c r="F58" s="312"/>
      <c r="G58" s="312"/>
      <c r="H58" s="310"/>
      <c r="I58" s="314"/>
      <c r="J58" s="312"/>
      <c r="K58" s="312"/>
      <c r="L58" s="313"/>
      <c r="M58" s="313"/>
      <c r="N58" s="312"/>
      <c r="O58" s="312"/>
      <c r="P58" s="311"/>
      <c r="Q58" s="310"/>
      <c r="R58" s="310"/>
    </row>
    <row r="59" spans="1:18" ht="20.100000000000001" customHeight="1" x14ac:dyDescent="0.2">
      <c r="A59" s="315"/>
      <c r="B59" s="404"/>
      <c r="C59" s="404"/>
      <c r="D59" s="404"/>
      <c r="E59" s="316"/>
      <c r="F59" s="312"/>
      <c r="G59" s="312"/>
      <c r="H59" s="310"/>
      <c r="I59" s="314"/>
      <c r="J59" s="312"/>
      <c r="K59" s="312"/>
      <c r="L59" s="313"/>
      <c r="M59" s="313"/>
      <c r="N59" s="312"/>
      <c r="O59" s="312"/>
      <c r="P59" s="311"/>
      <c r="Q59" s="310"/>
      <c r="R59" s="310"/>
    </row>
    <row r="60" spans="1:18" ht="20.100000000000001" customHeight="1" x14ac:dyDescent="0.2">
      <c r="A60" s="315"/>
      <c r="B60" s="404"/>
      <c r="C60" s="404"/>
      <c r="D60" s="404"/>
      <c r="E60" s="316"/>
      <c r="F60" s="312"/>
      <c r="G60" s="312"/>
      <c r="H60" s="310"/>
      <c r="I60" s="314"/>
      <c r="J60" s="312"/>
      <c r="K60" s="312"/>
      <c r="L60" s="313"/>
      <c r="M60" s="313"/>
      <c r="N60" s="312"/>
      <c r="O60" s="312"/>
      <c r="P60" s="311"/>
      <c r="Q60" s="310"/>
      <c r="R60" s="310"/>
    </row>
    <row r="61" spans="1:18" ht="20.100000000000001" customHeight="1" x14ac:dyDescent="0.2">
      <c r="A61" s="315"/>
      <c r="B61" s="404"/>
      <c r="C61" s="404"/>
      <c r="D61" s="404"/>
      <c r="E61" s="316"/>
      <c r="F61" s="312"/>
      <c r="G61" s="312"/>
      <c r="H61" s="310"/>
      <c r="I61" s="314"/>
      <c r="J61" s="312"/>
      <c r="K61" s="312"/>
      <c r="L61" s="313"/>
      <c r="M61" s="313"/>
      <c r="N61" s="312"/>
      <c r="O61" s="312"/>
      <c r="P61" s="311"/>
      <c r="Q61" s="310"/>
      <c r="R61" s="310"/>
    </row>
    <row r="62" spans="1:18" ht="20.100000000000001" customHeight="1" x14ac:dyDescent="0.2">
      <c r="A62" s="315"/>
      <c r="B62" s="404"/>
      <c r="C62" s="404"/>
      <c r="D62" s="404"/>
      <c r="E62" s="316"/>
      <c r="F62" s="312"/>
      <c r="G62" s="312"/>
      <c r="H62" s="310"/>
      <c r="I62" s="314"/>
      <c r="J62" s="312"/>
      <c r="K62" s="312"/>
      <c r="L62" s="313"/>
      <c r="M62" s="313"/>
      <c r="N62" s="312"/>
      <c r="O62" s="312"/>
      <c r="P62" s="311"/>
      <c r="Q62" s="310"/>
      <c r="R62" s="310"/>
    </row>
    <row r="63" spans="1:18" ht="20.100000000000001" customHeight="1" x14ac:dyDescent="0.2">
      <c r="A63" s="315"/>
      <c r="B63" s="404"/>
      <c r="C63" s="404"/>
      <c r="D63" s="404"/>
      <c r="E63" s="316"/>
      <c r="F63" s="312"/>
      <c r="G63" s="312"/>
      <c r="H63" s="310"/>
      <c r="I63" s="314"/>
      <c r="J63" s="312"/>
      <c r="K63" s="312"/>
      <c r="L63" s="313"/>
      <c r="M63" s="313"/>
      <c r="N63" s="312"/>
      <c r="O63" s="312"/>
      <c r="P63" s="311"/>
      <c r="Q63" s="310"/>
      <c r="R63" s="310"/>
    </row>
    <row r="64" spans="1:18" ht="20.100000000000001" customHeight="1" x14ac:dyDescent="0.2">
      <c r="A64" s="315"/>
      <c r="B64" s="404"/>
      <c r="C64" s="404"/>
      <c r="D64" s="404"/>
      <c r="E64" s="316"/>
      <c r="F64" s="312"/>
      <c r="G64" s="312"/>
      <c r="H64" s="310"/>
      <c r="I64" s="314"/>
      <c r="J64" s="312"/>
      <c r="K64" s="312"/>
      <c r="L64" s="313"/>
      <c r="M64" s="313"/>
      <c r="N64" s="312"/>
      <c r="O64" s="312"/>
      <c r="P64" s="311"/>
      <c r="Q64" s="310"/>
      <c r="R64" s="310"/>
    </row>
    <row r="65" spans="1:18" ht="20.100000000000001" customHeight="1" x14ac:dyDescent="0.2">
      <c r="A65" s="315"/>
      <c r="B65" s="404"/>
      <c r="C65" s="404"/>
      <c r="D65" s="404"/>
      <c r="E65" s="316"/>
      <c r="F65" s="312"/>
      <c r="G65" s="312"/>
      <c r="H65" s="310"/>
      <c r="I65" s="314"/>
      <c r="J65" s="312"/>
      <c r="K65" s="312"/>
      <c r="L65" s="313"/>
      <c r="M65" s="313"/>
      <c r="N65" s="312"/>
      <c r="O65" s="312"/>
      <c r="P65" s="311"/>
      <c r="Q65" s="310"/>
      <c r="R65" s="310"/>
    </row>
    <row r="66" spans="1:18" ht="20.100000000000001" customHeight="1" x14ac:dyDescent="0.2">
      <c r="A66" s="315"/>
      <c r="B66" s="404"/>
      <c r="C66" s="404"/>
      <c r="D66" s="404"/>
      <c r="E66" s="316"/>
      <c r="F66" s="312"/>
      <c r="G66" s="312"/>
      <c r="H66" s="310"/>
      <c r="I66" s="314"/>
      <c r="J66" s="312"/>
      <c r="K66" s="312"/>
      <c r="L66" s="313"/>
      <c r="M66" s="313"/>
      <c r="N66" s="312"/>
      <c r="O66" s="312"/>
      <c r="P66" s="311"/>
      <c r="Q66" s="310"/>
      <c r="R66" s="310"/>
    </row>
    <row r="67" spans="1:18" ht="20.100000000000001" customHeight="1" x14ac:dyDescent="0.2">
      <c r="A67" s="315"/>
      <c r="B67" s="404"/>
      <c r="C67" s="404"/>
      <c r="D67" s="404"/>
      <c r="E67" s="316"/>
      <c r="F67" s="312"/>
      <c r="G67" s="312"/>
      <c r="H67" s="310"/>
      <c r="I67" s="314"/>
      <c r="J67" s="312"/>
      <c r="K67" s="312"/>
      <c r="L67" s="313"/>
      <c r="M67" s="313"/>
      <c r="N67" s="312"/>
      <c r="O67" s="312"/>
      <c r="P67" s="311"/>
      <c r="Q67" s="310"/>
      <c r="R67" s="310"/>
    </row>
    <row r="68" spans="1:18" ht="20.100000000000001" customHeight="1" x14ac:dyDescent="0.2">
      <c r="A68" s="315"/>
      <c r="B68" s="404"/>
      <c r="C68" s="404"/>
      <c r="D68" s="404"/>
      <c r="E68" s="316"/>
      <c r="F68" s="312"/>
      <c r="G68" s="312"/>
      <c r="H68" s="310"/>
      <c r="I68" s="314"/>
      <c r="J68" s="312"/>
      <c r="K68" s="312"/>
      <c r="L68" s="313"/>
      <c r="M68" s="313"/>
      <c r="N68" s="312"/>
      <c r="O68" s="312"/>
      <c r="P68" s="311"/>
      <c r="Q68" s="310"/>
      <c r="R68" s="310"/>
    </row>
    <row r="69" spans="1:18" ht="20.100000000000001" customHeight="1" x14ac:dyDescent="0.2">
      <c r="A69" s="315"/>
      <c r="B69" s="404"/>
      <c r="C69" s="404"/>
      <c r="D69" s="404"/>
      <c r="E69" s="316"/>
      <c r="F69" s="312"/>
      <c r="G69" s="312"/>
      <c r="H69" s="310"/>
      <c r="I69" s="314"/>
      <c r="J69" s="312"/>
      <c r="K69" s="312"/>
      <c r="L69" s="313"/>
      <c r="M69" s="313"/>
      <c r="N69" s="312"/>
      <c r="O69" s="312"/>
      <c r="P69" s="311"/>
      <c r="Q69" s="310"/>
      <c r="R69" s="310"/>
    </row>
    <row r="70" spans="1:18" ht="20.100000000000001" customHeight="1" x14ac:dyDescent="0.2">
      <c r="A70" s="315"/>
      <c r="B70" s="404"/>
      <c r="C70" s="404"/>
      <c r="D70" s="404"/>
      <c r="E70" s="316"/>
      <c r="F70" s="312"/>
      <c r="G70" s="312"/>
      <c r="H70" s="310"/>
      <c r="I70" s="314"/>
      <c r="J70" s="312"/>
      <c r="K70" s="312"/>
      <c r="L70" s="313"/>
      <c r="M70" s="313"/>
      <c r="N70" s="312"/>
      <c r="O70" s="312"/>
      <c r="P70" s="311"/>
      <c r="Q70" s="310"/>
      <c r="R70" s="310"/>
    </row>
    <row r="71" spans="1:18" ht="20.100000000000001" customHeight="1" x14ac:dyDescent="0.2">
      <c r="A71" s="315"/>
      <c r="B71" s="404"/>
      <c r="C71" s="404"/>
      <c r="D71" s="404"/>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selectLockedCells="1"/>
  <protectedRanges>
    <protectedRange sqref="D5:E6" name="Range3"/>
    <protectedRange sqref="D8:E15" name="Range6"/>
    <protectedRange sqref="I9:I12" name="Range7"/>
    <protectedRange sqref="D18:E20" name="Range8"/>
    <protectedRange sqref="H15:H17" name="Range9"/>
    <protectedRange sqref="H19:H20" name="Range10"/>
    <protectedRange sqref="M5" name="Range11"/>
    <protectedRange sqref="N6" name="Range12"/>
    <protectedRange sqref="O5" name="Range13"/>
    <protectedRange sqref="M7:M10" name="Range14"/>
    <protectedRange sqref="O7:O10" name="Range15"/>
    <protectedRange sqref="L14:M20" name="Range16"/>
    <protectedRange sqref="Q13:Q14" name="Range17"/>
    <protectedRange sqref="Q20" name="Range18"/>
    <protectedRange sqref="B24:R71" name="Range19"/>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s>
  <pageMargins left="0.45" right="0.45" top="0.5" bottom="0.5" header="0.3" footer="0.3"/>
  <pageSetup scale="55"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transitionEvaluation="1" transitionEntry="1">
    <pageSetUpPr fitToPage="1"/>
  </sheetPr>
  <dimension ref="A1:M55"/>
  <sheetViews>
    <sheetView showGridLines="0" zoomScale="80" zoomScaleNormal="80" workbookViewId="0">
      <selection activeCell="G45" sqref="G45"/>
    </sheetView>
  </sheetViews>
  <sheetFormatPr defaultColWidth="9.77734375" defaultRowHeight="15" x14ac:dyDescent="0.2"/>
  <cols>
    <col min="1" max="1" width="16.77734375" style="17" customWidth="1"/>
    <col min="2" max="2" width="7.77734375" style="17" customWidth="1"/>
    <col min="3" max="3" width="13.77734375" style="17" customWidth="1"/>
    <col min="4" max="6" width="12.77734375" style="17" customWidth="1"/>
    <col min="7" max="7" width="9.77734375" style="17"/>
    <col min="8" max="8" width="12.21875" style="17" customWidth="1"/>
    <col min="9" max="253" width="9.77734375" style="17"/>
    <col min="254" max="254" width="16.77734375" style="17" customWidth="1"/>
    <col min="255" max="255" width="7.77734375" style="17" customWidth="1"/>
    <col min="256" max="256" width="13.77734375" style="17" customWidth="1"/>
    <col min="257" max="259" width="12.77734375" style="17" customWidth="1"/>
    <col min="260" max="260" width="9.77734375" style="17"/>
    <col min="261" max="261" width="12.21875" style="17" customWidth="1"/>
    <col min="262" max="509" width="9.77734375" style="17"/>
    <col min="510" max="510" width="16.77734375" style="17" customWidth="1"/>
    <col min="511" max="511" width="7.77734375" style="17" customWidth="1"/>
    <col min="512" max="512" width="13.77734375" style="17" customWidth="1"/>
    <col min="513" max="515" width="12.77734375" style="17" customWidth="1"/>
    <col min="516" max="516" width="9.77734375" style="17"/>
    <col min="517" max="517" width="12.21875" style="17" customWidth="1"/>
    <col min="518" max="765" width="9.77734375" style="17"/>
    <col min="766" max="766" width="16.77734375" style="17" customWidth="1"/>
    <col min="767" max="767" width="7.77734375" style="17" customWidth="1"/>
    <col min="768" max="768" width="13.77734375" style="17" customWidth="1"/>
    <col min="769" max="771" width="12.77734375" style="17" customWidth="1"/>
    <col min="772" max="772" width="9.77734375" style="17"/>
    <col min="773" max="773" width="12.21875" style="17" customWidth="1"/>
    <col min="774" max="1021" width="9.77734375" style="17"/>
    <col min="1022" max="1022" width="16.77734375" style="17" customWidth="1"/>
    <col min="1023" max="1023" width="7.77734375" style="17" customWidth="1"/>
    <col min="1024" max="1024" width="13.77734375" style="17" customWidth="1"/>
    <col min="1025" max="1027" width="12.77734375" style="17" customWidth="1"/>
    <col min="1028" max="1028" width="9.77734375" style="17"/>
    <col min="1029" max="1029" width="12.21875" style="17" customWidth="1"/>
    <col min="1030" max="1277" width="9.77734375" style="17"/>
    <col min="1278" max="1278" width="16.77734375" style="17" customWidth="1"/>
    <col min="1279" max="1279" width="7.77734375" style="17" customWidth="1"/>
    <col min="1280" max="1280" width="13.77734375" style="17" customWidth="1"/>
    <col min="1281" max="1283" width="12.77734375" style="17" customWidth="1"/>
    <col min="1284" max="1284" width="9.77734375" style="17"/>
    <col min="1285" max="1285" width="12.21875" style="17" customWidth="1"/>
    <col min="1286" max="1533" width="9.77734375" style="17"/>
    <col min="1534" max="1534" width="16.77734375" style="17" customWidth="1"/>
    <col min="1535" max="1535" width="7.77734375" style="17" customWidth="1"/>
    <col min="1536" max="1536" width="13.77734375" style="17" customWidth="1"/>
    <col min="1537" max="1539" width="12.77734375" style="17" customWidth="1"/>
    <col min="1540" max="1540" width="9.77734375" style="17"/>
    <col min="1541" max="1541" width="12.21875" style="17" customWidth="1"/>
    <col min="1542" max="1789" width="9.77734375" style="17"/>
    <col min="1790" max="1790" width="16.77734375" style="17" customWidth="1"/>
    <col min="1791" max="1791" width="7.77734375" style="17" customWidth="1"/>
    <col min="1792" max="1792" width="13.77734375" style="17" customWidth="1"/>
    <col min="1793" max="1795" width="12.77734375" style="17" customWidth="1"/>
    <col min="1796" max="1796" width="9.77734375" style="17"/>
    <col min="1797" max="1797" width="12.21875" style="17" customWidth="1"/>
    <col min="1798" max="2045" width="9.77734375" style="17"/>
    <col min="2046" max="2046" width="16.77734375" style="17" customWidth="1"/>
    <col min="2047" max="2047" width="7.77734375" style="17" customWidth="1"/>
    <col min="2048" max="2048" width="13.77734375" style="17" customWidth="1"/>
    <col min="2049" max="2051" width="12.77734375" style="17" customWidth="1"/>
    <col min="2052" max="2052" width="9.77734375" style="17"/>
    <col min="2053" max="2053" width="12.21875" style="17" customWidth="1"/>
    <col min="2054" max="2301" width="9.77734375" style="17"/>
    <col min="2302" max="2302" width="16.77734375" style="17" customWidth="1"/>
    <col min="2303" max="2303" width="7.77734375" style="17" customWidth="1"/>
    <col min="2304" max="2304" width="13.77734375" style="17" customWidth="1"/>
    <col min="2305" max="2307" width="12.77734375" style="17" customWidth="1"/>
    <col min="2308" max="2308" width="9.77734375" style="17"/>
    <col min="2309" max="2309" width="12.21875" style="17" customWidth="1"/>
    <col min="2310" max="2557" width="9.77734375" style="17"/>
    <col min="2558" max="2558" width="16.77734375" style="17" customWidth="1"/>
    <col min="2559" max="2559" width="7.77734375" style="17" customWidth="1"/>
    <col min="2560" max="2560" width="13.77734375" style="17" customWidth="1"/>
    <col min="2561" max="2563" width="12.77734375" style="17" customWidth="1"/>
    <col min="2564" max="2564" width="9.77734375" style="17"/>
    <col min="2565" max="2565" width="12.21875" style="17" customWidth="1"/>
    <col min="2566" max="2813" width="9.77734375" style="17"/>
    <col min="2814" max="2814" width="16.77734375" style="17" customWidth="1"/>
    <col min="2815" max="2815" width="7.77734375" style="17" customWidth="1"/>
    <col min="2816" max="2816" width="13.77734375" style="17" customWidth="1"/>
    <col min="2817" max="2819" width="12.77734375" style="17" customWidth="1"/>
    <col min="2820" max="2820" width="9.77734375" style="17"/>
    <col min="2821" max="2821" width="12.21875" style="17" customWidth="1"/>
    <col min="2822" max="3069" width="9.77734375" style="17"/>
    <col min="3070" max="3070" width="16.77734375" style="17" customWidth="1"/>
    <col min="3071" max="3071" width="7.77734375" style="17" customWidth="1"/>
    <col min="3072" max="3072" width="13.77734375" style="17" customWidth="1"/>
    <col min="3073" max="3075" width="12.77734375" style="17" customWidth="1"/>
    <col min="3076" max="3076" width="9.77734375" style="17"/>
    <col min="3077" max="3077" width="12.21875" style="17" customWidth="1"/>
    <col min="3078" max="3325" width="9.77734375" style="17"/>
    <col min="3326" max="3326" width="16.77734375" style="17" customWidth="1"/>
    <col min="3327" max="3327" width="7.77734375" style="17" customWidth="1"/>
    <col min="3328" max="3328" width="13.77734375" style="17" customWidth="1"/>
    <col min="3329" max="3331" width="12.77734375" style="17" customWidth="1"/>
    <col min="3332" max="3332" width="9.77734375" style="17"/>
    <col min="3333" max="3333" width="12.21875" style="17" customWidth="1"/>
    <col min="3334" max="3581" width="9.77734375" style="17"/>
    <col min="3582" max="3582" width="16.77734375" style="17" customWidth="1"/>
    <col min="3583" max="3583" width="7.77734375" style="17" customWidth="1"/>
    <col min="3584" max="3584" width="13.77734375" style="17" customWidth="1"/>
    <col min="3585" max="3587" width="12.77734375" style="17" customWidth="1"/>
    <col min="3588" max="3588" width="9.77734375" style="17"/>
    <col min="3589" max="3589" width="12.21875" style="17" customWidth="1"/>
    <col min="3590" max="3837" width="9.77734375" style="17"/>
    <col min="3838" max="3838" width="16.77734375" style="17" customWidth="1"/>
    <col min="3839" max="3839" width="7.77734375" style="17" customWidth="1"/>
    <col min="3840" max="3840" width="13.77734375" style="17" customWidth="1"/>
    <col min="3841" max="3843" width="12.77734375" style="17" customWidth="1"/>
    <col min="3844" max="3844" width="9.77734375" style="17"/>
    <col min="3845" max="3845" width="12.21875" style="17" customWidth="1"/>
    <col min="3846" max="4093" width="9.77734375" style="17"/>
    <col min="4094" max="4094" width="16.77734375" style="17" customWidth="1"/>
    <col min="4095" max="4095" width="7.77734375" style="17" customWidth="1"/>
    <col min="4096" max="4096" width="13.77734375" style="17" customWidth="1"/>
    <col min="4097" max="4099" width="12.77734375" style="17" customWidth="1"/>
    <col min="4100" max="4100" width="9.77734375" style="17"/>
    <col min="4101" max="4101" width="12.21875" style="17" customWidth="1"/>
    <col min="4102" max="4349" width="9.77734375" style="17"/>
    <col min="4350" max="4350" width="16.77734375" style="17" customWidth="1"/>
    <col min="4351" max="4351" width="7.77734375" style="17" customWidth="1"/>
    <col min="4352" max="4352" width="13.77734375" style="17" customWidth="1"/>
    <col min="4353" max="4355" width="12.77734375" style="17" customWidth="1"/>
    <col min="4356" max="4356" width="9.77734375" style="17"/>
    <col min="4357" max="4357" width="12.21875" style="17" customWidth="1"/>
    <col min="4358" max="4605" width="9.77734375" style="17"/>
    <col min="4606" max="4606" width="16.77734375" style="17" customWidth="1"/>
    <col min="4607" max="4607" width="7.77734375" style="17" customWidth="1"/>
    <col min="4608" max="4608" width="13.77734375" style="17" customWidth="1"/>
    <col min="4609" max="4611" width="12.77734375" style="17" customWidth="1"/>
    <col min="4612" max="4612" width="9.77734375" style="17"/>
    <col min="4613" max="4613" width="12.21875" style="17" customWidth="1"/>
    <col min="4614" max="4861" width="9.77734375" style="17"/>
    <col min="4862" max="4862" width="16.77734375" style="17" customWidth="1"/>
    <col min="4863" max="4863" width="7.77734375" style="17" customWidth="1"/>
    <col min="4864" max="4864" width="13.77734375" style="17" customWidth="1"/>
    <col min="4865" max="4867" width="12.77734375" style="17" customWidth="1"/>
    <col min="4868" max="4868" width="9.77734375" style="17"/>
    <col min="4869" max="4869" width="12.21875" style="17" customWidth="1"/>
    <col min="4870" max="5117" width="9.77734375" style="17"/>
    <col min="5118" max="5118" width="16.77734375" style="17" customWidth="1"/>
    <col min="5119" max="5119" width="7.77734375" style="17" customWidth="1"/>
    <col min="5120" max="5120" width="13.77734375" style="17" customWidth="1"/>
    <col min="5121" max="5123" width="12.77734375" style="17" customWidth="1"/>
    <col min="5124" max="5124" width="9.77734375" style="17"/>
    <col min="5125" max="5125" width="12.21875" style="17" customWidth="1"/>
    <col min="5126" max="5373" width="9.77734375" style="17"/>
    <col min="5374" max="5374" width="16.77734375" style="17" customWidth="1"/>
    <col min="5375" max="5375" width="7.77734375" style="17" customWidth="1"/>
    <col min="5376" max="5376" width="13.77734375" style="17" customWidth="1"/>
    <col min="5377" max="5379" width="12.77734375" style="17" customWidth="1"/>
    <col min="5380" max="5380" width="9.77734375" style="17"/>
    <col min="5381" max="5381" width="12.21875" style="17" customWidth="1"/>
    <col min="5382" max="5629" width="9.77734375" style="17"/>
    <col min="5630" max="5630" width="16.77734375" style="17" customWidth="1"/>
    <col min="5631" max="5631" width="7.77734375" style="17" customWidth="1"/>
    <col min="5632" max="5632" width="13.77734375" style="17" customWidth="1"/>
    <col min="5633" max="5635" width="12.77734375" style="17" customWidth="1"/>
    <col min="5636" max="5636" width="9.77734375" style="17"/>
    <col min="5637" max="5637" width="12.21875" style="17" customWidth="1"/>
    <col min="5638" max="5885" width="9.77734375" style="17"/>
    <col min="5886" max="5886" width="16.77734375" style="17" customWidth="1"/>
    <col min="5887" max="5887" width="7.77734375" style="17" customWidth="1"/>
    <col min="5888" max="5888" width="13.77734375" style="17" customWidth="1"/>
    <col min="5889" max="5891" width="12.77734375" style="17" customWidth="1"/>
    <col min="5892" max="5892" width="9.77734375" style="17"/>
    <col min="5893" max="5893" width="12.21875" style="17" customWidth="1"/>
    <col min="5894" max="6141" width="9.77734375" style="17"/>
    <col min="6142" max="6142" width="16.77734375" style="17" customWidth="1"/>
    <col min="6143" max="6143" width="7.77734375" style="17" customWidth="1"/>
    <col min="6144" max="6144" width="13.77734375" style="17" customWidth="1"/>
    <col min="6145" max="6147" width="12.77734375" style="17" customWidth="1"/>
    <col min="6148" max="6148" width="9.77734375" style="17"/>
    <col min="6149" max="6149" width="12.21875" style="17" customWidth="1"/>
    <col min="6150" max="6397" width="9.77734375" style="17"/>
    <col min="6398" max="6398" width="16.77734375" style="17" customWidth="1"/>
    <col min="6399" max="6399" width="7.77734375" style="17" customWidth="1"/>
    <col min="6400" max="6400" width="13.77734375" style="17" customWidth="1"/>
    <col min="6401" max="6403" width="12.77734375" style="17" customWidth="1"/>
    <col min="6404" max="6404" width="9.77734375" style="17"/>
    <col min="6405" max="6405" width="12.21875" style="17" customWidth="1"/>
    <col min="6406" max="6653" width="9.77734375" style="17"/>
    <col min="6654" max="6654" width="16.77734375" style="17" customWidth="1"/>
    <col min="6655" max="6655" width="7.77734375" style="17" customWidth="1"/>
    <col min="6656" max="6656" width="13.77734375" style="17" customWidth="1"/>
    <col min="6657" max="6659" width="12.77734375" style="17" customWidth="1"/>
    <col min="6660" max="6660" width="9.77734375" style="17"/>
    <col min="6661" max="6661" width="12.21875" style="17" customWidth="1"/>
    <col min="6662" max="6909" width="9.77734375" style="17"/>
    <col min="6910" max="6910" width="16.77734375" style="17" customWidth="1"/>
    <col min="6911" max="6911" width="7.77734375" style="17" customWidth="1"/>
    <col min="6912" max="6912" width="13.77734375" style="17" customWidth="1"/>
    <col min="6913" max="6915" width="12.77734375" style="17" customWidth="1"/>
    <col min="6916" max="6916" width="9.77734375" style="17"/>
    <col min="6917" max="6917" width="12.21875" style="17" customWidth="1"/>
    <col min="6918" max="7165" width="9.77734375" style="17"/>
    <col min="7166" max="7166" width="16.77734375" style="17" customWidth="1"/>
    <col min="7167" max="7167" width="7.77734375" style="17" customWidth="1"/>
    <col min="7168" max="7168" width="13.77734375" style="17" customWidth="1"/>
    <col min="7169" max="7171" width="12.77734375" style="17" customWidth="1"/>
    <col min="7172" max="7172" width="9.77734375" style="17"/>
    <col min="7173" max="7173" width="12.21875" style="17" customWidth="1"/>
    <col min="7174" max="7421" width="9.77734375" style="17"/>
    <col min="7422" max="7422" width="16.77734375" style="17" customWidth="1"/>
    <col min="7423" max="7423" width="7.77734375" style="17" customWidth="1"/>
    <col min="7424" max="7424" width="13.77734375" style="17" customWidth="1"/>
    <col min="7425" max="7427" width="12.77734375" style="17" customWidth="1"/>
    <col min="7428" max="7428" width="9.77734375" style="17"/>
    <col min="7429" max="7429" width="12.21875" style="17" customWidth="1"/>
    <col min="7430" max="7677" width="9.77734375" style="17"/>
    <col min="7678" max="7678" width="16.77734375" style="17" customWidth="1"/>
    <col min="7679" max="7679" width="7.77734375" style="17" customWidth="1"/>
    <col min="7680" max="7680" width="13.77734375" style="17" customWidth="1"/>
    <col min="7681" max="7683" width="12.77734375" style="17" customWidth="1"/>
    <col min="7684" max="7684" width="9.77734375" style="17"/>
    <col min="7685" max="7685" width="12.21875" style="17" customWidth="1"/>
    <col min="7686" max="7933" width="9.77734375" style="17"/>
    <col min="7934" max="7934" width="16.77734375" style="17" customWidth="1"/>
    <col min="7935" max="7935" width="7.77734375" style="17" customWidth="1"/>
    <col min="7936" max="7936" width="13.77734375" style="17" customWidth="1"/>
    <col min="7937" max="7939" width="12.77734375" style="17" customWidth="1"/>
    <col min="7940" max="7940" width="9.77734375" style="17"/>
    <col min="7941" max="7941" width="12.21875" style="17" customWidth="1"/>
    <col min="7942" max="8189" width="9.77734375" style="17"/>
    <col min="8190" max="8190" width="16.77734375" style="17" customWidth="1"/>
    <col min="8191" max="8191" width="7.77734375" style="17" customWidth="1"/>
    <col min="8192" max="8192" width="13.77734375" style="17" customWidth="1"/>
    <col min="8193" max="8195" width="12.77734375" style="17" customWidth="1"/>
    <col min="8196" max="8196" width="9.77734375" style="17"/>
    <col min="8197" max="8197" width="12.21875" style="17" customWidth="1"/>
    <col min="8198" max="8445" width="9.77734375" style="17"/>
    <col min="8446" max="8446" width="16.77734375" style="17" customWidth="1"/>
    <col min="8447" max="8447" width="7.77734375" style="17" customWidth="1"/>
    <col min="8448" max="8448" width="13.77734375" style="17" customWidth="1"/>
    <col min="8449" max="8451" width="12.77734375" style="17" customWidth="1"/>
    <col min="8452" max="8452" width="9.77734375" style="17"/>
    <col min="8453" max="8453" width="12.21875" style="17" customWidth="1"/>
    <col min="8454" max="8701" width="9.77734375" style="17"/>
    <col min="8702" max="8702" width="16.77734375" style="17" customWidth="1"/>
    <col min="8703" max="8703" width="7.77734375" style="17" customWidth="1"/>
    <col min="8704" max="8704" width="13.77734375" style="17" customWidth="1"/>
    <col min="8705" max="8707" width="12.77734375" style="17" customWidth="1"/>
    <col min="8708" max="8708" width="9.77734375" style="17"/>
    <col min="8709" max="8709" width="12.21875" style="17" customWidth="1"/>
    <col min="8710" max="8957" width="9.77734375" style="17"/>
    <col min="8958" max="8958" width="16.77734375" style="17" customWidth="1"/>
    <col min="8959" max="8959" width="7.77734375" style="17" customWidth="1"/>
    <col min="8960" max="8960" width="13.77734375" style="17" customWidth="1"/>
    <col min="8961" max="8963" width="12.77734375" style="17" customWidth="1"/>
    <col min="8964" max="8964" width="9.77734375" style="17"/>
    <col min="8965" max="8965" width="12.21875" style="17" customWidth="1"/>
    <col min="8966" max="9213" width="9.77734375" style="17"/>
    <col min="9214" max="9214" width="16.77734375" style="17" customWidth="1"/>
    <col min="9215" max="9215" width="7.77734375" style="17" customWidth="1"/>
    <col min="9216" max="9216" width="13.77734375" style="17" customWidth="1"/>
    <col min="9217" max="9219" width="12.77734375" style="17" customWidth="1"/>
    <col min="9220" max="9220" width="9.77734375" style="17"/>
    <col min="9221" max="9221" width="12.21875" style="17" customWidth="1"/>
    <col min="9222" max="9469" width="9.77734375" style="17"/>
    <col min="9470" max="9470" width="16.77734375" style="17" customWidth="1"/>
    <col min="9471" max="9471" width="7.77734375" style="17" customWidth="1"/>
    <col min="9472" max="9472" width="13.77734375" style="17" customWidth="1"/>
    <col min="9473" max="9475" width="12.77734375" style="17" customWidth="1"/>
    <col min="9476" max="9476" width="9.77734375" style="17"/>
    <col min="9477" max="9477" width="12.21875" style="17" customWidth="1"/>
    <col min="9478" max="9725" width="9.77734375" style="17"/>
    <col min="9726" max="9726" width="16.77734375" style="17" customWidth="1"/>
    <col min="9727" max="9727" width="7.77734375" style="17" customWidth="1"/>
    <col min="9728" max="9728" width="13.77734375" style="17" customWidth="1"/>
    <col min="9729" max="9731" width="12.77734375" style="17" customWidth="1"/>
    <col min="9732" max="9732" width="9.77734375" style="17"/>
    <col min="9733" max="9733" width="12.21875" style="17" customWidth="1"/>
    <col min="9734" max="9981" width="9.77734375" style="17"/>
    <col min="9982" max="9982" width="16.77734375" style="17" customWidth="1"/>
    <col min="9983" max="9983" width="7.77734375" style="17" customWidth="1"/>
    <col min="9984" max="9984" width="13.77734375" style="17" customWidth="1"/>
    <col min="9985" max="9987" width="12.77734375" style="17" customWidth="1"/>
    <col min="9988" max="9988" width="9.77734375" style="17"/>
    <col min="9989" max="9989" width="12.21875" style="17" customWidth="1"/>
    <col min="9990" max="10237" width="9.77734375" style="17"/>
    <col min="10238" max="10238" width="16.77734375" style="17" customWidth="1"/>
    <col min="10239" max="10239" width="7.77734375" style="17" customWidth="1"/>
    <col min="10240" max="10240" width="13.77734375" style="17" customWidth="1"/>
    <col min="10241" max="10243" width="12.77734375" style="17" customWidth="1"/>
    <col min="10244" max="10244" width="9.77734375" style="17"/>
    <col min="10245" max="10245" width="12.21875" style="17" customWidth="1"/>
    <col min="10246" max="10493" width="9.77734375" style="17"/>
    <col min="10494" max="10494" width="16.77734375" style="17" customWidth="1"/>
    <col min="10495" max="10495" width="7.77734375" style="17" customWidth="1"/>
    <col min="10496" max="10496" width="13.77734375" style="17" customWidth="1"/>
    <col min="10497" max="10499" width="12.77734375" style="17" customWidth="1"/>
    <col min="10500" max="10500" width="9.77734375" style="17"/>
    <col min="10501" max="10501" width="12.21875" style="17" customWidth="1"/>
    <col min="10502" max="10749" width="9.77734375" style="17"/>
    <col min="10750" max="10750" width="16.77734375" style="17" customWidth="1"/>
    <col min="10751" max="10751" width="7.77734375" style="17" customWidth="1"/>
    <col min="10752" max="10752" width="13.77734375" style="17" customWidth="1"/>
    <col min="10753" max="10755" width="12.77734375" style="17" customWidth="1"/>
    <col min="10756" max="10756" width="9.77734375" style="17"/>
    <col min="10757" max="10757" width="12.21875" style="17" customWidth="1"/>
    <col min="10758" max="11005" width="9.77734375" style="17"/>
    <col min="11006" max="11006" width="16.77734375" style="17" customWidth="1"/>
    <col min="11007" max="11007" width="7.77734375" style="17" customWidth="1"/>
    <col min="11008" max="11008" width="13.77734375" style="17" customWidth="1"/>
    <col min="11009" max="11011" width="12.77734375" style="17" customWidth="1"/>
    <col min="11012" max="11012" width="9.77734375" style="17"/>
    <col min="11013" max="11013" width="12.21875" style="17" customWidth="1"/>
    <col min="11014" max="11261" width="9.77734375" style="17"/>
    <col min="11262" max="11262" width="16.77734375" style="17" customWidth="1"/>
    <col min="11263" max="11263" width="7.77734375" style="17" customWidth="1"/>
    <col min="11264" max="11264" width="13.77734375" style="17" customWidth="1"/>
    <col min="11265" max="11267" width="12.77734375" style="17" customWidth="1"/>
    <col min="11268" max="11268" width="9.77734375" style="17"/>
    <col min="11269" max="11269" width="12.21875" style="17" customWidth="1"/>
    <col min="11270" max="11517" width="9.77734375" style="17"/>
    <col min="11518" max="11518" width="16.77734375" style="17" customWidth="1"/>
    <col min="11519" max="11519" width="7.77734375" style="17" customWidth="1"/>
    <col min="11520" max="11520" width="13.77734375" style="17" customWidth="1"/>
    <col min="11521" max="11523" width="12.77734375" style="17" customWidth="1"/>
    <col min="11524" max="11524" width="9.77734375" style="17"/>
    <col min="11525" max="11525" width="12.21875" style="17" customWidth="1"/>
    <col min="11526" max="11773" width="9.77734375" style="17"/>
    <col min="11774" max="11774" width="16.77734375" style="17" customWidth="1"/>
    <col min="11775" max="11775" width="7.77734375" style="17" customWidth="1"/>
    <col min="11776" max="11776" width="13.77734375" style="17" customWidth="1"/>
    <col min="11777" max="11779" width="12.77734375" style="17" customWidth="1"/>
    <col min="11780" max="11780" width="9.77734375" style="17"/>
    <col min="11781" max="11781" width="12.21875" style="17" customWidth="1"/>
    <col min="11782" max="12029" width="9.77734375" style="17"/>
    <col min="12030" max="12030" width="16.77734375" style="17" customWidth="1"/>
    <col min="12031" max="12031" width="7.77734375" style="17" customWidth="1"/>
    <col min="12032" max="12032" width="13.77734375" style="17" customWidth="1"/>
    <col min="12033" max="12035" width="12.77734375" style="17" customWidth="1"/>
    <col min="12036" max="12036" width="9.77734375" style="17"/>
    <col min="12037" max="12037" width="12.21875" style="17" customWidth="1"/>
    <col min="12038" max="12285" width="9.77734375" style="17"/>
    <col min="12286" max="12286" width="16.77734375" style="17" customWidth="1"/>
    <col min="12287" max="12287" width="7.77734375" style="17" customWidth="1"/>
    <col min="12288" max="12288" width="13.77734375" style="17" customWidth="1"/>
    <col min="12289" max="12291" width="12.77734375" style="17" customWidth="1"/>
    <col min="12292" max="12292" width="9.77734375" style="17"/>
    <col min="12293" max="12293" width="12.21875" style="17" customWidth="1"/>
    <col min="12294" max="12541" width="9.77734375" style="17"/>
    <col min="12542" max="12542" width="16.77734375" style="17" customWidth="1"/>
    <col min="12543" max="12543" width="7.77734375" style="17" customWidth="1"/>
    <col min="12544" max="12544" width="13.77734375" style="17" customWidth="1"/>
    <col min="12545" max="12547" width="12.77734375" style="17" customWidth="1"/>
    <col min="12548" max="12548" width="9.77734375" style="17"/>
    <col min="12549" max="12549" width="12.21875" style="17" customWidth="1"/>
    <col min="12550" max="12797" width="9.77734375" style="17"/>
    <col min="12798" max="12798" width="16.77734375" style="17" customWidth="1"/>
    <col min="12799" max="12799" width="7.77734375" style="17" customWidth="1"/>
    <col min="12800" max="12800" width="13.77734375" style="17" customWidth="1"/>
    <col min="12801" max="12803" width="12.77734375" style="17" customWidth="1"/>
    <col min="12804" max="12804" width="9.77734375" style="17"/>
    <col min="12805" max="12805" width="12.21875" style="17" customWidth="1"/>
    <col min="12806" max="13053" width="9.77734375" style="17"/>
    <col min="13054" max="13054" width="16.77734375" style="17" customWidth="1"/>
    <col min="13055" max="13055" width="7.77734375" style="17" customWidth="1"/>
    <col min="13056" max="13056" width="13.77734375" style="17" customWidth="1"/>
    <col min="13057" max="13059" width="12.77734375" style="17" customWidth="1"/>
    <col min="13060" max="13060" width="9.77734375" style="17"/>
    <col min="13061" max="13061" width="12.21875" style="17" customWidth="1"/>
    <col min="13062" max="13309" width="9.77734375" style="17"/>
    <col min="13310" max="13310" width="16.77734375" style="17" customWidth="1"/>
    <col min="13311" max="13311" width="7.77734375" style="17" customWidth="1"/>
    <col min="13312" max="13312" width="13.77734375" style="17" customWidth="1"/>
    <col min="13313" max="13315" width="12.77734375" style="17" customWidth="1"/>
    <col min="13316" max="13316" width="9.77734375" style="17"/>
    <col min="13317" max="13317" width="12.21875" style="17" customWidth="1"/>
    <col min="13318" max="13565" width="9.77734375" style="17"/>
    <col min="13566" max="13566" width="16.77734375" style="17" customWidth="1"/>
    <col min="13567" max="13567" width="7.77734375" style="17" customWidth="1"/>
    <col min="13568" max="13568" width="13.77734375" style="17" customWidth="1"/>
    <col min="13569" max="13571" width="12.77734375" style="17" customWidth="1"/>
    <col min="13572" max="13572" width="9.77734375" style="17"/>
    <col min="13573" max="13573" width="12.21875" style="17" customWidth="1"/>
    <col min="13574" max="13821" width="9.77734375" style="17"/>
    <col min="13822" max="13822" width="16.77734375" style="17" customWidth="1"/>
    <col min="13823" max="13823" width="7.77734375" style="17" customWidth="1"/>
    <col min="13824" max="13824" width="13.77734375" style="17" customWidth="1"/>
    <col min="13825" max="13827" width="12.77734375" style="17" customWidth="1"/>
    <col min="13828" max="13828" width="9.77734375" style="17"/>
    <col min="13829" max="13829" width="12.21875" style="17" customWidth="1"/>
    <col min="13830" max="14077" width="9.77734375" style="17"/>
    <col min="14078" max="14078" width="16.77734375" style="17" customWidth="1"/>
    <col min="14079" max="14079" width="7.77734375" style="17" customWidth="1"/>
    <col min="14080" max="14080" width="13.77734375" style="17" customWidth="1"/>
    <col min="14081" max="14083" width="12.77734375" style="17" customWidth="1"/>
    <col min="14084" max="14084" width="9.77734375" style="17"/>
    <col min="14085" max="14085" width="12.21875" style="17" customWidth="1"/>
    <col min="14086" max="14333" width="9.77734375" style="17"/>
    <col min="14334" max="14334" width="16.77734375" style="17" customWidth="1"/>
    <col min="14335" max="14335" width="7.77734375" style="17" customWidth="1"/>
    <col min="14336" max="14336" width="13.77734375" style="17" customWidth="1"/>
    <col min="14337" max="14339" width="12.77734375" style="17" customWidth="1"/>
    <col min="14340" max="14340" width="9.77734375" style="17"/>
    <col min="14341" max="14341" width="12.21875" style="17" customWidth="1"/>
    <col min="14342" max="14589" width="9.77734375" style="17"/>
    <col min="14590" max="14590" width="16.77734375" style="17" customWidth="1"/>
    <col min="14591" max="14591" width="7.77734375" style="17" customWidth="1"/>
    <col min="14592" max="14592" width="13.77734375" style="17" customWidth="1"/>
    <col min="14593" max="14595" width="12.77734375" style="17" customWidth="1"/>
    <col min="14596" max="14596" width="9.77734375" style="17"/>
    <col min="14597" max="14597" width="12.21875" style="17" customWidth="1"/>
    <col min="14598" max="14845" width="9.77734375" style="17"/>
    <col min="14846" max="14846" width="16.77734375" style="17" customWidth="1"/>
    <col min="14847" max="14847" width="7.77734375" style="17" customWidth="1"/>
    <col min="14848" max="14848" width="13.77734375" style="17" customWidth="1"/>
    <col min="14849" max="14851" width="12.77734375" style="17" customWidth="1"/>
    <col min="14852" max="14852" width="9.77734375" style="17"/>
    <col min="14853" max="14853" width="12.21875" style="17" customWidth="1"/>
    <col min="14854" max="15101" width="9.77734375" style="17"/>
    <col min="15102" max="15102" width="16.77734375" style="17" customWidth="1"/>
    <col min="15103" max="15103" width="7.77734375" style="17" customWidth="1"/>
    <col min="15104" max="15104" width="13.77734375" style="17" customWidth="1"/>
    <col min="15105" max="15107" width="12.77734375" style="17" customWidth="1"/>
    <col min="15108" max="15108" width="9.77734375" style="17"/>
    <col min="15109" max="15109" width="12.21875" style="17" customWidth="1"/>
    <col min="15110" max="15357" width="9.77734375" style="17"/>
    <col min="15358" max="15358" width="16.77734375" style="17" customWidth="1"/>
    <col min="15359" max="15359" width="7.77734375" style="17" customWidth="1"/>
    <col min="15360" max="15360" width="13.77734375" style="17" customWidth="1"/>
    <col min="15361" max="15363" width="12.77734375" style="17" customWidth="1"/>
    <col min="15364" max="15364" width="9.77734375" style="17"/>
    <col min="15365" max="15365" width="12.21875" style="17" customWidth="1"/>
    <col min="15366" max="15613" width="9.77734375" style="17"/>
    <col min="15614" max="15614" width="16.77734375" style="17" customWidth="1"/>
    <col min="15615" max="15615" width="7.77734375" style="17" customWidth="1"/>
    <col min="15616" max="15616" width="13.77734375" style="17" customWidth="1"/>
    <col min="15617" max="15619" width="12.77734375" style="17" customWidth="1"/>
    <col min="15620" max="15620" width="9.77734375" style="17"/>
    <col min="15621" max="15621" width="12.21875" style="17" customWidth="1"/>
    <col min="15622" max="15869" width="9.77734375" style="17"/>
    <col min="15870" max="15870" width="16.77734375" style="17" customWidth="1"/>
    <col min="15871" max="15871" width="7.77734375" style="17" customWidth="1"/>
    <col min="15872" max="15872" width="13.77734375" style="17" customWidth="1"/>
    <col min="15873" max="15875" width="12.77734375" style="17" customWidth="1"/>
    <col min="15876" max="15876" width="9.77734375" style="17"/>
    <col min="15877" max="15877" width="12.21875" style="17" customWidth="1"/>
    <col min="15878" max="16125" width="9.77734375" style="17"/>
    <col min="16126" max="16126" width="16.77734375" style="17" customWidth="1"/>
    <col min="16127" max="16127" width="7.77734375" style="17" customWidth="1"/>
    <col min="16128" max="16128" width="13.77734375" style="17" customWidth="1"/>
    <col min="16129" max="16131" width="12.77734375" style="17" customWidth="1"/>
    <col min="16132" max="16132" width="9.77734375" style="17"/>
    <col min="16133" max="16133" width="12.21875" style="17" customWidth="1"/>
    <col min="16134" max="16384" width="9.77734375" style="17"/>
  </cols>
  <sheetData>
    <row r="1" spans="1:13" s="2" customFormat="1" ht="24" thickBot="1" x14ac:dyDescent="0.25">
      <c r="A1" s="431" t="s">
        <v>137</v>
      </c>
      <c r="B1" s="432"/>
      <c r="C1" s="432"/>
      <c r="D1" s="432"/>
      <c r="E1" s="432"/>
      <c r="F1" s="432"/>
      <c r="G1" s="432"/>
      <c r="H1" s="433"/>
    </row>
    <row r="2" spans="1:13" x14ac:dyDescent="0.2">
      <c r="A2" s="16"/>
    </row>
    <row r="3" spans="1:13" x14ac:dyDescent="0.2">
      <c r="A3" s="5" t="str">
        <f>'TSP HG-ISO Run1'!C3</f>
        <v>NoSouth Sway</v>
      </c>
      <c r="B3" s="2"/>
      <c r="C3" s="2"/>
    </row>
    <row r="4" spans="1:13" x14ac:dyDescent="0.2">
      <c r="A4" s="6" t="s">
        <v>225</v>
      </c>
      <c r="B4" s="2" t="str">
        <f>'TSP HG-ISO Run1'!C6</f>
        <v>BB019012.0000</v>
      </c>
      <c r="C4" s="2"/>
    </row>
    <row r="5" spans="1:13" ht="15.75" x14ac:dyDescent="0.25">
      <c r="A5" s="7" t="str">
        <f>'TSP HG-ISO Run1'!C5</f>
        <v>Scrubber (Boiler 7)</v>
      </c>
      <c r="B5" s="8"/>
      <c r="C5" s="8"/>
    </row>
    <row r="7" spans="1:13" x14ac:dyDescent="0.2">
      <c r="A7" s="16" t="s">
        <v>0</v>
      </c>
      <c r="D7" s="20" t="s">
        <v>1</v>
      </c>
      <c r="E7" s="20" t="s">
        <v>2</v>
      </c>
      <c r="F7" s="20" t="s">
        <v>58</v>
      </c>
    </row>
    <row r="8" spans="1:13" x14ac:dyDescent="0.2">
      <c r="A8" s="16" t="s">
        <v>3</v>
      </c>
      <c r="D8" s="9">
        <f>'TSP HG-ISO Run1'!$C7</f>
        <v>41855</v>
      </c>
      <c r="E8" s="9">
        <f>'TSP HG-ISO Run2'!$C7</f>
        <v>41855</v>
      </c>
      <c r="F8" s="9">
        <f>'TSP HG-ISO Run3'!$C7</f>
        <v>41855</v>
      </c>
    </row>
    <row r="9" spans="1:13" x14ac:dyDescent="0.2">
      <c r="A9" s="16" t="s">
        <v>4</v>
      </c>
      <c r="D9" s="10" t="str">
        <f>'TSP HG-ISO Run1'!$C10</f>
        <v>1035-1240</v>
      </c>
      <c r="E9" s="10" t="str">
        <f>'TSP HG-ISO Run2'!$C10</f>
        <v>1330-1535</v>
      </c>
      <c r="F9" s="10" t="str">
        <f>'TSP HG-ISO Run3'!$C10</f>
        <v>1610-1815</v>
      </c>
      <c r="M9" s="16"/>
    </row>
    <row r="10" spans="1:13" x14ac:dyDescent="0.2">
      <c r="A10" s="16"/>
      <c r="D10" s="10"/>
      <c r="E10" s="10"/>
      <c r="F10" s="10"/>
      <c r="M10" s="16"/>
    </row>
    <row r="11" spans="1:13" x14ac:dyDescent="0.2">
      <c r="D11" s="3"/>
      <c r="E11" s="3"/>
      <c r="F11" s="3"/>
    </row>
    <row r="12" spans="1:13" x14ac:dyDescent="0.2">
      <c r="A12" s="16" t="s">
        <v>138</v>
      </c>
      <c r="D12" s="11">
        <f>'TSP HG-ISO Run1'!$E44</f>
        <v>26901.59499818835</v>
      </c>
      <c r="E12" s="11">
        <f>'TSP HG-ISO Run2'!$E44</f>
        <v>27302.363699969515</v>
      </c>
      <c r="F12" s="11">
        <f>'TSP HG-ISO Run3'!$E44</f>
        <v>27439.100790044729</v>
      </c>
    </row>
    <row r="13" spans="1:13" x14ac:dyDescent="0.2">
      <c r="A13" s="16" t="s">
        <v>139</v>
      </c>
      <c r="D13" s="12">
        <f>'TSP HG-ISO Run1'!$E33</f>
        <v>9.3697121686107074</v>
      </c>
      <c r="E13" s="12">
        <f>'TSP HG-ISO Run2'!$E33</f>
        <v>9.8413001421258048</v>
      </c>
      <c r="F13" s="12">
        <f>'TSP HG-ISO Run3'!$E33</f>
        <v>9.585783880855983</v>
      </c>
    </row>
    <row r="14" spans="1:13" x14ac:dyDescent="0.2">
      <c r="A14" s="16" t="s">
        <v>140</v>
      </c>
      <c r="D14" s="13">
        <f>'TSP HG-ISO Run1'!$E31</f>
        <v>108.45271540419591</v>
      </c>
      <c r="E14" s="13">
        <f>'TSP HG-ISO Run2'!$E31</f>
        <v>112.87362548733758</v>
      </c>
      <c r="F14" s="13">
        <f>'TSP HG-ISO Run3'!$E31</f>
        <v>114.74256903799498</v>
      </c>
    </row>
    <row r="15" spans="1:13" x14ac:dyDescent="0.2">
      <c r="A15" s="16" t="s">
        <v>141</v>
      </c>
      <c r="D15" s="14">
        <f>'TSP HG-ISO Run1'!$E20</f>
        <v>13.216702741702736</v>
      </c>
      <c r="E15" s="14">
        <f>'TSP HG-ISO Run2'!$E20</f>
        <v>12.26253591954023</v>
      </c>
      <c r="F15" s="14">
        <f>'TSP HG-ISO Run3'!$E20</f>
        <v>12.688997113997111</v>
      </c>
    </row>
    <row r="16" spans="1:13" x14ac:dyDescent="0.2">
      <c r="A16" s="16" t="s">
        <v>226</v>
      </c>
      <c r="D16" s="34"/>
      <c r="E16" s="34"/>
      <c r="F16" s="34"/>
    </row>
    <row r="17" spans="1:6" x14ac:dyDescent="0.2">
      <c r="A17" s="16" t="s">
        <v>142</v>
      </c>
      <c r="D17" s="34">
        <v>9780</v>
      </c>
      <c r="E17" s="34">
        <f>D17</f>
        <v>9780</v>
      </c>
      <c r="F17" s="34">
        <f>E17</f>
        <v>9780</v>
      </c>
    </row>
    <row r="18" spans="1:6" x14ac:dyDescent="0.2">
      <c r="A18" s="16" t="s">
        <v>143</v>
      </c>
      <c r="C18" s="34">
        <v>7</v>
      </c>
      <c r="D18" s="16" t="s">
        <v>144</v>
      </c>
    </row>
    <row r="20" spans="1:6" ht="15.75" x14ac:dyDescent="0.25">
      <c r="A20" s="176" t="s">
        <v>145</v>
      </c>
      <c r="B20" s="177"/>
      <c r="C20" s="177"/>
      <c r="D20" s="177"/>
      <c r="E20" s="177"/>
      <c r="F20" s="223"/>
    </row>
    <row r="22" spans="1:6" x14ac:dyDescent="0.2">
      <c r="A22" s="16"/>
      <c r="D22" s="34"/>
      <c r="E22" s="34"/>
      <c r="F22" s="34"/>
    </row>
    <row r="23" spans="1:6" ht="15.75" x14ac:dyDescent="0.25">
      <c r="A23" s="178" t="s">
        <v>227</v>
      </c>
      <c r="B23" s="223"/>
    </row>
    <row r="24" spans="1:6" ht="15.75" x14ac:dyDescent="0.25">
      <c r="A24" s="216"/>
      <c r="B24" s="217"/>
    </row>
    <row r="25" spans="1:6" x14ac:dyDescent="0.2">
      <c r="A25" s="16" t="s">
        <v>228</v>
      </c>
      <c r="B25" s="34">
        <v>95</v>
      </c>
      <c r="C25" s="20" t="s">
        <v>229</v>
      </c>
      <c r="D25" s="34">
        <v>86</v>
      </c>
      <c r="E25" s="34">
        <v>81</v>
      </c>
      <c r="F25" s="34">
        <v>84</v>
      </c>
    </row>
    <row r="26" spans="1:6" ht="15.75" x14ac:dyDescent="0.25">
      <c r="A26" s="16"/>
      <c r="B26" s="34"/>
      <c r="C26" s="218"/>
      <c r="D26" s="34"/>
      <c r="E26" s="34"/>
      <c r="F26" s="34"/>
    </row>
    <row r="27" spans="1:6" ht="15.75" x14ac:dyDescent="0.25">
      <c r="A27" s="176" t="s">
        <v>230</v>
      </c>
      <c r="B27" s="223"/>
      <c r="D27" s="28"/>
      <c r="E27" s="22"/>
      <c r="F27" s="22"/>
    </row>
    <row r="28" spans="1:6" ht="15.75" x14ac:dyDescent="0.25">
      <c r="A28" s="216"/>
      <c r="B28" s="217"/>
      <c r="D28" s="28"/>
      <c r="E28" s="22"/>
      <c r="F28" s="22"/>
    </row>
    <row r="29" spans="1:6" ht="15.75" x14ac:dyDescent="0.25">
      <c r="C29" s="219" t="s">
        <v>231</v>
      </c>
      <c r="D29" s="220">
        <v>0.191</v>
      </c>
      <c r="E29" s="220">
        <v>0.189</v>
      </c>
      <c r="F29" s="220">
        <v>0.20100000000000001</v>
      </c>
    </row>
    <row r="30" spans="1:6" ht="15.75" x14ac:dyDescent="0.25">
      <c r="C30" s="218"/>
      <c r="D30" s="220"/>
      <c r="E30" s="220"/>
      <c r="F30" s="220"/>
    </row>
    <row r="31" spans="1:6" ht="15.75" x14ac:dyDescent="0.25">
      <c r="C31" s="219" t="s">
        <v>232</v>
      </c>
      <c r="D31" s="220"/>
      <c r="E31" s="220"/>
      <c r="F31" s="220"/>
    </row>
    <row r="32" spans="1:6" ht="15.75" x14ac:dyDescent="0.25">
      <c r="A32" s="18" t="s">
        <v>233</v>
      </c>
      <c r="B32" s="220">
        <v>6.9999999999999999E-4</v>
      </c>
      <c r="C32" s="218" t="s">
        <v>234</v>
      </c>
      <c r="D32" s="220">
        <v>4.7000000000000002E-3</v>
      </c>
      <c r="E32" s="220">
        <v>5.1999999999999998E-3</v>
      </c>
      <c r="F32" s="220">
        <v>3.3E-3</v>
      </c>
    </row>
    <row r="33" spans="1:9" ht="15.75" x14ac:dyDescent="0.25">
      <c r="A33" s="16"/>
      <c r="B33" s="220"/>
      <c r="C33" s="218"/>
      <c r="D33" s="220"/>
      <c r="E33" s="220"/>
      <c r="F33" s="220"/>
    </row>
    <row r="34" spans="1:9" ht="15.75" x14ac:dyDescent="0.25">
      <c r="C34" s="218" t="s">
        <v>235</v>
      </c>
      <c r="D34" s="220">
        <f>(D32-(($B32/$B25)*D25))</f>
        <v>4.0663157894736844E-3</v>
      </c>
      <c r="E34" s="220">
        <f>(E32-(($B32/$B25)*E25))</f>
        <v>4.603157894736842E-3</v>
      </c>
      <c r="F34" s="220">
        <f>(F32-(($B32/$B25)*F25))</f>
        <v>2.6810526315789473E-3</v>
      </c>
    </row>
    <row r="35" spans="1:9" x14ac:dyDescent="0.2">
      <c r="A35" s="16"/>
      <c r="D35" s="220"/>
      <c r="E35" s="220"/>
      <c r="F35" s="220"/>
    </row>
    <row r="36" spans="1:9" x14ac:dyDescent="0.2">
      <c r="D36" s="220"/>
      <c r="E36" s="220"/>
      <c r="F36" s="220"/>
    </row>
    <row r="37" spans="1:9" ht="15.75" x14ac:dyDescent="0.25">
      <c r="A37" s="18"/>
      <c r="D37" s="220"/>
      <c r="E37" s="220"/>
      <c r="F37" s="220"/>
    </row>
    <row r="40" spans="1:9" ht="15.75" x14ac:dyDescent="0.25">
      <c r="G40" s="4" t="s">
        <v>163</v>
      </c>
      <c r="H40" s="4" t="s">
        <v>146</v>
      </c>
    </row>
    <row r="41" spans="1:9" ht="15.75" x14ac:dyDescent="0.25">
      <c r="A41" s="176" t="s">
        <v>147</v>
      </c>
      <c r="B41" s="177"/>
      <c r="C41" s="223"/>
      <c r="G41" s="3"/>
      <c r="H41" s="4"/>
    </row>
    <row r="42" spans="1:9" ht="15.75" x14ac:dyDescent="0.25">
      <c r="A42" s="16" t="s">
        <v>148</v>
      </c>
      <c r="D42" s="221">
        <f>((D29+D34+D37)/D$14*15.43)*(100-D$13)/100</f>
        <v>2.5152498783026892E-2</v>
      </c>
      <c r="E42" s="221">
        <f>((E29+E34+E37)/E$14*15.43)*(100-E$13)/100</f>
        <v>2.3861268544486468E-2</v>
      </c>
      <c r="F42" s="221">
        <f>((F29+F34+F37)/F$14*15.43)*(100-F$13)/100</f>
        <v>2.4764451243214289E-2</v>
      </c>
      <c r="G42" s="15"/>
      <c r="H42" s="4"/>
    </row>
    <row r="43" spans="1:9" ht="15.75" x14ac:dyDescent="0.25">
      <c r="A43" s="16" t="s">
        <v>149</v>
      </c>
      <c r="D43" s="221">
        <f>((D29+D34+D37)/D$14*15.43)</f>
        <v>2.7752862078316672E-2</v>
      </c>
      <c r="E43" s="221">
        <f>((E29+E34+E37)/E$14*15.43)</f>
        <v>2.6465852526823562E-2</v>
      </c>
      <c r="F43" s="221">
        <f>((F29+F34+F37)/F$14*15.43)</f>
        <v>2.7389997177634927E-2</v>
      </c>
      <c r="G43" s="222"/>
      <c r="H43" s="4"/>
    </row>
    <row r="44" spans="1:9" x14ac:dyDescent="0.2">
      <c r="A44" s="16" t="s">
        <v>150</v>
      </c>
      <c r="D44" s="281">
        <f>((D29+D34+D37)/D$14*D$12*0.1323)</f>
        <v>6.401470163663868</v>
      </c>
      <c r="E44" s="281">
        <f>((E29+E34+E37)/E$14*E$12*0.1323)</f>
        <v>6.1955526787590118</v>
      </c>
      <c r="F44" s="281">
        <f>((F29+F34+F37)/F$14*F$12*0.1323)</f>
        <v>6.4440036921485868</v>
      </c>
      <c r="G44" s="226">
        <f>AVERAGE(B44,D44,F44)</f>
        <v>6.422736927906227</v>
      </c>
      <c r="H44" s="3"/>
    </row>
    <row r="45" spans="1:9" ht="15.75" x14ac:dyDescent="0.25">
      <c r="A45" s="18" t="s">
        <v>236</v>
      </c>
      <c r="B45" s="25"/>
      <c r="C45" s="25"/>
      <c r="D45" s="225">
        <f>(20.9/(20.9-D15))*(D17*(D29+D34+D37))/(D14*453.59)</f>
        <v>0.10549111555379515</v>
      </c>
      <c r="E45" s="225">
        <f>(20.9/(20.9-E15))*(E17*(E29+E34+E37))/(E14*453.59)</f>
        <v>8.9486058029734181E-2</v>
      </c>
      <c r="F45" s="225">
        <f>(20.9/(20.9-F15))*(F17*(F29+F34+F37))/(F14*453.59)</f>
        <v>9.7420762894691218E-2</v>
      </c>
      <c r="G45" s="289">
        <f>AVERAGE(D45:F45)</f>
        <v>9.746597882607351E-2</v>
      </c>
      <c r="H45" s="25">
        <v>0.309</v>
      </c>
    </row>
    <row r="47" spans="1:9" x14ac:dyDescent="0.2">
      <c r="A47" s="224" t="s">
        <v>12</v>
      </c>
    </row>
    <row r="48" spans="1:9" x14ac:dyDescent="0.2">
      <c r="A48" s="16" t="s">
        <v>237</v>
      </c>
      <c r="B48" s="16"/>
      <c r="G48" s="288" t="s">
        <v>277</v>
      </c>
      <c r="H48" s="288"/>
      <c r="I48" s="288"/>
    </row>
    <row r="49" spans="1:3" x14ac:dyDescent="0.2">
      <c r="A49" s="16" t="s">
        <v>151</v>
      </c>
      <c r="B49" s="16"/>
    </row>
    <row r="50" spans="1:3" x14ac:dyDescent="0.2">
      <c r="A50" s="21" t="s">
        <v>265</v>
      </c>
      <c r="B50" s="21"/>
    </row>
    <row r="51" spans="1:3" x14ac:dyDescent="0.2">
      <c r="A51" s="21" t="s">
        <v>266</v>
      </c>
      <c r="B51" s="21"/>
    </row>
    <row r="52" spans="1:3" x14ac:dyDescent="0.2">
      <c r="A52" s="21" t="s">
        <v>262</v>
      </c>
      <c r="B52" s="16"/>
    </row>
    <row r="54" spans="1:3" x14ac:dyDescent="0.2">
      <c r="B54" s="16"/>
    </row>
    <row r="55" spans="1:3" x14ac:dyDescent="0.2">
      <c r="C55" s="16"/>
    </row>
  </sheetData>
  <mergeCells count="1">
    <mergeCell ref="A1:H1"/>
  </mergeCells>
  <pageMargins left="0.95" right="0.7" top="0.75" bottom="0.75" header="0.3" footer="0.3"/>
  <pageSetup scale="74"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G5" sqref="G5:H5"/>
    </sheetView>
  </sheetViews>
  <sheetFormatPr defaultColWidth="16.109375" defaultRowHeight="20.100000000000001" customHeight="1" x14ac:dyDescent="0.2"/>
  <cols>
    <col min="1" max="1" width="1.332031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1"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494" t="str">
        <f>IF(ISNUMBER(D6),IF('Data Sheet 1'!C2:N2="","",'Data Sheet 1'!C2:N2),"")</f>
        <v/>
      </c>
      <c r="D2" s="494"/>
      <c r="E2" s="494"/>
      <c r="F2" s="494"/>
      <c r="G2" s="494"/>
      <c r="H2" s="494"/>
      <c r="I2" s="494"/>
      <c r="J2" s="494"/>
      <c r="K2" s="494"/>
      <c r="L2" s="494"/>
      <c r="M2" s="494"/>
      <c r="N2" s="495"/>
      <c r="O2" s="303"/>
      <c r="P2" s="512" t="s">
        <v>357</v>
      </c>
      <c r="Q2" s="512"/>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72"/>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412"/>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75"/>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411"/>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49"/>
      <c r="I14" s="326"/>
      <c r="J14" s="457" t="s">
        <v>322</v>
      </c>
      <c r="K14" s="458"/>
      <c r="L14" s="348"/>
      <c r="M14" s="34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36"/>
      <c r="I15" s="326"/>
      <c r="J15" s="454" t="s">
        <v>318</v>
      </c>
      <c r="K15" s="455"/>
      <c r="L15" s="335"/>
      <c r="M15" s="334"/>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335"/>
      <c r="M16" s="334"/>
      <c r="N16" s="326"/>
      <c r="O16" s="326"/>
      <c r="P16" s="326"/>
      <c r="Q16" s="333"/>
      <c r="R16" s="326"/>
      <c r="S16" s="326"/>
    </row>
    <row r="17" spans="1:19" ht="20.100000000000001" customHeight="1" thickBot="1" x14ac:dyDescent="0.3">
      <c r="A17" s="318"/>
      <c r="B17" s="344" t="s">
        <v>315</v>
      </c>
      <c r="C17" s="339"/>
      <c r="D17" s="326"/>
      <c r="E17" s="333"/>
      <c r="F17" s="469" t="s">
        <v>314</v>
      </c>
      <c r="G17" s="459"/>
      <c r="H17" s="343"/>
      <c r="I17" s="326"/>
      <c r="J17" s="454" t="s">
        <v>313</v>
      </c>
      <c r="K17" s="455"/>
      <c r="L17" s="335"/>
      <c r="M17" s="334"/>
      <c r="N17" s="326"/>
      <c r="O17" s="326"/>
      <c r="P17" s="326"/>
      <c r="Q17" s="333"/>
      <c r="R17" s="326"/>
      <c r="S17" s="326"/>
    </row>
    <row r="18" spans="1:19" ht="20.100000000000001" customHeight="1" thickBot="1" x14ac:dyDescent="0.3">
      <c r="A18" s="318"/>
      <c r="B18" s="469" t="s">
        <v>312</v>
      </c>
      <c r="C18" s="459"/>
      <c r="D18" s="467"/>
      <c r="E18" s="468"/>
      <c r="F18" s="393" t="s">
        <v>311</v>
      </c>
      <c r="G18" s="339"/>
      <c r="H18" s="338"/>
      <c r="I18" s="326"/>
      <c r="J18" s="457" t="s">
        <v>310</v>
      </c>
      <c r="K18" s="458"/>
      <c r="L18" s="335"/>
      <c r="M18" s="334"/>
      <c r="N18" s="326"/>
      <c r="O18" s="326"/>
      <c r="P18" s="326"/>
      <c r="Q18" s="333"/>
      <c r="R18" s="326"/>
      <c r="S18" s="326"/>
    </row>
    <row r="19" spans="1:19" ht="20.100000000000001" customHeight="1" thickBot="1" x14ac:dyDescent="0.4">
      <c r="A19" s="318"/>
      <c r="B19" s="469" t="s">
        <v>309</v>
      </c>
      <c r="C19" s="459"/>
      <c r="D19" s="465"/>
      <c r="E19" s="466"/>
      <c r="F19" s="469" t="s">
        <v>308</v>
      </c>
      <c r="G19" s="459"/>
      <c r="H19" s="336"/>
      <c r="I19" s="326"/>
      <c r="J19" s="454" t="s">
        <v>307</v>
      </c>
      <c r="K19" s="455"/>
      <c r="L19" s="335"/>
      <c r="M19" s="334"/>
      <c r="N19" s="326"/>
      <c r="O19" s="326"/>
      <c r="P19" s="326"/>
      <c r="Q19" s="333"/>
      <c r="R19" s="326"/>
      <c r="S19" s="326"/>
    </row>
    <row r="20" spans="1:19" ht="20.100000000000001" customHeight="1" thickBot="1" x14ac:dyDescent="0.4">
      <c r="A20" s="318"/>
      <c r="B20" s="463" t="s">
        <v>306</v>
      </c>
      <c r="C20" s="464"/>
      <c r="D20" s="473"/>
      <c r="E20" s="474"/>
      <c r="F20" s="463" t="s">
        <v>305</v>
      </c>
      <c r="G20" s="464"/>
      <c r="H20" s="331"/>
      <c r="I20" s="326"/>
      <c r="J20" s="491" t="s">
        <v>304</v>
      </c>
      <c r="K20" s="492"/>
      <c r="L20" s="329"/>
      <c r="M20" s="328"/>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91"/>
      <c r="C24" s="391"/>
      <c r="D24" s="390"/>
      <c r="E24" s="392"/>
      <c r="F24" s="312"/>
      <c r="G24" s="312"/>
      <c r="H24" s="310"/>
      <c r="I24" s="314"/>
      <c r="J24" s="312"/>
      <c r="K24" s="312"/>
      <c r="L24" s="313"/>
      <c r="M24" s="313"/>
      <c r="N24" s="312"/>
      <c r="O24" s="312"/>
      <c r="P24" s="311"/>
      <c r="Q24" s="310"/>
      <c r="R24" s="310"/>
    </row>
    <row r="25" spans="1:19" ht="20.100000000000001" customHeight="1" x14ac:dyDescent="0.2">
      <c r="A25" s="318"/>
      <c r="B25" s="312"/>
      <c r="C25" s="312"/>
      <c r="D25" s="312"/>
      <c r="E25" s="316"/>
      <c r="F25" s="312"/>
      <c r="G25" s="312"/>
      <c r="H25" s="310"/>
      <c r="I25" s="314"/>
      <c r="J25" s="312"/>
      <c r="K25" s="312"/>
      <c r="L25" s="313"/>
      <c r="M25" s="313"/>
      <c r="N25" s="312"/>
      <c r="O25" s="312"/>
      <c r="P25" s="311"/>
      <c r="Q25" s="310"/>
      <c r="R25" s="310"/>
    </row>
    <row r="26" spans="1:19" ht="20.100000000000001" customHeight="1" x14ac:dyDescent="0.2">
      <c r="A26" s="315"/>
      <c r="B26" s="312"/>
      <c r="C26" s="312"/>
      <c r="D26" s="312"/>
      <c r="E26" s="316"/>
      <c r="F26" s="312"/>
      <c r="G26" s="312"/>
      <c r="H26" s="310"/>
      <c r="I26" s="314"/>
      <c r="J26" s="312"/>
      <c r="K26" s="312"/>
      <c r="L26" s="313"/>
      <c r="M26" s="313"/>
      <c r="N26" s="312"/>
      <c r="O26" s="312"/>
      <c r="P26" s="311"/>
      <c r="Q26" s="310"/>
      <c r="R26" s="310"/>
    </row>
    <row r="27" spans="1:19" ht="20.100000000000001" customHeight="1" x14ac:dyDescent="0.2">
      <c r="A27" s="315"/>
      <c r="B27" s="312"/>
      <c r="C27" s="312"/>
      <c r="D27" s="312"/>
      <c r="E27" s="316"/>
      <c r="F27" s="312"/>
      <c r="G27" s="312"/>
      <c r="H27" s="310"/>
      <c r="I27" s="314"/>
      <c r="J27" s="312"/>
      <c r="K27" s="312"/>
      <c r="L27" s="313"/>
      <c r="M27" s="313"/>
      <c r="N27" s="312"/>
      <c r="O27" s="312"/>
      <c r="P27" s="311"/>
      <c r="Q27" s="310"/>
      <c r="R27" s="310"/>
    </row>
    <row r="28" spans="1:19" ht="20.100000000000001" customHeight="1" x14ac:dyDescent="0.2">
      <c r="A28" s="315"/>
      <c r="B28" s="312"/>
      <c r="C28" s="312"/>
      <c r="D28" s="312"/>
      <c r="E28" s="316"/>
      <c r="F28" s="312"/>
      <c r="G28" s="312"/>
      <c r="H28" s="310"/>
      <c r="I28" s="314"/>
      <c r="J28" s="312"/>
      <c r="K28" s="312"/>
      <c r="L28" s="313"/>
      <c r="M28" s="313"/>
      <c r="N28" s="312"/>
      <c r="O28" s="312"/>
      <c r="P28" s="311"/>
      <c r="Q28" s="310"/>
      <c r="R28" s="310"/>
    </row>
    <row r="29" spans="1:19" ht="20.100000000000001" customHeight="1" x14ac:dyDescent="0.2">
      <c r="A29" s="315"/>
      <c r="B29" s="312"/>
      <c r="C29" s="312"/>
      <c r="D29" s="312"/>
      <c r="E29" s="316"/>
      <c r="F29" s="312"/>
      <c r="G29" s="312"/>
      <c r="H29" s="310"/>
      <c r="I29" s="314"/>
      <c r="J29" s="312"/>
      <c r="K29" s="312"/>
      <c r="L29" s="313"/>
      <c r="M29" s="313"/>
      <c r="N29" s="312"/>
      <c r="O29" s="312"/>
      <c r="P29" s="311"/>
      <c r="Q29" s="310"/>
      <c r="R29" s="310"/>
    </row>
    <row r="30" spans="1:19" ht="20.100000000000001" customHeight="1" x14ac:dyDescent="0.2">
      <c r="A30" s="315"/>
      <c r="B30" s="312"/>
      <c r="C30" s="312"/>
      <c r="D30" s="312"/>
      <c r="E30" s="316"/>
      <c r="F30" s="312"/>
      <c r="G30" s="312"/>
      <c r="H30" s="310"/>
      <c r="I30" s="314"/>
      <c r="J30" s="312"/>
      <c r="K30" s="312"/>
      <c r="L30" s="313"/>
      <c r="M30" s="313"/>
      <c r="N30" s="312"/>
      <c r="O30" s="312"/>
      <c r="P30" s="311"/>
      <c r="Q30" s="310"/>
      <c r="R30" s="310"/>
    </row>
    <row r="31" spans="1:19" ht="20.100000000000001" customHeight="1" x14ac:dyDescent="0.2">
      <c r="A31" s="315"/>
      <c r="B31" s="312"/>
      <c r="C31" s="312"/>
      <c r="D31" s="312"/>
      <c r="E31" s="316"/>
      <c r="F31" s="312"/>
      <c r="G31" s="312"/>
      <c r="H31" s="310"/>
      <c r="I31" s="314"/>
      <c r="J31" s="312"/>
      <c r="K31" s="312"/>
      <c r="L31" s="313"/>
      <c r="M31" s="313"/>
      <c r="N31" s="312"/>
      <c r="O31" s="312"/>
      <c r="P31" s="311"/>
      <c r="Q31" s="310"/>
      <c r="R31" s="310"/>
    </row>
    <row r="32" spans="1:19" ht="20.100000000000001" customHeight="1" x14ac:dyDescent="0.2">
      <c r="A32" s="315"/>
      <c r="B32" s="312"/>
      <c r="C32" s="312"/>
      <c r="D32" s="312"/>
      <c r="E32" s="316"/>
      <c r="F32" s="312"/>
      <c r="G32" s="312"/>
      <c r="H32" s="310"/>
      <c r="I32" s="314"/>
      <c r="J32" s="312"/>
      <c r="K32" s="312"/>
      <c r="L32" s="313"/>
      <c r="M32" s="313"/>
      <c r="N32" s="312"/>
      <c r="O32" s="312"/>
      <c r="P32" s="311"/>
      <c r="Q32" s="310"/>
      <c r="R32" s="310"/>
    </row>
    <row r="33" spans="1:18" ht="20.100000000000001" customHeight="1" x14ac:dyDescent="0.2">
      <c r="A33" s="315"/>
      <c r="B33" s="312"/>
      <c r="C33" s="312"/>
      <c r="D33" s="312"/>
      <c r="E33" s="316"/>
      <c r="F33" s="312"/>
      <c r="G33" s="312"/>
      <c r="H33" s="310"/>
      <c r="I33" s="314"/>
      <c r="J33" s="312"/>
      <c r="K33" s="312"/>
      <c r="L33" s="313"/>
      <c r="M33" s="313"/>
      <c r="N33" s="312"/>
      <c r="O33" s="312"/>
      <c r="P33" s="311"/>
      <c r="Q33" s="310"/>
      <c r="R33" s="310"/>
    </row>
    <row r="34" spans="1:18" ht="20.100000000000001" customHeight="1" x14ac:dyDescent="0.2">
      <c r="A34" s="315"/>
      <c r="B34" s="312"/>
      <c r="C34" s="312"/>
      <c r="D34" s="312"/>
      <c r="E34" s="316"/>
      <c r="F34" s="312"/>
      <c r="G34" s="312"/>
      <c r="H34" s="310"/>
      <c r="I34" s="314"/>
      <c r="J34" s="312"/>
      <c r="K34" s="312"/>
      <c r="L34" s="313"/>
      <c r="M34" s="313"/>
      <c r="N34" s="312"/>
      <c r="O34" s="312"/>
      <c r="P34" s="311"/>
      <c r="Q34" s="310"/>
      <c r="R34" s="310"/>
    </row>
    <row r="35" spans="1:18" ht="20.100000000000001" customHeight="1" x14ac:dyDescent="0.2">
      <c r="A35" s="315"/>
      <c r="B35" s="312"/>
      <c r="C35" s="312"/>
      <c r="D35" s="312"/>
      <c r="E35" s="316"/>
      <c r="F35" s="312"/>
      <c r="G35" s="312"/>
      <c r="H35" s="310"/>
      <c r="I35" s="314"/>
      <c r="J35" s="312"/>
      <c r="K35" s="312"/>
      <c r="L35" s="313"/>
      <c r="M35" s="313"/>
      <c r="N35" s="312"/>
      <c r="O35" s="312"/>
      <c r="P35" s="311"/>
      <c r="Q35" s="310"/>
      <c r="R35" s="310"/>
    </row>
    <row r="36" spans="1:18" ht="20.100000000000001" customHeight="1" x14ac:dyDescent="0.2">
      <c r="A36" s="315"/>
      <c r="B36" s="312"/>
      <c r="C36" s="312"/>
      <c r="D36" s="312"/>
      <c r="E36" s="316"/>
      <c r="F36" s="312"/>
      <c r="G36" s="312"/>
      <c r="H36" s="310"/>
      <c r="I36" s="314"/>
      <c r="J36" s="312"/>
      <c r="K36" s="312"/>
      <c r="L36" s="313"/>
      <c r="M36" s="313"/>
      <c r="N36" s="312"/>
      <c r="O36" s="312"/>
      <c r="P36" s="311"/>
      <c r="Q36" s="310"/>
      <c r="R36" s="310"/>
    </row>
    <row r="37" spans="1:18" ht="20.100000000000001" customHeight="1" x14ac:dyDescent="0.2">
      <c r="A37" s="315"/>
      <c r="B37" s="312"/>
      <c r="C37" s="312"/>
      <c r="D37" s="312"/>
      <c r="E37" s="316"/>
      <c r="F37" s="312"/>
      <c r="G37" s="312"/>
      <c r="H37" s="310"/>
      <c r="I37" s="314"/>
      <c r="J37" s="312"/>
      <c r="K37" s="312"/>
      <c r="L37" s="313"/>
      <c r="M37" s="313"/>
      <c r="N37" s="312"/>
      <c r="O37" s="312"/>
      <c r="P37" s="311"/>
      <c r="Q37" s="310"/>
      <c r="R37" s="310"/>
    </row>
    <row r="38" spans="1:18" ht="20.100000000000001" customHeight="1" x14ac:dyDescent="0.2">
      <c r="A38" s="315"/>
      <c r="B38" s="312"/>
      <c r="C38" s="312"/>
      <c r="D38" s="312"/>
      <c r="E38" s="316"/>
      <c r="F38" s="312"/>
      <c r="G38" s="312"/>
      <c r="H38" s="310"/>
      <c r="I38" s="314"/>
      <c r="J38" s="312"/>
      <c r="K38" s="312"/>
      <c r="L38" s="313"/>
      <c r="M38" s="313"/>
      <c r="N38" s="312"/>
      <c r="O38" s="312"/>
      <c r="P38" s="311"/>
      <c r="Q38" s="310"/>
      <c r="R38" s="310"/>
    </row>
    <row r="39" spans="1:18" ht="20.100000000000001" customHeight="1" x14ac:dyDescent="0.2">
      <c r="A39" s="315"/>
      <c r="B39" s="312"/>
      <c r="C39" s="312"/>
      <c r="D39" s="312"/>
      <c r="E39" s="316"/>
      <c r="F39" s="312"/>
      <c r="G39" s="312"/>
      <c r="H39" s="310"/>
      <c r="I39" s="314"/>
      <c r="J39" s="312"/>
      <c r="K39" s="312"/>
      <c r="L39" s="313"/>
      <c r="M39" s="313"/>
      <c r="N39" s="312"/>
      <c r="O39" s="312"/>
      <c r="P39" s="311"/>
      <c r="Q39" s="310"/>
      <c r="R39" s="310"/>
    </row>
    <row r="40" spans="1:18" ht="20.100000000000001" customHeight="1" x14ac:dyDescent="0.2">
      <c r="A40" s="315"/>
      <c r="B40" s="312"/>
      <c r="C40" s="312"/>
      <c r="D40" s="312"/>
      <c r="E40" s="316"/>
      <c r="F40" s="312"/>
      <c r="G40" s="312"/>
      <c r="H40" s="310"/>
      <c r="I40" s="314"/>
      <c r="J40" s="312"/>
      <c r="K40" s="312"/>
      <c r="L40" s="313"/>
      <c r="M40" s="313"/>
      <c r="N40" s="312"/>
      <c r="O40" s="312"/>
      <c r="P40" s="311"/>
      <c r="Q40" s="310"/>
      <c r="R40" s="310"/>
    </row>
    <row r="41" spans="1:18" ht="20.100000000000001" customHeight="1" x14ac:dyDescent="0.2">
      <c r="A41" s="315"/>
      <c r="B41" s="312"/>
      <c r="C41" s="312"/>
      <c r="D41" s="312"/>
      <c r="E41" s="316"/>
      <c r="F41" s="312"/>
      <c r="G41" s="312"/>
      <c r="H41" s="310"/>
      <c r="I41" s="314"/>
      <c r="J41" s="312"/>
      <c r="K41" s="312"/>
      <c r="L41" s="313"/>
      <c r="M41" s="313"/>
      <c r="N41" s="312"/>
      <c r="O41" s="312"/>
      <c r="P41" s="311"/>
      <c r="Q41" s="310"/>
      <c r="R41" s="310"/>
    </row>
    <row r="42" spans="1:18" ht="20.100000000000001" customHeight="1" x14ac:dyDescent="0.2">
      <c r="A42" s="315"/>
      <c r="B42" s="312"/>
      <c r="C42" s="312"/>
      <c r="D42" s="312"/>
      <c r="E42" s="316"/>
      <c r="F42" s="312"/>
      <c r="G42" s="312"/>
      <c r="H42" s="310"/>
      <c r="I42" s="314"/>
      <c r="J42" s="312"/>
      <c r="K42" s="312"/>
      <c r="L42" s="313"/>
      <c r="M42" s="313"/>
      <c r="N42" s="312"/>
      <c r="O42" s="312"/>
      <c r="P42" s="311"/>
      <c r="Q42" s="310"/>
      <c r="R42" s="310"/>
    </row>
    <row r="43" spans="1:18" ht="20.100000000000001" customHeight="1" x14ac:dyDescent="0.2">
      <c r="A43" s="315"/>
      <c r="B43" s="312"/>
      <c r="C43" s="312"/>
      <c r="D43" s="312"/>
      <c r="E43" s="316"/>
      <c r="F43" s="312"/>
      <c r="G43" s="312"/>
      <c r="H43" s="310"/>
      <c r="I43" s="314"/>
      <c r="J43" s="312"/>
      <c r="K43" s="312"/>
      <c r="L43" s="313"/>
      <c r="M43" s="313"/>
      <c r="N43" s="312"/>
      <c r="O43" s="312"/>
      <c r="P43" s="311"/>
      <c r="Q43" s="310"/>
      <c r="R43" s="310"/>
    </row>
    <row r="44" spans="1:18" ht="20.100000000000001" customHeight="1" x14ac:dyDescent="0.2">
      <c r="A44" s="315"/>
      <c r="B44" s="312"/>
      <c r="C44" s="312"/>
      <c r="D44" s="312"/>
      <c r="E44" s="316"/>
      <c r="F44" s="312"/>
      <c r="G44" s="312"/>
      <c r="H44" s="310"/>
      <c r="I44" s="314"/>
      <c r="J44" s="312"/>
      <c r="K44" s="312"/>
      <c r="L44" s="313"/>
      <c r="M44" s="313"/>
      <c r="N44" s="312"/>
      <c r="O44" s="312"/>
      <c r="P44" s="311"/>
      <c r="Q44" s="310"/>
      <c r="R44" s="310"/>
    </row>
    <row r="45" spans="1:18" ht="20.100000000000001" customHeight="1" x14ac:dyDescent="0.2">
      <c r="A45" s="315"/>
      <c r="B45" s="312"/>
      <c r="C45" s="312"/>
      <c r="D45" s="312"/>
      <c r="E45" s="316"/>
      <c r="F45" s="312"/>
      <c r="G45" s="312"/>
      <c r="H45" s="310"/>
      <c r="I45" s="314"/>
      <c r="J45" s="312"/>
      <c r="K45" s="312"/>
      <c r="L45" s="313"/>
      <c r="M45" s="313"/>
      <c r="N45" s="312"/>
      <c r="O45" s="312"/>
      <c r="P45" s="311"/>
      <c r="Q45" s="310"/>
      <c r="R45" s="310"/>
    </row>
    <row r="46" spans="1:18" ht="20.100000000000001" customHeight="1" x14ac:dyDescent="0.2">
      <c r="A46" s="315"/>
      <c r="B46" s="312"/>
      <c r="C46" s="312"/>
      <c r="D46" s="312"/>
      <c r="E46" s="316"/>
      <c r="F46" s="312"/>
      <c r="G46" s="312"/>
      <c r="H46" s="310"/>
      <c r="I46" s="314"/>
      <c r="J46" s="312"/>
      <c r="K46" s="312"/>
      <c r="L46" s="313"/>
      <c r="M46" s="313"/>
      <c r="N46" s="312"/>
      <c r="O46" s="312"/>
      <c r="P46" s="311"/>
      <c r="Q46" s="310"/>
      <c r="R46" s="310"/>
    </row>
    <row r="47" spans="1:18" ht="20.100000000000001" customHeight="1" x14ac:dyDescent="0.2">
      <c r="A47" s="315"/>
      <c r="B47" s="312"/>
      <c r="C47" s="312"/>
      <c r="D47" s="312"/>
      <c r="E47" s="316"/>
      <c r="F47" s="312"/>
      <c r="G47" s="312"/>
      <c r="H47" s="310"/>
      <c r="I47" s="314"/>
      <c r="J47" s="312"/>
      <c r="K47" s="312"/>
      <c r="L47" s="313"/>
      <c r="M47" s="313"/>
      <c r="N47" s="312"/>
      <c r="O47" s="312"/>
      <c r="P47" s="311"/>
      <c r="Q47" s="310"/>
      <c r="R47" s="310"/>
    </row>
    <row r="48" spans="1:18" ht="20.100000000000001" customHeight="1" x14ac:dyDescent="0.2">
      <c r="A48" s="315"/>
      <c r="B48" s="312"/>
      <c r="C48" s="312"/>
      <c r="D48" s="312"/>
      <c r="E48" s="316"/>
      <c r="F48" s="312"/>
      <c r="G48" s="312"/>
      <c r="H48" s="310"/>
      <c r="I48" s="314"/>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selectLockedCells="1"/>
  <protectedRanges>
    <protectedRange sqref="D5:E6" name="Range3"/>
    <protectedRange sqref="D8:E15" name="Range6"/>
    <protectedRange sqref="I9:I12" name="Range7"/>
    <protectedRange sqref="D18:E20" name="Range8"/>
    <protectedRange sqref="H15:H17" name="Range9"/>
    <protectedRange sqref="H19:H20" name="Range10"/>
    <protectedRange sqref="M5" name="Range11"/>
    <protectedRange sqref="N6" name="Range12"/>
    <protectedRange sqref="O5" name="Range13"/>
    <protectedRange sqref="M7:M10" name="Range14"/>
    <protectedRange sqref="O7:O10" name="Range15"/>
    <protectedRange sqref="L14:M20" name="Range16"/>
    <protectedRange sqref="Q13:Q14" name="Range17"/>
    <protectedRange sqref="Q20" name="Range18"/>
    <protectedRange sqref="B24:R71" name="Range19"/>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s>
  <pageMargins left="0.45" right="0.45" top="0.5" bottom="0.5" header="0.3" footer="0.3"/>
  <pageSetup scale="55" orientation="landscape"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91"/>
  <sheetViews>
    <sheetView showWhiteSpace="0" zoomScale="70" zoomScaleNormal="70" zoomScaleSheetLayoutView="51" zoomScalePageLayoutView="38" workbookViewId="0">
      <selection activeCell="I4" sqref="I4"/>
    </sheetView>
  </sheetViews>
  <sheetFormatPr defaultColWidth="16.109375" defaultRowHeight="20.100000000000001" customHeight="1" x14ac:dyDescent="0.2"/>
  <cols>
    <col min="1" max="1" width="1.33203125" style="298" customWidth="1"/>
    <col min="2" max="2" width="12.77734375" style="298" customWidth="1"/>
    <col min="3" max="3" width="8.6640625" style="298" customWidth="1"/>
    <col min="4" max="4" width="7.21875" style="298" customWidth="1"/>
    <col min="5" max="5" width="9.21875" style="298" customWidth="1"/>
    <col min="6" max="6" width="16" style="298" customWidth="1"/>
    <col min="7" max="7" width="14.44140625" style="298" customWidth="1"/>
    <col min="8" max="8" width="9.88671875" style="298" customWidth="1"/>
    <col min="9" max="9" width="9" style="298" customWidth="1"/>
    <col min="10" max="10" width="11.33203125" style="298" customWidth="1"/>
    <col min="11" max="11" width="11" style="298" customWidth="1"/>
    <col min="12" max="12" width="7.33203125" style="298" customWidth="1"/>
    <col min="13" max="13" width="7.44140625" style="298" customWidth="1"/>
    <col min="14" max="14" width="10.6640625" style="298" customWidth="1"/>
    <col min="15" max="15" width="7.109375" style="298" customWidth="1"/>
    <col min="16" max="16" width="10.6640625" style="298" customWidth="1"/>
    <col min="17" max="17" width="8.77734375" style="299" customWidth="1"/>
    <col min="18" max="18" width="8" style="298" customWidth="1"/>
    <col min="19" max="16384" width="16.109375" style="298"/>
  </cols>
  <sheetData>
    <row r="1" spans="1:19" ht="9.75" customHeight="1" thickBot="1" x14ac:dyDescent="0.25">
      <c r="Q1" s="325"/>
    </row>
    <row r="2" spans="1:19" s="366" customFormat="1" ht="20.100000000000001" customHeight="1" thickBot="1" x14ac:dyDescent="0.3">
      <c r="A2" s="370"/>
      <c r="B2" s="388" t="s">
        <v>358</v>
      </c>
      <c r="C2" s="494" t="str">
        <f>IF(ISNUMBER(D6),IF('Data Sheet 1'!C2:N2="","",'Data Sheet 1'!C2:N2),"")</f>
        <v/>
      </c>
      <c r="D2" s="494"/>
      <c r="E2" s="494"/>
      <c r="F2" s="494"/>
      <c r="G2" s="494"/>
      <c r="H2" s="494"/>
      <c r="I2" s="494"/>
      <c r="J2" s="494"/>
      <c r="K2" s="494"/>
      <c r="L2" s="494"/>
      <c r="M2" s="494"/>
      <c r="N2" s="495"/>
      <c r="O2" s="303"/>
      <c r="P2" s="512" t="s">
        <v>357</v>
      </c>
      <c r="Q2" s="512"/>
    </row>
    <row r="3" spans="1:19" s="366" customFormat="1" ht="14.25" customHeight="1" thickBot="1" x14ac:dyDescent="0.25">
      <c r="A3" s="370"/>
      <c r="B3" s="386"/>
      <c r="C3" s="367"/>
      <c r="D3" s="367"/>
      <c r="E3" s="367"/>
      <c r="F3" s="367"/>
      <c r="G3" s="367"/>
      <c r="H3" s="367"/>
      <c r="I3" s="367"/>
      <c r="J3" s="367"/>
      <c r="K3" s="385"/>
      <c r="L3" s="385"/>
      <c r="M3" s="385"/>
      <c r="N3" s="303"/>
      <c r="O3" s="303"/>
      <c r="P3" s="476" t="s">
        <v>356</v>
      </c>
      <c r="Q3" s="477"/>
      <c r="R3" s="477"/>
      <c r="S3" s="477"/>
    </row>
    <row r="4" spans="1:19" s="366" customFormat="1" ht="20.100000000000001" customHeight="1" thickBot="1" x14ac:dyDescent="0.3">
      <c r="A4" s="370"/>
      <c r="B4" s="501" t="s">
        <v>355</v>
      </c>
      <c r="C4" s="502"/>
      <c r="D4" s="504" t="str">
        <f>IF(ISNUMBER(D6),IF('Data Sheet 1'!D4:F4="","",'Data Sheet 1'!D4:F4),"")</f>
        <v/>
      </c>
      <c r="E4" s="504"/>
      <c r="F4" s="504"/>
      <c r="G4" s="384"/>
      <c r="H4" s="383" t="s">
        <v>354</v>
      </c>
      <c r="I4" s="402" t="str">
        <f>IF(ISNUMBER(D6),IF('Data Sheet 1'!I4="","",'Data Sheet 1'!I4),"")</f>
        <v/>
      </c>
      <c r="J4" s="365" t="s">
        <v>353</v>
      </c>
      <c r="K4" s="381"/>
      <c r="L4" s="381"/>
      <c r="M4" s="380" t="s">
        <v>352</v>
      </c>
      <c r="N4" s="353" t="s">
        <v>351</v>
      </c>
      <c r="O4" s="379" t="s">
        <v>350</v>
      </c>
      <c r="P4" s="477"/>
      <c r="Q4" s="477"/>
      <c r="R4" s="477"/>
      <c r="S4" s="477"/>
    </row>
    <row r="5" spans="1:19" s="366" customFormat="1" ht="20.100000000000001" customHeight="1" thickBot="1" x14ac:dyDescent="0.3">
      <c r="A5" s="370"/>
      <c r="B5" s="457" t="s">
        <v>60</v>
      </c>
      <c r="C5" s="458"/>
      <c r="D5" s="485"/>
      <c r="E5" s="485"/>
      <c r="F5" s="378" t="s">
        <v>349</v>
      </c>
      <c r="G5" s="486" t="str">
        <f>IF(ISNUMBER(D6),IF('Data Sheet 1'!G5:H5="","",'Data Sheet 1'!G5:H5),"")</f>
        <v/>
      </c>
      <c r="H5" s="486"/>
      <c r="I5" s="367"/>
      <c r="J5" s="469" t="s">
        <v>348</v>
      </c>
      <c r="K5" s="459"/>
      <c r="L5" s="459"/>
      <c r="M5" s="376"/>
      <c r="N5" s="367"/>
      <c r="O5" s="375"/>
      <c r="P5" s="303"/>
      <c r="Q5" s="303"/>
      <c r="R5" s="303"/>
      <c r="S5" s="303"/>
    </row>
    <row r="6" spans="1:19" s="366" customFormat="1" ht="20.100000000000001" customHeight="1" thickBot="1" x14ac:dyDescent="0.3">
      <c r="A6" s="370"/>
      <c r="B6" s="487" t="s">
        <v>347</v>
      </c>
      <c r="C6" s="488"/>
      <c r="D6" s="503"/>
      <c r="E6" s="503"/>
      <c r="F6" s="374" t="s">
        <v>346</v>
      </c>
      <c r="G6" s="493" t="str">
        <f>IF(ISNUMBER(D6),IF('Data Sheet 1'!G6:H6="","",'Data Sheet 1'!G6:H6),"")</f>
        <v/>
      </c>
      <c r="H6" s="493"/>
      <c r="I6" s="397"/>
      <c r="J6" s="457" t="s">
        <v>345</v>
      </c>
      <c r="K6" s="458"/>
      <c r="L6" s="458"/>
      <c r="M6" s="458"/>
      <c r="N6" s="372"/>
      <c r="O6" s="371"/>
      <c r="P6" s="303"/>
      <c r="Q6" s="303"/>
      <c r="R6" s="303"/>
      <c r="S6" s="303"/>
    </row>
    <row r="7" spans="1:19" s="366" customFormat="1" ht="20.100000000000001" customHeight="1" thickBot="1" x14ac:dyDescent="0.3">
      <c r="A7" s="370"/>
      <c r="B7" s="509" t="s">
        <v>344</v>
      </c>
      <c r="C7" s="510"/>
      <c r="D7" s="510"/>
      <c r="E7" s="511"/>
      <c r="F7" s="303"/>
      <c r="G7" s="303"/>
      <c r="H7" s="303"/>
      <c r="I7" s="303"/>
      <c r="J7" s="469" t="s">
        <v>343</v>
      </c>
      <c r="K7" s="459"/>
      <c r="L7" s="459"/>
      <c r="M7" s="368"/>
      <c r="N7" s="367"/>
      <c r="O7" s="336"/>
      <c r="P7" s="303"/>
      <c r="Q7" s="303"/>
      <c r="R7" s="303"/>
      <c r="S7" s="303"/>
    </row>
    <row r="8" spans="1:19" ht="20.100000000000001" customHeight="1" thickBot="1" x14ac:dyDescent="0.3">
      <c r="A8" s="318"/>
      <c r="B8" s="454" t="s">
        <v>342</v>
      </c>
      <c r="C8" s="496"/>
      <c r="D8" s="497"/>
      <c r="E8" s="498"/>
      <c r="F8" s="365" t="s">
        <v>341</v>
      </c>
      <c r="G8" s="350"/>
      <c r="H8" s="350"/>
      <c r="I8" s="350"/>
      <c r="J8" s="469" t="s">
        <v>340</v>
      </c>
      <c r="K8" s="459"/>
      <c r="L8" s="459"/>
      <c r="M8" s="364"/>
      <c r="N8" s="363"/>
      <c r="O8" s="362"/>
      <c r="P8" s="326"/>
      <c r="Q8" s="326"/>
      <c r="R8" s="326"/>
      <c r="S8" s="326"/>
    </row>
    <row r="9" spans="1:19" ht="20.100000000000001" customHeight="1" thickBot="1" x14ac:dyDescent="0.3">
      <c r="A9" s="318"/>
      <c r="B9" s="454" t="s">
        <v>339</v>
      </c>
      <c r="C9" s="455"/>
      <c r="D9" s="470"/>
      <c r="E9" s="471"/>
      <c r="F9" s="454" t="s">
        <v>338</v>
      </c>
      <c r="G9" s="455"/>
      <c r="H9" s="455"/>
      <c r="I9" s="336"/>
      <c r="J9" s="469" t="s">
        <v>337</v>
      </c>
      <c r="K9" s="459"/>
      <c r="L9" s="459"/>
      <c r="M9" s="364"/>
      <c r="N9" s="363"/>
      <c r="O9" s="362"/>
      <c r="P9" s="326"/>
      <c r="Q9" s="326"/>
      <c r="R9" s="326"/>
      <c r="S9" s="326"/>
    </row>
    <row r="10" spans="1:19" ht="20.100000000000001" customHeight="1" thickBot="1" x14ac:dyDescent="0.4">
      <c r="A10" s="318"/>
      <c r="B10" s="454" t="s">
        <v>336</v>
      </c>
      <c r="C10" s="455"/>
      <c r="D10" s="470"/>
      <c r="E10" s="471"/>
      <c r="F10" s="457" t="s">
        <v>335</v>
      </c>
      <c r="G10" s="458"/>
      <c r="H10" s="458"/>
      <c r="I10" s="361"/>
      <c r="J10" s="463" t="s">
        <v>334</v>
      </c>
      <c r="K10" s="464"/>
      <c r="L10" s="464"/>
      <c r="M10" s="360"/>
      <c r="N10" s="359"/>
      <c r="O10" s="358"/>
      <c r="P10" s="326"/>
      <c r="Q10" s="326"/>
      <c r="R10" s="326"/>
      <c r="S10" s="326"/>
    </row>
    <row r="11" spans="1:19" ht="20.100000000000001" customHeight="1" thickBot="1" x14ac:dyDescent="0.3">
      <c r="A11" s="318"/>
      <c r="B11" s="457" t="s">
        <v>333</v>
      </c>
      <c r="C11" s="458"/>
      <c r="D11" s="465"/>
      <c r="E11" s="466"/>
      <c r="F11" s="457" t="s">
        <v>332</v>
      </c>
      <c r="G11" s="458"/>
      <c r="H11" s="458"/>
      <c r="I11" s="357"/>
      <c r="J11" s="326"/>
      <c r="K11" s="326"/>
      <c r="L11" s="326"/>
      <c r="M11" s="326"/>
      <c r="N11" s="326"/>
      <c r="O11" s="326"/>
      <c r="P11" s="326"/>
      <c r="Q11" s="326"/>
      <c r="R11" s="326"/>
      <c r="S11" s="326"/>
    </row>
    <row r="12" spans="1:19" ht="20.100000000000001" customHeight="1" thickBot="1" x14ac:dyDescent="0.3">
      <c r="A12" s="318"/>
      <c r="B12" s="454" t="s">
        <v>331</v>
      </c>
      <c r="C12" s="455"/>
      <c r="D12" s="470"/>
      <c r="E12" s="471"/>
      <c r="F12" s="463" t="s">
        <v>330</v>
      </c>
      <c r="G12" s="464"/>
      <c r="H12" s="464"/>
      <c r="I12" s="356"/>
      <c r="J12" s="326"/>
      <c r="K12" s="326"/>
      <c r="L12" s="326"/>
      <c r="M12" s="326"/>
      <c r="N12" s="326"/>
      <c r="O12" s="326"/>
      <c r="P12" s="326"/>
      <c r="Q12" s="326"/>
      <c r="R12" s="326"/>
      <c r="S12" s="326"/>
    </row>
    <row r="13" spans="1:19" ht="20.100000000000001" customHeight="1" thickBot="1" x14ac:dyDescent="0.3">
      <c r="A13" s="318"/>
      <c r="B13" s="454" t="s">
        <v>329</v>
      </c>
      <c r="C13" s="455"/>
      <c r="D13" s="470"/>
      <c r="E13" s="471"/>
      <c r="F13" s="326"/>
      <c r="G13" s="326"/>
      <c r="H13" s="326"/>
      <c r="I13" s="326"/>
      <c r="J13" s="355" t="s">
        <v>328</v>
      </c>
      <c r="K13" s="354"/>
      <c r="L13" s="353" t="s">
        <v>327</v>
      </c>
      <c r="M13" s="353" t="s">
        <v>326</v>
      </c>
      <c r="N13" s="490" t="s">
        <v>325</v>
      </c>
      <c r="O13" s="490"/>
      <c r="P13" s="490"/>
      <c r="Q13" s="352"/>
      <c r="R13" s="326"/>
      <c r="S13" s="326"/>
    </row>
    <row r="14" spans="1:19" ht="20.100000000000001" customHeight="1" thickBot="1" x14ac:dyDescent="0.3">
      <c r="A14" s="318"/>
      <c r="B14" s="454" t="s">
        <v>324</v>
      </c>
      <c r="C14" s="455"/>
      <c r="D14" s="470"/>
      <c r="E14" s="471"/>
      <c r="F14" s="394" t="s">
        <v>323</v>
      </c>
      <c r="G14" s="350"/>
      <c r="H14" s="349"/>
      <c r="I14" s="326"/>
      <c r="J14" s="457" t="s">
        <v>322</v>
      </c>
      <c r="K14" s="458"/>
      <c r="L14" s="418"/>
      <c r="M14" s="417"/>
      <c r="N14" s="483" t="s">
        <v>321</v>
      </c>
      <c r="O14" s="483"/>
      <c r="P14" s="483"/>
      <c r="Q14" s="346"/>
      <c r="R14" s="326"/>
      <c r="S14" s="303"/>
    </row>
    <row r="15" spans="1:19" ht="20.100000000000001" customHeight="1" thickBot="1" x14ac:dyDescent="0.3">
      <c r="A15" s="318"/>
      <c r="B15" s="454" t="s">
        <v>320</v>
      </c>
      <c r="C15" s="455"/>
      <c r="D15" s="460"/>
      <c r="E15" s="461"/>
      <c r="F15" s="505" t="s">
        <v>319</v>
      </c>
      <c r="G15" s="456"/>
      <c r="H15" s="336"/>
      <c r="I15" s="326"/>
      <c r="J15" s="454" t="s">
        <v>318</v>
      </c>
      <c r="K15" s="455"/>
      <c r="L15" s="416"/>
      <c r="M15" s="415"/>
      <c r="N15" s="326"/>
      <c r="O15" s="326"/>
      <c r="P15" s="326"/>
      <c r="Q15" s="333"/>
      <c r="R15" s="303"/>
      <c r="S15" s="303"/>
    </row>
    <row r="16" spans="1:19" ht="20.100000000000001" customHeight="1" thickBot="1" x14ac:dyDescent="0.3">
      <c r="A16" s="318"/>
      <c r="B16" s="318"/>
      <c r="C16" s="326"/>
      <c r="D16" s="326"/>
      <c r="E16" s="333"/>
      <c r="F16" s="505" t="s">
        <v>317</v>
      </c>
      <c r="G16" s="456"/>
      <c r="H16" s="345"/>
      <c r="I16" s="326"/>
      <c r="J16" s="457" t="s">
        <v>316</v>
      </c>
      <c r="K16" s="458"/>
      <c r="L16" s="416"/>
      <c r="M16" s="415"/>
      <c r="N16" s="326"/>
      <c r="O16" s="326"/>
      <c r="P16" s="326"/>
      <c r="Q16" s="333"/>
      <c r="R16" s="326"/>
      <c r="S16" s="326"/>
    </row>
    <row r="17" spans="1:19" ht="20.100000000000001" customHeight="1" thickBot="1" x14ac:dyDescent="0.3">
      <c r="A17" s="318"/>
      <c r="B17" s="344" t="s">
        <v>315</v>
      </c>
      <c r="C17" s="339"/>
      <c r="D17" s="326"/>
      <c r="E17" s="333"/>
      <c r="F17" s="469" t="s">
        <v>314</v>
      </c>
      <c r="G17" s="459"/>
      <c r="H17" s="343"/>
      <c r="I17" s="326"/>
      <c r="J17" s="454" t="s">
        <v>313</v>
      </c>
      <c r="K17" s="455"/>
      <c r="L17" s="416"/>
      <c r="M17" s="415"/>
      <c r="N17" s="326"/>
      <c r="O17" s="326"/>
      <c r="P17" s="326"/>
      <c r="Q17" s="333"/>
      <c r="R17" s="326"/>
      <c r="S17" s="326"/>
    </row>
    <row r="18" spans="1:19" ht="20.100000000000001" customHeight="1" thickBot="1" x14ac:dyDescent="0.3">
      <c r="A18" s="318"/>
      <c r="B18" s="469" t="s">
        <v>312</v>
      </c>
      <c r="C18" s="459"/>
      <c r="D18" s="467"/>
      <c r="E18" s="468"/>
      <c r="F18" s="393" t="s">
        <v>311</v>
      </c>
      <c r="G18" s="339"/>
      <c r="H18" s="338"/>
      <c r="I18" s="326"/>
      <c r="J18" s="457" t="s">
        <v>310</v>
      </c>
      <c r="K18" s="458"/>
      <c r="L18" s="416"/>
      <c r="M18" s="415"/>
      <c r="N18" s="326"/>
      <c r="O18" s="326"/>
      <c r="P18" s="326"/>
      <c r="Q18" s="333"/>
      <c r="R18" s="326"/>
      <c r="S18" s="326"/>
    </row>
    <row r="19" spans="1:19" ht="20.100000000000001" customHeight="1" thickBot="1" x14ac:dyDescent="0.4">
      <c r="A19" s="318"/>
      <c r="B19" s="469" t="s">
        <v>309</v>
      </c>
      <c r="C19" s="459"/>
      <c r="D19" s="465"/>
      <c r="E19" s="466"/>
      <c r="F19" s="469" t="s">
        <v>308</v>
      </c>
      <c r="G19" s="459"/>
      <c r="H19" s="336"/>
      <c r="I19" s="326"/>
      <c r="J19" s="454" t="s">
        <v>307</v>
      </c>
      <c r="K19" s="455"/>
      <c r="L19" s="416"/>
      <c r="M19" s="415"/>
      <c r="N19" s="326"/>
      <c r="O19" s="326"/>
      <c r="P19" s="326"/>
      <c r="Q19" s="333"/>
      <c r="R19" s="326"/>
      <c r="S19" s="326"/>
    </row>
    <row r="20" spans="1:19" ht="20.100000000000001" customHeight="1" thickBot="1" x14ac:dyDescent="0.4">
      <c r="A20" s="318"/>
      <c r="B20" s="463" t="s">
        <v>306</v>
      </c>
      <c r="C20" s="464"/>
      <c r="D20" s="473"/>
      <c r="E20" s="474"/>
      <c r="F20" s="463" t="s">
        <v>305</v>
      </c>
      <c r="G20" s="464"/>
      <c r="H20" s="331"/>
      <c r="I20" s="326"/>
      <c r="J20" s="491" t="s">
        <v>304</v>
      </c>
      <c r="K20" s="492"/>
      <c r="L20" s="414"/>
      <c r="M20" s="413"/>
      <c r="N20" s="489" t="s">
        <v>303</v>
      </c>
      <c r="O20" s="489"/>
      <c r="P20" s="489"/>
      <c r="Q20" s="327">
        <f>(M14-L14)+(M15-L15)+(M16-L16)+(M17-L17)+(M18-L18)+(M19-L19)+(M20-L20)</f>
        <v>0</v>
      </c>
      <c r="R20" s="326"/>
      <c r="S20" s="326"/>
    </row>
    <row r="21" spans="1:19" ht="20.100000000000001" customHeight="1" x14ac:dyDescent="0.2">
      <c r="A21" s="318"/>
      <c r="B21" s="326"/>
      <c r="C21" s="326"/>
      <c r="D21" s="326"/>
      <c r="E21" s="326"/>
      <c r="P21" s="326"/>
      <c r="Q21" s="325"/>
    </row>
    <row r="22" spans="1:19" ht="47.25" customHeight="1" thickBot="1" x14ac:dyDescent="0.4">
      <c r="A22" s="318"/>
      <c r="B22" s="462" t="s">
        <v>302</v>
      </c>
      <c r="C22" s="462" t="s">
        <v>301</v>
      </c>
      <c r="D22" s="462"/>
      <c r="E22" s="462" t="s">
        <v>300</v>
      </c>
      <c r="F22" s="462" t="s">
        <v>299</v>
      </c>
      <c r="G22" s="462" t="s">
        <v>298</v>
      </c>
      <c r="H22" s="462" t="s">
        <v>297</v>
      </c>
      <c r="I22" s="462"/>
      <c r="J22" s="462" t="s">
        <v>296</v>
      </c>
      <c r="K22" s="462" t="s">
        <v>295</v>
      </c>
      <c r="L22" s="480" t="s">
        <v>294</v>
      </c>
      <c r="M22" s="481"/>
      <c r="N22" s="462" t="s">
        <v>293</v>
      </c>
      <c r="O22" s="462" t="s">
        <v>292</v>
      </c>
      <c r="P22" s="462"/>
      <c r="Q22" s="462" t="s">
        <v>291</v>
      </c>
      <c r="R22" s="478" t="s">
        <v>290</v>
      </c>
    </row>
    <row r="23" spans="1:19" ht="21" customHeight="1" thickBot="1" x14ac:dyDescent="0.25">
      <c r="A23" s="318"/>
      <c r="B23" s="462"/>
      <c r="C23" s="320" t="s">
        <v>289</v>
      </c>
      <c r="D23" s="320" t="s">
        <v>288</v>
      </c>
      <c r="E23" s="462"/>
      <c r="F23" s="462"/>
      <c r="G23" s="462"/>
      <c r="H23" s="324" t="s">
        <v>287</v>
      </c>
      <c r="I23" s="323" t="s">
        <v>286</v>
      </c>
      <c r="J23" s="462"/>
      <c r="K23" s="482"/>
      <c r="L23" s="322" t="s">
        <v>285</v>
      </c>
      <c r="M23" s="321" t="s">
        <v>284</v>
      </c>
      <c r="N23" s="484"/>
      <c r="O23" s="320" t="s">
        <v>283</v>
      </c>
      <c r="P23" s="320" t="s">
        <v>282</v>
      </c>
      <c r="Q23" s="462"/>
      <c r="R23" s="479"/>
    </row>
    <row r="24" spans="1:19" ht="20.100000000000001" customHeight="1" x14ac:dyDescent="0.2">
      <c r="A24" s="318"/>
      <c r="B24" s="391"/>
      <c r="C24" s="391"/>
      <c r="D24" s="390"/>
      <c r="E24" s="392"/>
      <c r="F24" s="312"/>
      <c r="G24" s="312"/>
      <c r="H24" s="310"/>
      <c r="I24" s="314"/>
      <c r="J24" s="312"/>
      <c r="K24" s="312"/>
      <c r="L24" s="313"/>
      <c r="M24" s="313"/>
      <c r="N24" s="312"/>
      <c r="O24" s="312"/>
      <c r="P24" s="311"/>
      <c r="Q24" s="310"/>
      <c r="R24" s="310"/>
    </row>
    <row r="25" spans="1:19" ht="20.100000000000001" customHeight="1" x14ac:dyDescent="0.2">
      <c r="A25" s="318"/>
      <c r="B25" s="312"/>
      <c r="C25" s="312"/>
      <c r="D25" s="312"/>
      <c r="E25" s="316"/>
      <c r="F25" s="312"/>
      <c r="G25" s="312"/>
      <c r="H25" s="310"/>
      <c r="I25" s="314"/>
      <c r="J25" s="312"/>
      <c r="K25" s="312"/>
      <c r="L25" s="313"/>
      <c r="M25" s="313"/>
      <c r="N25" s="312"/>
      <c r="O25" s="312"/>
      <c r="P25" s="311"/>
      <c r="Q25" s="310"/>
      <c r="R25" s="310"/>
    </row>
    <row r="26" spans="1:19" ht="20.100000000000001" customHeight="1" x14ac:dyDescent="0.2">
      <c r="A26" s="315"/>
      <c r="B26" s="312"/>
      <c r="C26" s="312"/>
      <c r="D26" s="312"/>
      <c r="E26" s="316"/>
      <c r="F26" s="312"/>
      <c r="G26" s="312"/>
      <c r="H26" s="310"/>
      <c r="I26" s="314"/>
      <c r="J26" s="312"/>
      <c r="K26" s="312"/>
      <c r="L26" s="313"/>
      <c r="M26" s="313"/>
      <c r="N26" s="312"/>
      <c r="O26" s="312"/>
      <c r="P26" s="311"/>
      <c r="Q26" s="310"/>
      <c r="R26" s="310"/>
    </row>
    <row r="27" spans="1:19" ht="20.100000000000001" customHeight="1" x14ac:dyDescent="0.2">
      <c r="A27" s="315"/>
      <c r="B27" s="312"/>
      <c r="C27" s="312"/>
      <c r="D27" s="312"/>
      <c r="E27" s="316"/>
      <c r="F27" s="312"/>
      <c r="G27" s="312"/>
      <c r="H27" s="310"/>
      <c r="I27" s="314"/>
      <c r="J27" s="312"/>
      <c r="K27" s="312"/>
      <c r="L27" s="313"/>
      <c r="M27" s="313"/>
      <c r="N27" s="312"/>
      <c r="O27" s="312"/>
      <c r="P27" s="311"/>
      <c r="Q27" s="310"/>
      <c r="R27" s="310"/>
    </row>
    <row r="28" spans="1:19" ht="20.100000000000001" customHeight="1" x14ac:dyDescent="0.2">
      <c r="A28" s="315"/>
      <c r="B28" s="312"/>
      <c r="C28" s="312"/>
      <c r="D28" s="312"/>
      <c r="E28" s="316"/>
      <c r="F28" s="312"/>
      <c r="G28" s="312"/>
      <c r="H28" s="310"/>
      <c r="I28" s="314"/>
      <c r="J28" s="312"/>
      <c r="K28" s="312"/>
      <c r="L28" s="313"/>
      <c r="M28" s="313"/>
      <c r="N28" s="312"/>
      <c r="O28" s="312"/>
      <c r="P28" s="311"/>
      <c r="Q28" s="310"/>
      <c r="R28" s="310"/>
    </row>
    <row r="29" spans="1:19" ht="20.100000000000001" customHeight="1" x14ac:dyDescent="0.2">
      <c r="A29" s="315"/>
      <c r="B29" s="312"/>
      <c r="C29" s="312"/>
      <c r="D29" s="312"/>
      <c r="E29" s="316"/>
      <c r="F29" s="312"/>
      <c r="G29" s="312"/>
      <c r="H29" s="310"/>
      <c r="I29" s="314"/>
      <c r="J29" s="312"/>
      <c r="K29" s="312"/>
      <c r="L29" s="313"/>
      <c r="M29" s="313"/>
      <c r="N29" s="312"/>
      <c r="O29" s="312"/>
      <c r="P29" s="311"/>
      <c r="Q29" s="310"/>
      <c r="R29" s="310"/>
    </row>
    <row r="30" spans="1:19" ht="20.100000000000001" customHeight="1" x14ac:dyDescent="0.2">
      <c r="A30" s="315"/>
      <c r="B30" s="312"/>
      <c r="C30" s="312"/>
      <c r="D30" s="312"/>
      <c r="E30" s="316"/>
      <c r="F30" s="312"/>
      <c r="G30" s="312"/>
      <c r="H30" s="310"/>
      <c r="I30" s="314"/>
      <c r="J30" s="312"/>
      <c r="K30" s="312"/>
      <c r="L30" s="313"/>
      <c r="M30" s="313"/>
      <c r="N30" s="312"/>
      <c r="O30" s="312"/>
      <c r="P30" s="311"/>
      <c r="Q30" s="310"/>
      <c r="R30" s="310"/>
    </row>
    <row r="31" spans="1:19" ht="20.100000000000001" customHeight="1" x14ac:dyDescent="0.2">
      <c r="A31" s="315"/>
      <c r="B31" s="312"/>
      <c r="C31" s="312"/>
      <c r="D31" s="312"/>
      <c r="E31" s="316"/>
      <c r="F31" s="312"/>
      <c r="G31" s="312"/>
      <c r="H31" s="310"/>
      <c r="I31" s="314"/>
      <c r="J31" s="312"/>
      <c r="K31" s="312"/>
      <c r="L31" s="313"/>
      <c r="M31" s="313"/>
      <c r="N31" s="312"/>
      <c r="O31" s="312"/>
      <c r="P31" s="311"/>
      <c r="Q31" s="310"/>
      <c r="R31" s="310"/>
    </row>
    <row r="32" spans="1:19" ht="20.100000000000001" customHeight="1" x14ac:dyDescent="0.2">
      <c r="A32" s="315"/>
      <c r="B32" s="312"/>
      <c r="C32" s="312"/>
      <c r="D32" s="312"/>
      <c r="E32" s="316"/>
      <c r="F32" s="312"/>
      <c r="G32" s="312"/>
      <c r="H32" s="310"/>
      <c r="I32" s="314"/>
      <c r="J32" s="312"/>
      <c r="K32" s="312"/>
      <c r="L32" s="313"/>
      <c r="M32" s="313"/>
      <c r="N32" s="312"/>
      <c r="O32" s="312"/>
      <c r="P32" s="311"/>
      <c r="Q32" s="310"/>
      <c r="R32" s="310"/>
    </row>
    <row r="33" spans="1:18" ht="20.100000000000001" customHeight="1" x14ac:dyDescent="0.2">
      <c r="A33" s="315"/>
      <c r="B33" s="312"/>
      <c r="C33" s="312"/>
      <c r="D33" s="312"/>
      <c r="E33" s="316"/>
      <c r="F33" s="312"/>
      <c r="G33" s="312"/>
      <c r="H33" s="310"/>
      <c r="I33" s="314"/>
      <c r="J33" s="312"/>
      <c r="K33" s="312"/>
      <c r="L33" s="313"/>
      <c r="M33" s="313"/>
      <c r="N33" s="312"/>
      <c r="O33" s="312"/>
      <c r="P33" s="311"/>
      <c r="Q33" s="310"/>
      <c r="R33" s="310"/>
    </row>
    <row r="34" spans="1:18" ht="20.100000000000001" customHeight="1" x14ac:dyDescent="0.2">
      <c r="A34" s="315"/>
      <c r="B34" s="312"/>
      <c r="C34" s="312"/>
      <c r="D34" s="312"/>
      <c r="E34" s="316"/>
      <c r="F34" s="312"/>
      <c r="G34" s="312"/>
      <c r="H34" s="310"/>
      <c r="I34" s="314"/>
      <c r="J34" s="312"/>
      <c r="K34" s="312"/>
      <c r="L34" s="313"/>
      <c r="M34" s="313"/>
      <c r="N34" s="312"/>
      <c r="O34" s="312"/>
      <c r="P34" s="311"/>
      <c r="Q34" s="310"/>
      <c r="R34" s="310"/>
    </row>
    <row r="35" spans="1:18" ht="20.100000000000001" customHeight="1" x14ac:dyDescent="0.2">
      <c r="A35" s="315"/>
      <c r="B35" s="312"/>
      <c r="C35" s="312"/>
      <c r="D35" s="312"/>
      <c r="E35" s="316"/>
      <c r="F35" s="312"/>
      <c r="G35" s="312"/>
      <c r="H35" s="310"/>
      <c r="I35" s="314"/>
      <c r="J35" s="312"/>
      <c r="K35" s="312"/>
      <c r="L35" s="313"/>
      <c r="M35" s="313"/>
      <c r="N35" s="312"/>
      <c r="O35" s="312"/>
      <c r="P35" s="311"/>
      <c r="Q35" s="310"/>
      <c r="R35" s="310"/>
    </row>
    <row r="36" spans="1:18" ht="20.100000000000001" customHeight="1" x14ac:dyDescent="0.2">
      <c r="A36" s="315"/>
      <c r="B36" s="312"/>
      <c r="C36" s="312"/>
      <c r="D36" s="312"/>
      <c r="E36" s="316"/>
      <c r="F36" s="312"/>
      <c r="G36" s="312"/>
      <c r="H36" s="310"/>
      <c r="I36" s="314"/>
      <c r="J36" s="312"/>
      <c r="K36" s="312"/>
      <c r="L36" s="313"/>
      <c r="M36" s="313"/>
      <c r="N36" s="312"/>
      <c r="O36" s="312"/>
      <c r="P36" s="311"/>
      <c r="Q36" s="310"/>
      <c r="R36" s="310"/>
    </row>
    <row r="37" spans="1:18" ht="20.100000000000001" customHeight="1" x14ac:dyDescent="0.2">
      <c r="A37" s="315"/>
      <c r="B37" s="312"/>
      <c r="C37" s="312"/>
      <c r="D37" s="312"/>
      <c r="E37" s="316"/>
      <c r="F37" s="312"/>
      <c r="G37" s="312"/>
      <c r="H37" s="310"/>
      <c r="I37" s="314"/>
      <c r="J37" s="312"/>
      <c r="K37" s="312"/>
      <c r="L37" s="313"/>
      <c r="M37" s="313"/>
      <c r="N37" s="312"/>
      <c r="O37" s="312"/>
      <c r="P37" s="311"/>
      <c r="Q37" s="310"/>
      <c r="R37" s="310"/>
    </row>
    <row r="38" spans="1:18" ht="20.100000000000001" customHeight="1" x14ac:dyDescent="0.2">
      <c r="A38" s="315"/>
      <c r="B38" s="312"/>
      <c r="C38" s="312"/>
      <c r="D38" s="312"/>
      <c r="E38" s="316"/>
      <c r="F38" s="312"/>
      <c r="G38" s="312"/>
      <c r="H38" s="310"/>
      <c r="I38" s="314"/>
      <c r="J38" s="312"/>
      <c r="K38" s="312"/>
      <c r="L38" s="313"/>
      <c r="M38" s="313"/>
      <c r="N38" s="312"/>
      <c r="O38" s="312"/>
      <c r="P38" s="311"/>
      <c r="Q38" s="310"/>
      <c r="R38" s="310"/>
    </row>
    <row r="39" spans="1:18" ht="20.100000000000001" customHeight="1" x14ac:dyDescent="0.2">
      <c r="A39" s="315"/>
      <c r="B39" s="312"/>
      <c r="C39" s="312"/>
      <c r="D39" s="312"/>
      <c r="E39" s="316"/>
      <c r="F39" s="312"/>
      <c r="G39" s="312"/>
      <c r="H39" s="310"/>
      <c r="I39" s="314"/>
      <c r="J39" s="312"/>
      <c r="K39" s="312"/>
      <c r="L39" s="313"/>
      <c r="M39" s="313"/>
      <c r="N39" s="312"/>
      <c r="O39" s="312"/>
      <c r="P39" s="311"/>
      <c r="Q39" s="310"/>
      <c r="R39" s="310"/>
    </row>
    <row r="40" spans="1:18" ht="20.100000000000001" customHeight="1" x14ac:dyDescent="0.2">
      <c r="A40" s="315"/>
      <c r="B40" s="312"/>
      <c r="C40" s="312"/>
      <c r="D40" s="312"/>
      <c r="E40" s="316"/>
      <c r="F40" s="312"/>
      <c r="G40" s="312"/>
      <c r="H40" s="310"/>
      <c r="I40" s="314"/>
      <c r="J40" s="312"/>
      <c r="K40" s="312"/>
      <c r="L40" s="313"/>
      <c r="M40" s="313"/>
      <c r="N40" s="312"/>
      <c r="O40" s="312"/>
      <c r="P40" s="311"/>
      <c r="Q40" s="310"/>
      <c r="R40" s="310"/>
    </row>
    <row r="41" spans="1:18" ht="20.100000000000001" customHeight="1" x14ac:dyDescent="0.2">
      <c r="A41" s="315"/>
      <c r="B41" s="312"/>
      <c r="C41" s="312"/>
      <c r="D41" s="312"/>
      <c r="E41" s="316"/>
      <c r="F41" s="312"/>
      <c r="G41" s="312"/>
      <c r="H41" s="310"/>
      <c r="I41" s="314"/>
      <c r="J41" s="312"/>
      <c r="K41" s="312"/>
      <c r="L41" s="313"/>
      <c r="M41" s="313"/>
      <c r="N41" s="312"/>
      <c r="O41" s="312"/>
      <c r="P41" s="311"/>
      <c r="Q41" s="310"/>
      <c r="R41" s="310"/>
    </row>
    <row r="42" spans="1:18" ht="20.100000000000001" customHeight="1" x14ac:dyDescent="0.2">
      <c r="A42" s="315"/>
      <c r="B42" s="312"/>
      <c r="C42" s="312"/>
      <c r="D42" s="312"/>
      <c r="E42" s="316"/>
      <c r="F42" s="312"/>
      <c r="G42" s="312"/>
      <c r="H42" s="310"/>
      <c r="I42" s="314"/>
      <c r="J42" s="312"/>
      <c r="K42" s="312"/>
      <c r="L42" s="313"/>
      <c r="M42" s="313"/>
      <c r="N42" s="312"/>
      <c r="O42" s="312"/>
      <c r="P42" s="311"/>
      <c r="Q42" s="310"/>
      <c r="R42" s="310"/>
    </row>
    <row r="43" spans="1:18" ht="20.100000000000001" customHeight="1" x14ac:dyDescent="0.2">
      <c r="A43" s="315"/>
      <c r="B43" s="312"/>
      <c r="C43" s="312"/>
      <c r="D43" s="312"/>
      <c r="E43" s="316"/>
      <c r="F43" s="312"/>
      <c r="G43" s="312"/>
      <c r="H43" s="310"/>
      <c r="I43" s="314"/>
      <c r="J43" s="312"/>
      <c r="K43" s="312"/>
      <c r="L43" s="313"/>
      <c r="M43" s="313"/>
      <c r="N43" s="312"/>
      <c r="O43" s="312"/>
      <c r="P43" s="311"/>
      <c r="Q43" s="310"/>
      <c r="R43" s="310"/>
    </row>
    <row r="44" spans="1:18" ht="20.100000000000001" customHeight="1" x14ac:dyDescent="0.2">
      <c r="A44" s="315"/>
      <c r="B44" s="312"/>
      <c r="C44" s="312"/>
      <c r="D44" s="312"/>
      <c r="E44" s="316"/>
      <c r="F44" s="312"/>
      <c r="G44" s="312"/>
      <c r="H44" s="310"/>
      <c r="I44" s="314"/>
      <c r="J44" s="312"/>
      <c r="K44" s="312"/>
      <c r="L44" s="313"/>
      <c r="M44" s="313"/>
      <c r="N44" s="312"/>
      <c r="O44" s="312"/>
      <c r="P44" s="311"/>
      <c r="Q44" s="310"/>
      <c r="R44" s="310"/>
    </row>
    <row r="45" spans="1:18" ht="20.100000000000001" customHeight="1" x14ac:dyDescent="0.2">
      <c r="A45" s="315"/>
      <c r="B45" s="312"/>
      <c r="C45" s="312"/>
      <c r="D45" s="312"/>
      <c r="E45" s="316"/>
      <c r="F45" s="312"/>
      <c r="G45" s="312"/>
      <c r="H45" s="310"/>
      <c r="I45" s="314"/>
      <c r="J45" s="312"/>
      <c r="K45" s="312"/>
      <c r="L45" s="313"/>
      <c r="M45" s="313"/>
      <c r="N45" s="312"/>
      <c r="O45" s="312"/>
      <c r="P45" s="311"/>
      <c r="Q45" s="310"/>
      <c r="R45" s="310"/>
    </row>
    <row r="46" spans="1:18" ht="20.100000000000001" customHeight="1" x14ac:dyDescent="0.2">
      <c r="A46" s="315"/>
      <c r="B46" s="312"/>
      <c r="C46" s="312"/>
      <c r="D46" s="312"/>
      <c r="E46" s="316"/>
      <c r="F46" s="312"/>
      <c r="G46" s="312"/>
      <c r="H46" s="310"/>
      <c r="I46" s="314"/>
      <c r="J46" s="312"/>
      <c r="K46" s="312"/>
      <c r="L46" s="313"/>
      <c r="M46" s="313"/>
      <c r="N46" s="312"/>
      <c r="O46" s="312"/>
      <c r="P46" s="311"/>
      <c r="Q46" s="310"/>
      <c r="R46" s="310"/>
    </row>
    <row r="47" spans="1:18" ht="20.100000000000001" customHeight="1" x14ac:dyDescent="0.2">
      <c r="A47" s="315"/>
      <c r="B47" s="312"/>
      <c r="C47" s="312"/>
      <c r="D47" s="312"/>
      <c r="E47" s="316"/>
      <c r="F47" s="312"/>
      <c r="G47" s="312"/>
      <c r="H47" s="310"/>
      <c r="I47" s="314"/>
      <c r="J47" s="312"/>
      <c r="K47" s="312"/>
      <c r="L47" s="313"/>
      <c r="M47" s="313"/>
      <c r="N47" s="312"/>
      <c r="O47" s="312"/>
      <c r="P47" s="311"/>
      <c r="Q47" s="310"/>
      <c r="R47" s="310"/>
    </row>
    <row r="48" spans="1:18" ht="20.100000000000001" customHeight="1" x14ac:dyDescent="0.2">
      <c r="A48" s="315"/>
      <c r="B48" s="312"/>
      <c r="C48" s="312"/>
      <c r="D48" s="312"/>
      <c r="E48" s="316"/>
      <c r="F48" s="312"/>
      <c r="G48" s="312"/>
      <c r="H48" s="310"/>
      <c r="I48" s="314"/>
      <c r="J48" s="312"/>
      <c r="K48" s="312"/>
      <c r="L48" s="313"/>
      <c r="M48" s="313"/>
      <c r="N48" s="312"/>
      <c r="O48" s="312"/>
      <c r="P48" s="311"/>
      <c r="Q48" s="310"/>
      <c r="R48" s="310"/>
    </row>
    <row r="49" spans="1:18" ht="20.100000000000001" customHeight="1" x14ac:dyDescent="0.2">
      <c r="A49" s="315"/>
      <c r="B49" s="312"/>
      <c r="C49" s="312"/>
      <c r="D49" s="312"/>
      <c r="E49" s="316"/>
      <c r="F49" s="312"/>
      <c r="G49" s="312"/>
      <c r="H49" s="310"/>
      <c r="I49" s="314"/>
      <c r="J49" s="312"/>
      <c r="K49" s="312"/>
      <c r="L49" s="313"/>
      <c r="M49" s="313"/>
      <c r="N49" s="312"/>
      <c r="O49" s="312"/>
      <c r="P49" s="311"/>
      <c r="Q49" s="310"/>
      <c r="R49" s="310"/>
    </row>
    <row r="50" spans="1:18" ht="20.100000000000001" customHeight="1" x14ac:dyDescent="0.2">
      <c r="A50" s="315"/>
      <c r="B50" s="312"/>
      <c r="C50" s="312"/>
      <c r="D50" s="312"/>
      <c r="E50" s="316"/>
      <c r="F50" s="312"/>
      <c r="G50" s="312"/>
      <c r="H50" s="310"/>
      <c r="I50" s="314"/>
      <c r="J50" s="312"/>
      <c r="K50" s="312"/>
      <c r="L50" s="313"/>
      <c r="M50" s="313"/>
      <c r="N50" s="312"/>
      <c r="O50" s="312"/>
      <c r="P50" s="311"/>
      <c r="Q50" s="310"/>
      <c r="R50" s="310"/>
    </row>
    <row r="51" spans="1:18" ht="20.100000000000001" customHeight="1" x14ac:dyDescent="0.2">
      <c r="A51" s="315"/>
      <c r="B51" s="312"/>
      <c r="C51" s="312"/>
      <c r="D51" s="312"/>
      <c r="E51" s="316"/>
      <c r="F51" s="312"/>
      <c r="G51" s="312"/>
      <c r="H51" s="310"/>
      <c r="I51" s="314"/>
      <c r="J51" s="312"/>
      <c r="K51" s="312"/>
      <c r="L51" s="313"/>
      <c r="M51" s="313"/>
      <c r="N51" s="312"/>
      <c r="O51" s="312"/>
      <c r="P51" s="311"/>
      <c r="Q51" s="310"/>
      <c r="R51" s="310"/>
    </row>
    <row r="52" spans="1:18" ht="20.100000000000001" customHeight="1" x14ac:dyDescent="0.2">
      <c r="A52" s="315"/>
      <c r="B52" s="312"/>
      <c r="C52" s="312"/>
      <c r="D52" s="312"/>
      <c r="E52" s="316"/>
      <c r="F52" s="312"/>
      <c r="G52" s="312"/>
      <c r="H52" s="310"/>
      <c r="I52" s="314"/>
      <c r="J52" s="312"/>
      <c r="K52" s="312"/>
      <c r="L52" s="313"/>
      <c r="M52" s="313"/>
      <c r="N52" s="312"/>
      <c r="O52" s="312"/>
      <c r="P52" s="311"/>
      <c r="Q52" s="310"/>
      <c r="R52" s="310"/>
    </row>
    <row r="53" spans="1:18" ht="20.100000000000001" customHeight="1" x14ac:dyDescent="0.2">
      <c r="A53" s="315"/>
      <c r="B53" s="312"/>
      <c r="C53" s="312"/>
      <c r="D53" s="312"/>
      <c r="E53" s="316"/>
      <c r="F53" s="312"/>
      <c r="G53" s="312"/>
      <c r="H53" s="310"/>
      <c r="I53" s="314"/>
      <c r="J53" s="312"/>
      <c r="K53" s="312"/>
      <c r="L53" s="313"/>
      <c r="M53" s="313"/>
      <c r="N53" s="312"/>
      <c r="O53" s="312"/>
      <c r="P53" s="311"/>
      <c r="Q53" s="310"/>
      <c r="R53" s="310"/>
    </row>
    <row r="54" spans="1:18" ht="20.100000000000001" customHeight="1" x14ac:dyDescent="0.2">
      <c r="A54" s="315"/>
      <c r="B54" s="312"/>
      <c r="C54" s="312"/>
      <c r="D54" s="312"/>
      <c r="E54" s="316"/>
      <c r="F54" s="312"/>
      <c r="G54" s="312"/>
      <c r="H54" s="310"/>
      <c r="I54" s="314"/>
      <c r="J54" s="312"/>
      <c r="K54" s="312"/>
      <c r="L54" s="313"/>
      <c r="M54" s="313"/>
      <c r="N54" s="312"/>
      <c r="O54" s="312"/>
      <c r="P54" s="311"/>
      <c r="Q54" s="310"/>
      <c r="R54" s="310"/>
    </row>
    <row r="55" spans="1:18" ht="20.100000000000001" customHeight="1" x14ac:dyDescent="0.2">
      <c r="A55" s="315"/>
      <c r="B55" s="312"/>
      <c r="C55" s="312"/>
      <c r="D55" s="312"/>
      <c r="E55" s="316"/>
      <c r="F55" s="312"/>
      <c r="G55" s="312"/>
      <c r="H55" s="310"/>
      <c r="I55" s="314"/>
      <c r="J55" s="312"/>
      <c r="K55" s="312"/>
      <c r="L55" s="313"/>
      <c r="M55" s="313"/>
      <c r="N55" s="312"/>
      <c r="O55" s="312"/>
      <c r="P55" s="311"/>
      <c r="Q55" s="310"/>
      <c r="R55" s="310"/>
    </row>
    <row r="56" spans="1:18" ht="20.100000000000001" customHeight="1" x14ac:dyDescent="0.2">
      <c r="A56" s="315"/>
      <c r="B56" s="312"/>
      <c r="C56" s="312"/>
      <c r="D56" s="312"/>
      <c r="E56" s="316"/>
      <c r="F56" s="312"/>
      <c r="G56" s="312"/>
      <c r="H56" s="310"/>
      <c r="I56" s="314"/>
      <c r="J56" s="312"/>
      <c r="K56" s="312"/>
      <c r="L56" s="313"/>
      <c r="M56" s="313"/>
      <c r="N56" s="312"/>
      <c r="O56" s="312"/>
      <c r="P56" s="311"/>
      <c r="Q56" s="310"/>
      <c r="R56" s="310"/>
    </row>
    <row r="57" spans="1:18" ht="20.100000000000001" customHeight="1" x14ac:dyDescent="0.2">
      <c r="A57" s="315"/>
      <c r="B57" s="312"/>
      <c r="C57" s="312"/>
      <c r="D57" s="312"/>
      <c r="E57" s="316"/>
      <c r="F57" s="312"/>
      <c r="G57" s="312"/>
      <c r="H57" s="310"/>
      <c r="I57" s="314"/>
      <c r="J57" s="312"/>
      <c r="K57" s="312"/>
      <c r="L57" s="313"/>
      <c r="M57" s="313"/>
      <c r="N57" s="312"/>
      <c r="O57" s="312"/>
      <c r="P57" s="311"/>
      <c r="Q57" s="310"/>
      <c r="R57" s="310"/>
    </row>
    <row r="58" spans="1:18" ht="20.100000000000001" customHeight="1" x14ac:dyDescent="0.2">
      <c r="A58" s="315"/>
      <c r="B58" s="312"/>
      <c r="C58" s="312"/>
      <c r="D58" s="312"/>
      <c r="E58" s="316"/>
      <c r="F58" s="312"/>
      <c r="G58" s="312"/>
      <c r="H58" s="310"/>
      <c r="I58" s="314"/>
      <c r="J58" s="312"/>
      <c r="K58" s="312"/>
      <c r="L58" s="313"/>
      <c r="M58" s="313"/>
      <c r="N58" s="312"/>
      <c r="O58" s="312"/>
      <c r="P58" s="311"/>
      <c r="Q58" s="310"/>
      <c r="R58" s="310"/>
    </row>
    <row r="59" spans="1:18" ht="20.100000000000001" customHeight="1" x14ac:dyDescent="0.2">
      <c r="A59" s="315"/>
      <c r="B59" s="312"/>
      <c r="C59" s="312"/>
      <c r="D59" s="312"/>
      <c r="E59" s="316"/>
      <c r="F59" s="312"/>
      <c r="G59" s="312"/>
      <c r="H59" s="310"/>
      <c r="I59" s="314"/>
      <c r="J59" s="312"/>
      <c r="K59" s="312"/>
      <c r="L59" s="313"/>
      <c r="M59" s="313"/>
      <c r="N59" s="312"/>
      <c r="O59" s="312"/>
      <c r="P59" s="311"/>
      <c r="Q59" s="310"/>
      <c r="R59" s="310"/>
    </row>
    <row r="60" spans="1:18" ht="20.100000000000001" customHeight="1" x14ac:dyDescent="0.2">
      <c r="A60" s="315"/>
      <c r="B60" s="312"/>
      <c r="C60" s="312"/>
      <c r="D60" s="312"/>
      <c r="E60" s="316"/>
      <c r="F60" s="312"/>
      <c r="G60" s="312"/>
      <c r="H60" s="310"/>
      <c r="I60" s="314"/>
      <c r="J60" s="312"/>
      <c r="K60" s="312"/>
      <c r="L60" s="313"/>
      <c r="M60" s="313"/>
      <c r="N60" s="312"/>
      <c r="O60" s="312"/>
      <c r="P60" s="311"/>
      <c r="Q60" s="310"/>
      <c r="R60" s="310"/>
    </row>
    <row r="61" spans="1:18" ht="20.100000000000001" customHeight="1" x14ac:dyDescent="0.2">
      <c r="A61" s="315"/>
      <c r="B61" s="312"/>
      <c r="C61" s="312"/>
      <c r="D61" s="312"/>
      <c r="E61" s="316"/>
      <c r="F61" s="312"/>
      <c r="G61" s="312"/>
      <c r="H61" s="310"/>
      <c r="I61" s="314"/>
      <c r="J61" s="312"/>
      <c r="K61" s="312"/>
      <c r="L61" s="313"/>
      <c r="M61" s="313"/>
      <c r="N61" s="312"/>
      <c r="O61" s="312"/>
      <c r="P61" s="311"/>
      <c r="Q61" s="310"/>
      <c r="R61" s="310"/>
    </row>
    <row r="62" spans="1:18" ht="20.100000000000001" customHeight="1" x14ac:dyDescent="0.2">
      <c r="A62" s="315"/>
      <c r="B62" s="312"/>
      <c r="C62" s="312"/>
      <c r="D62" s="312"/>
      <c r="E62" s="316"/>
      <c r="F62" s="312"/>
      <c r="G62" s="312"/>
      <c r="H62" s="310"/>
      <c r="I62" s="314"/>
      <c r="J62" s="312"/>
      <c r="K62" s="312"/>
      <c r="L62" s="313"/>
      <c r="M62" s="313"/>
      <c r="N62" s="312"/>
      <c r="O62" s="312"/>
      <c r="P62" s="311"/>
      <c r="Q62" s="310"/>
      <c r="R62" s="310"/>
    </row>
    <row r="63" spans="1:18" ht="20.100000000000001" customHeight="1" x14ac:dyDescent="0.2">
      <c r="A63" s="315"/>
      <c r="B63" s="312"/>
      <c r="C63" s="312"/>
      <c r="D63" s="312"/>
      <c r="E63" s="316"/>
      <c r="F63" s="312"/>
      <c r="G63" s="312"/>
      <c r="H63" s="310"/>
      <c r="I63" s="314"/>
      <c r="J63" s="312"/>
      <c r="K63" s="312"/>
      <c r="L63" s="313"/>
      <c r="M63" s="313"/>
      <c r="N63" s="312"/>
      <c r="O63" s="312"/>
      <c r="P63" s="311"/>
      <c r="Q63" s="310"/>
      <c r="R63" s="310"/>
    </row>
    <row r="64" spans="1:18" ht="20.100000000000001" customHeight="1" x14ac:dyDescent="0.2">
      <c r="A64" s="315"/>
      <c r="B64" s="312"/>
      <c r="C64" s="312"/>
      <c r="D64" s="312"/>
      <c r="E64" s="316"/>
      <c r="F64" s="312"/>
      <c r="G64" s="312"/>
      <c r="H64" s="310"/>
      <c r="I64" s="314"/>
      <c r="J64" s="312"/>
      <c r="K64" s="312"/>
      <c r="L64" s="313"/>
      <c r="M64" s="313"/>
      <c r="N64" s="312"/>
      <c r="O64" s="312"/>
      <c r="P64" s="311"/>
      <c r="Q64" s="310"/>
      <c r="R64" s="310"/>
    </row>
    <row r="65" spans="1:18" ht="20.100000000000001" customHeight="1" x14ac:dyDescent="0.2">
      <c r="A65" s="315"/>
      <c r="B65" s="312"/>
      <c r="C65" s="312"/>
      <c r="D65" s="312"/>
      <c r="E65" s="316"/>
      <c r="F65" s="312"/>
      <c r="G65" s="312"/>
      <c r="H65" s="310"/>
      <c r="I65" s="314"/>
      <c r="J65" s="312"/>
      <c r="K65" s="312"/>
      <c r="L65" s="313"/>
      <c r="M65" s="313"/>
      <c r="N65" s="312"/>
      <c r="O65" s="312"/>
      <c r="P65" s="311"/>
      <c r="Q65" s="310"/>
      <c r="R65" s="310"/>
    </row>
    <row r="66" spans="1:18" ht="20.100000000000001" customHeight="1" x14ac:dyDescent="0.2">
      <c r="A66" s="315"/>
      <c r="B66" s="312"/>
      <c r="C66" s="312"/>
      <c r="D66" s="312"/>
      <c r="E66" s="316"/>
      <c r="F66" s="312"/>
      <c r="G66" s="312"/>
      <c r="H66" s="310"/>
      <c r="I66" s="314"/>
      <c r="J66" s="312"/>
      <c r="K66" s="312"/>
      <c r="L66" s="313"/>
      <c r="M66" s="313"/>
      <c r="N66" s="312"/>
      <c r="O66" s="312"/>
      <c r="P66" s="311"/>
      <c r="Q66" s="310"/>
      <c r="R66" s="310"/>
    </row>
    <row r="67" spans="1:18" ht="20.100000000000001" customHeight="1" x14ac:dyDescent="0.2">
      <c r="A67" s="315"/>
      <c r="B67" s="312"/>
      <c r="C67" s="312"/>
      <c r="D67" s="312"/>
      <c r="E67" s="316"/>
      <c r="F67" s="312"/>
      <c r="G67" s="312"/>
      <c r="H67" s="310"/>
      <c r="I67" s="314"/>
      <c r="J67" s="312"/>
      <c r="K67" s="312"/>
      <c r="L67" s="313"/>
      <c r="M67" s="313"/>
      <c r="N67" s="312"/>
      <c r="O67" s="312"/>
      <c r="P67" s="311"/>
      <c r="Q67" s="310"/>
      <c r="R67" s="310"/>
    </row>
    <row r="68" spans="1:18" ht="20.100000000000001" customHeight="1" x14ac:dyDescent="0.2">
      <c r="A68" s="315"/>
      <c r="B68" s="312"/>
      <c r="C68" s="312"/>
      <c r="D68" s="312"/>
      <c r="E68" s="316"/>
      <c r="F68" s="312"/>
      <c r="G68" s="312"/>
      <c r="H68" s="310"/>
      <c r="I68" s="314"/>
      <c r="J68" s="312"/>
      <c r="K68" s="312"/>
      <c r="L68" s="313"/>
      <c r="M68" s="313"/>
      <c r="N68" s="312"/>
      <c r="O68" s="312"/>
      <c r="P68" s="311"/>
      <c r="Q68" s="310"/>
      <c r="R68" s="310"/>
    </row>
    <row r="69" spans="1:18" ht="20.100000000000001" customHeight="1" x14ac:dyDescent="0.2">
      <c r="A69" s="315"/>
      <c r="B69" s="312"/>
      <c r="C69" s="312"/>
      <c r="D69" s="312"/>
      <c r="E69" s="316"/>
      <c r="F69" s="312"/>
      <c r="G69" s="312"/>
      <c r="H69" s="310"/>
      <c r="I69" s="314"/>
      <c r="J69" s="312"/>
      <c r="K69" s="312"/>
      <c r="L69" s="313"/>
      <c r="M69" s="313"/>
      <c r="N69" s="312"/>
      <c r="O69" s="312"/>
      <c r="P69" s="311"/>
      <c r="Q69" s="310"/>
      <c r="R69" s="310"/>
    </row>
    <row r="70" spans="1:18" ht="20.100000000000001" customHeight="1" x14ac:dyDescent="0.2">
      <c r="A70" s="315"/>
      <c r="B70" s="312"/>
      <c r="C70" s="312"/>
      <c r="D70" s="312"/>
      <c r="E70" s="316"/>
      <c r="F70" s="312"/>
      <c r="G70" s="312"/>
      <c r="H70" s="310"/>
      <c r="I70" s="314"/>
      <c r="J70" s="312"/>
      <c r="K70" s="312"/>
      <c r="L70" s="313"/>
      <c r="M70" s="313"/>
      <c r="N70" s="312"/>
      <c r="O70" s="312"/>
      <c r="P70" s="311"/>
      <c r="Q70" s="310"/>
      <c r="R70" s="310"/>
    </row>
    <row r="71" spans="1:18" ht="20.100000000000001" customHeight="1" x14ac:dyDescent="0.2">
      <c r="A71" s="315"/>
      <c r="B71" s="312"/>
      <c r="C71" s="312"/>
      <c r="D71" s="312"/>
      <c r="E71" s="314"/>
      <c r="F71" s="312"/>
      <c r="G71" s="312"/>
      <c r="H71" s="310"/>
      <c r="I71" s="314"/>
      <c r="J71" s="312"/>
      <c r="K71" s="312"/>
      <c r="L71" s="313"/>
      <c r="M71" s="313"/>
      <c r="N71" s="312"/>
      <c r="O71" s="312"/>
      <c r="P71" s="311"/>
      <c r="Q71" s="310"/>
      <c r="R71" s="310"/>
    </row>
    <row r="72" spans="1:18" ht="20.100000000000001" customHeight="1" x14ac:dyDescent="0.2">
      <c r="B72" s="309"/>
      <c r="C72" s="309"/>
      <c r="D72" s="309"/>
      <c r="E72" s="309"/>
      <c r="F72" s="309"/>
      <c r="G72" s="309"/>
      <c r="H72" s="309"/>
      <c r="I72" s="309"/>
      <c r="J72" s="309"/>
      <c r="K72" s="309"/>
      <c r="L72" s="309"/>
      <c r="M72" s="309"/>
      <c r="N72" s="309"/>
      <c r="O72" s="309"/>
    </row>
    <row r="73" spans="1:18" ht="20.100000000000001" customHeight="1" x14ac:dyDescent="0.2">
      <c r="F73" s="309"/>
      <c r="G73" s="309"/>
      <c r="H73" s="309"/>
      <c r="I73" s="309"/>
      <c r="J73" s="309"/>
      <c r="K73" s="309"/>
      <c r="L73" s="309"/>
      <c r="M73" s="309"/>
      <c r="N73" s="309"/>
      <c r="O73" s="309"/>
    </row>
    <row r="74" spans="1:18" ht="20.100000000000001" customHeight="1" x14ac:dyDescent="0.2">
      <c r="F74" s="309"/>
      <c r="G74" s="309"/>
      <c r="H74" s="309"/>
      <c r="I74" s="309"/>
      <c r="J74" s="309"/>
      <c r="K74" s="309"/>
      <c r="L74" s="309"/>
      <c r="M74" s="309"/>
      <c r="N74" s="309"/>
      <c r="O74" s="309"/>
    </row>
    <row r="86" spans="2:9" ht="20.100000000000001" customHeight="1" x14ac:dyDescent="0.25">
      <c r="B86" s="307"/>
      <c r="C86" s="307"/>
      <c r="D86" s="472"/>
      <c r="E86" s="472"/>
      <c r="F86" s="472"/>
      <c r="G86" s="472"/>
      <c r="H86" s="472"/>
      <c r="I86" s="308"/>
    </row>
    <row r="87" spans="2:9" ht="20.100000000000001" customHeight="1" x14ac:dyDescent="0.25">
      <c r="B87" s="307"/>
      <c r="C87" s="307"/>
      <c r="D87" s="303"/>
      <c r="E87" s="303"/>
      <c r="F87" s="303"/>
      <c r="G87" s="303"/>
      <c r="H87" s="303"/>
      <c r="I87" s="303"/>
    </row>
    <row r="88" spans="2:9" ht="20.100000000000001" customHeight="1" x14ac:dyDescent="0.25">
      <c r="B88" s="307"/>
      <c r="C88" s="307"/>
      <c r="D88" s="306"/>
      <c r="E88" s="306"/>
      <c r="F88" s="306"/>
      <c r="G88" s="306"/>
      <c r="H88" s="300"/>
      <c r="I88" s="300"/>
    </row>
    <row r="89" spans="2:9" ht="20.100000000000001" customHeight="1" x14ac:dyDescent="0.25">
      <c r="B89" s="305"/>
      <c r="C89" s="305"/>
      <c r="D89" s="304"/>
      <c r="E89" s="304"/>
      <c r="F89" s="304"/>
      <c r="G89" s="304"/>
      <c r="H89" s="303"/>
      <c r="I89" s="303"/>
    </row>
    <row r="90" spans="2:9" ht="20.100000000000001" customHeight="1" x14ac:dyDescent="0.2">
      <c r="B90" s="301"/>
      <c r="C90" s="301"/>
      <c r="D90" s="302"/>
      <c r="E90" s="302"/>
      <c r="F90" s="302"/>
      <c r="G90" s="302"/>
      <c r="H90" s="300"/>
      <c r="I90" s="300"/>
    </row>
    <row r="91" spans="2:9" ht="20.100000000000001" customHeight="1" x14ac:dyDescent="0.2">
      <c r="B91" s="301"/>
      <c r="C91" s="301"/>
      <c r="D91" s="300"/>
      <c r="E91" s="300"/>
      <c r="F91" s="300"/>
      <c r="G91" s="300"/>
      <c r="H91" s="300"/>
      <c r="I91" s="300"/>
    </row>
  </sheetData>
  <sheetProtection password="C57F" sheet="1"/>
  <protectedRanges>
    <protectedRange sqref="B24:R71" name="Range19"/>
    <protectedRange sqref="Q20" name="Range18"/>
    <protectedRange sqref="Q13:Q14" name="Range17"/>
    <protectedRange sqref="L14:M20" name="Range16"/>
    <protectedRange sqref="O7:O10" name="Range15"/>
    <protectedRange sqref="M7:M10" name="Range14"/>
    <protectedRange sqref="O5" name="Range13"/>
    <protectedRange sqref="N6" name="Range12"/>
    <protectedRange sqref="M5" name="Range11"/>
    <protectedRange sqref="H19:H20" name="Range10"/>
    <protectedRange sqref="H15:H17" name="Range9"/>
    <protectedRange sqref="D18:E20" name="Range8"/>
    <protectedRange sqref="I9:I12" name="Range7"/>
    <protectedRange sqref="D8:E15" name="Range6"/>
    <protectedRange sqref="D5:E6" name="Range3"/>
  </protectedRanges>
  <mergeCells count="73">
    <mergeCell ref="F17:G17"/>
    <mergeCell ref="J17:K17"/>
    <mergeCell ref="J8:L8"/>
    <mergeCell ref="C2:N2"/>
    <mergeCell ref="B4:C4"/>
    <mergeCell ref="B15:C15"/>
    <mergeCell ref="D15:E15"/>
    <mergeCell ref="F15:G15"/>
    <mergeCell ref="J15:K15"/>
    <mergeCell ref="F16:G16"/>
    <mergeCell ref="J16:K16"/>
    <mergeCell ref="B14:C14"/>
    <mergeCell ref="D14:E14"/>
    <mergeCell ref="J14:K14"/>
    <mergeCell ref="B12:C12"/>
    <mergeCell ref="D12:E12"/>
    <mergeCell ref="P2:Q2"/>
    <mergeCell ref="Q22:Q23"/>
    <mergeCell ref="R22:R23"/>
    <mergeCell ref="N22:N23"/>
    <mergeCell ref="O22:P22"/>
    <mergeCell ref="N13:P13"/>
    <mergeCell ref="N14:P14"/>
    <mergeCell ref="D86:H86"/>
    <mergeCell ref="H22:I22"/>
    <mergeCell ref="J22:J23"/>
    <mergeCell ref="K22:K23"/>
    <mergeCell ref="L22:M22"/>
    <mergeCell ref="J20:K20"/>
    <mergeCell ref="N20:P20"/>
    <mergeCell ref="B22:B23"/>
    <mergeCell ref="C22:D22"/>
    <mergeCell ref="E22:E23"/>
    <mergeCell ref="F22:F23"/>
    <mergeCell ref="G22:G23"/>
    <mergeCell ref="B20:C20"/>
    <mergeCell ref="D20:E20"/>
    <mergeCell ref="F20:G20"/>
    <mergeCell ref="B18:C18"/>
    <mergeCell ref="D18:E18"/>
    <mergeCell ref="J18:K18"/>
    <mergeCell ref="B19:C19"/>
    <mergeCell ref="D19:E19"/>
    <mergeCell ref="F19:G19"/>
    <mergeCell ref="J19:K19"/>
    <mergeCell ref="F12:H12"/>
    <mergeCell ref="B13:C13"/>
    <mergeCell ref="D13:E13"/>
    <mergeCell ref="B10:C10"/>
    <mergeCell ref="D10:E10"/>
    <mergeCell ref="F10:H10"/>
    <mergeCell ref="J10:L10"/>
    <mergeCell ref="B11:C11"/>
    <mergeCell ref="D11:E11"/>
    <mergeCell ref="F11:H11"/>
    <mergeCell ref="B9:C9"/>
    <mergeCell ref="D9:E9"/>
    <mergeCell ref="F9:H9"/>
    <mergeCell ref="J9:L9"/>
    <mergeCell ref="J7:L7"/>
    <mergeCell ref="P3:S4"/>
    <mergeCell ref="D4:F4"/>
    <mergeCell ref="B7:E7"/>
    <mergeCell ref="B8:C8"/>
    <mergeCell ref="D8:E8"/>
    <mergeCell ref="B6:C6"/>
    <mergeCell ref="D6:E6"/>
    <mergeCell ref="B5:C5"/>
    <mergeCell ref="D5:E5"/>
    <mergeCell ref="G5:H5"/>
    <mergeCell ref="J5:L5"/>
    <mergeCell ref="G6:H6"/>
    <mergeCell ref="J6:M6"/>
  </mergeCells>
  <dataValidations count="3">
    <dataValidation type="list" allowBlank="1" showInputMessage="1" showErrorMessage="1" sqref="Q13 JM13 TI13 ADE13 ANA13 AWW13 BGS13 BQO13 CAK13 CKG13 CUC13 DDY13 DNU13 DXQ13 EHM13 ERI13 FBE13 FLA13 FUW13 GES13 GOO13 GYK13 HIG13 HSC13 IBY13 ILU13 IVQ13 JFM13 JPI13 JZE13 KJA13 KSW13 LCS13 LMO13 LWK13 MGG13 MQC13 MZY13 NJU13 NTQ13 ODM13 ONI13 OXE13 PHA13 PQW13 QAS13 QKO13 QUK13 REG13 ROC13 RXY13 SHU13 SRQ13 TBM13 TLI13 TVE13 UFA13 UOW13 UYS13 VIO13 VSK13 WCG13 WMC13 WVY13 Q65549 JM65549 TI65549 ADE65549 ANA65549 AWW65549 BGS65549 BQO65549 CAK65549 CKG65549 CUC65549 DDY65549 DNU65549 DXQ65549 EHM65549 ERI65549 FBE65549 FLA65549 FUW65549 GES65549 GOO65549 GYK65549 HIG65549 HSC65549 IBY65549 ILU65549 IVQ65549 JFM65549 JPI65549 JZE65549 KJA65549 KSW65549 LCS65549 LMO65549 LWK65549 MGG65549 MQC65549 MZY65549 NJU65549 NTQ65549 ODM65549 ONI65549 OXE65549 PHA65549 PQW65549 QAS65549 QKO65549 QUK65549 REG65549 ROC65549 RXY65549 SHU65549 SRQ65549 TBM65549 TLI65549 TVE65549 UFA65549 UOW65549 UYS65549 VIO65549 VSK65549 WCG65549 WMC65549 WVY65549 Q131085 JM131085 TI131085 ADE131085 ANA131085 AWW131085 BGS131085 BQO131085 CAK131085 CKG131085 CUC131085 DDY131085 DNU131085 DXQ131085 EHM131085 ERI131085 FBE131085 FLA131085 FUW131085 GES131085 GOO131085 GYK131085 HIG131085 HSC131085 IBY131085 ILU131085 IVQ131085 JFM131085 JPI131085 JZE131085 KJA131085 KSW131085 LCS131085 LMO131085 LWK131085 MGG131085 MQC131085 MZY131085 NJU131085 NTQ131085 ODM131085 ONI131085 OXE131085 PHA131085 PQW131085 QAS131085 QKO131085 QUK131085 REG131085 ROC131085 RXY131085 SHU131085 SRQ131085 TBM131085 TLI131085 TVE131085 UFA131085 UOW131085 UYS131085 VIO131085 VSK131085 WCG131085 WMC131085 WVY131085 Q196621 JM196621 TI196621 ADE196621 ANA196621 AWW196621 BGS196621 BQO196621 CAK196621 CKG196621 CUC196621 DDY196621 DNU196621 DXQ196621 EHM196621 ERI196621 FBE196621 FLA196621 FUW196621 GES196621 GOO196621 GYK196621 HIG196621 HSC196621 IBY196621 ILU196621 IVQ196621 JFM196621 JPI196621 JZE196621 KJA196621 KSW196621 LCS196621 LMO196621 LWK196621 MGG196621 MQC196621 MZY196621 NJU196621 NTQ196621 ODM196621 ONI196621 OXE196621 PHA196621 PQW196621 QAS196621 QKO196621 QUK196621 REG196621 ROC196621 RXY196621 SHU196621 SRQ196621 TBM196621 TLI196621 TVE196621 UFA196621 UOW196621 UYS196621 VIO196621 VSK196621 WCG196621 WMC196621 WVY196621 Q262157 JM262157 TI262157 ADE262157 ANA262157 AWW262157 BGS262157 BQO262157 CAK262157 CKG262157 CUC262157 DDY262157 DNU262157 DXQ262157 EHM262157 ERI262157 FBE262157 FLA262157 FUW262157 GES262157 GOO262157 GYK262157 HIG262157 HSC262157 IBY262157 ILU262157 IVQ262157 JFM262157 JPI262157 JZE262157 KJA262157 KSW262157 LCS262157 LMO262157 LWK262157 MGG262157 MQC262157 MZY262157 NJU262157 NTQ262157 ODM262157 ONI262157 OXE262157 PHA262157 PQW262157 QAS262157 QKO262157 QUK262157 REG262157 ROC262157 RXY262157 SHU262157 SRQ262157 TBM262157 TLI262157 TVE262157 UFA262157 UOW262157 UYS262157 VIO262157 VSK262157 WCG262157 WMC262157 WVY262157 Q327693 JM327693 TI327693 ADE327693 ANA327693 AWW327693 BGS327693 BQO327693 CAK327693 CKG327693 CUC327693 DDY327693 DNU327693 DXQ327693 EHM327693 ERI327693 FBE327693 FLA327693 FUW327693 GES327693 GOO327693 GYK327693 HIG327693 HSC327693 IBY327693 ILU327693 IVQ327693 JFM327693 JPI327693 JZE327693 KJA327693 KSW327693 LCS327693 LMO327693 LWK327693 MGG327693 MQC327693 MZY327693 NJU327693 NTQ327693 ODM327693 ONI327693 OXE327693 PHA327693 PQW327693 QAS327693 QKO327693 QUK327693 REG327693 ROC327693 RXY327693 SHU327693 SRQ327693 TBM327693 TLI327693 TVE327693 UFA327693 UOW327693 UYS327693 VIO327693 VSK327693 WCG327693 WMC327693 WVY327693 Q393229 JM393229 TI393229 ADE393229 ANA393229 AWW393229 BGS393229 BQO393229 CAK393229 CKG393229 CUC393229 DDY393229 DNU393229 DXQ393229 EHM393229 ERI393229 FBE393229 FLA393229 FUW393229 GES393229 GOO393229 GYK393229 HIG393229 HSC393229 IBY393229 ILU393229 IVQ393229 JFM393229 JPI393229 JZE393229 KJA393229 KSW393229 LCS393229 LMO393229 LWK393229 MGG393229 MQC393229 MZY393229 NJU393229 NTQ393229 ODM393229 ONI393229 OXE393229 PHA393229 PQW393229 QAS393229 QKO393229 QUK393229 REG393229 ROC393229 RXY393229 SHU393229 SRQ393229 TBM393229 TLI393229 TVE393229 UFA393229 UOW393229 UYS393229 VIO393229 VSK393229 WCG393229 WMC393229 WVY393229 Q458765 JM458765 TI458765 ADE458765 ANA458765 AWW458765 BGS458765 BQO458765 CAK458765 CKG458765 CUC458765 DDY458765 DNU458765 DXQ458765 EHM458765 ERI458765 FBE458765 FLA458765 FUW458765 GES458765 GOO458765 GYK458765 HIG458765 HSC458765 IBY458765 ILU458765 IVQ458765 JFM458765 JPI458765 JZE458765 KJA458765 KSW458765 LCS458765 LMO458765 LWK458765 MGG458765 MQC458765 MZY458765 NJU458765 NTQ458765 ODM458765 ONI458765 OXE458765 PHA458765 PQW458765 QAS458765 QKO458765 QUK458765 REG458765 ROC458765 RXY458765 SHU458765 SRQ458765 TBM458765 TLI458765 TVE458765 UFA458765 UOW458765 UYS458765 VIO458765 VSK458765 WCG458765 WMC458765 WVY458765 Q524301 JM524301 TI524301 ADE524301 ANA524301 AWW524301 BGS524301 BQO524301 CAK524301 CKG524301 CUC524301 DDY524301 DNU524301 DXQ524301 EHM524301 ERI524301 FBE524301 FLA524301 FUW524301 GES524301 GOO524301 GYK524301 HIG524301 HSC524301 IBY524301 ILU524301 IVQ524301 JFM524301 JPI524301 JZE524301 KJA524301 KSW524301 LCS524301 LMO524301 LWK524301 MGG524301 MQC524301 MZY524301 NJU524301 NTQ524301 ODM524301 ONI524301 OXE524301 PHA524301 PQW524301 QAS524301 QKO524301 QUK524301 REG524301 ROC524301 RXY524301 SHU524301 SRQ524301 TBM524301 TLI524301 TVE524301 UFA524301 UOW524301 UYS524301 VIO524301 VSK524301 WCG524301 WMC524301 WVY524301 Q589837 JM589837 TI589837 ADE589837 ANA589837 AWW589837 BGS589837 BQO589837 CAK589837 CKG589837 CUC589837 DDY589837 DNU589837 DXQ589837 EHM589837 ERI589837 FBE589837 FLA589837 FUW589837 GES589837 GOO589837 GYK589837 HIG589837 HSC589837 IBY589837 ILU589837 IVQ589837 JFM589837 JPI589837 JZE589837 KJA589837 KSW589837 LCS589837 LMO589837 LWK589837 MGG589837 MQC589837 MZY589837 NJU589837 NTQ589837 ODM589837 ONI589837 OXE589837 PHA589837 PQW589837 QAS589837 QKO589837 QUK589837 REG589837 ROC589837 RXY589837 SHU589837 SRQ589837 TBM589837 TLI589837 TVE589837 UFA589837 UOW589837 UYS589837 VIO589837 VSK589837 WCG589837 WMC589837 WVY589837 Q655373 JM655373 TI655373 ADE655373 ANA655373 AWW655373 BGS655373 BQO655373 CAK655373 CKG655373 CUC655373 DDY655373 DNU655373 DXQ655373 EHM655373 ERI655373 FBE655373 FLA655373 FUW655373 GES655373 GOO655373 GYK655373 HIG655373 HSC655373 IBY655373 ILU655373 IVQ655373 JFM655373 JPI655373 JZE655373 KJA655373 KSW655373 LCS655373 LMO655373 LWK655373 MGG655373 MQC655373 MZY655373 NJU655373 NTQ655373 ODM655373 ONI655373 OXE655373 PHA655373 PQW655373 QAS655373 QKO655373 QUK655373 REG655373 ROC655373 RXY655373 SHU655373 SRQ655373 TBM655373 TLI655373 TVE655373 UFA655373 UOW655373 UYS655373 VIO655373 VSK655373 WCG655373 WMC655373 WVY655373 Q720909 JM720909 TI720909 ADE720909 ANA720909 AWW720909 BGS720909 BQO720909 CAK720909 CKG720909 CUC720909 DDY720909 DNU720909 DXQ720909 EHM720909 ERI720909 FBE720909 FLA720909 FUW720909 GES720909 GOO720909 GYK720909 HIG720909 HSC720909 IBY720909 ILU720909 IVQ720909 JFM720909 JPI720909 JZE720909 KJA720909 KSW720909 LCS720909 LMO720909 LWK720909 MGG720909 MQC720909 MZY720909 NJU720909 NTQ720909 ODM720909 ONI720909 OXE720909 PHA720909 PQW720909 QAS720909 QKO720909 QUK720909 REG720909 ROC720909 RXY720909 SHU720909 SRQ720909 TBM720909 TLI720909 TVE720909 UFA720909 UOW720909 UYS720909 VIO720909 VSK720909 WCG720909 WMC720909 WVY720909 Q786445 JM786445 TI786445 ADE786445 ANA786445 AWW786445 BGS786445 BQO786445 CAK786445 CKG786445 CUC786445 DDY786445 DNU786445 DXQ786445 EHM786445 ERI786445 FBE786445 FLA786445 FUW786445 GES786445 GOO786445 GYK786445 HIG786445 HSC786445 IBY786445 ILU786445 IVQ786445 JFM786445 JPI786445 JZE786445 KJA786445 KSW786445 LCS786445 LMO786445 LWK786445 MGG786445 MQC786445 MZY786445 NJU786445 NTQ786445 ODM786445 ONI786445 OXE786445 PHA786445 PQW786445 QAS786445 QKO786445 QUK786445 REG786445 ROC786445 RXY786445 SHU786445 SRQ786445 TBM786445 TLI786445 TVE786445 UFA786445 UOW786445 UYS786445 VIO786445 VSK786445 WCG786445 WMC786445 WVY786445 Q851981 JM851981 TI851981 ADE851981 ANA851981 AWW851981 BGS851981 BQO851981 CAK851981 CKG851981 CUC851981 DDY851981 DNU851981 DXQ851981 EHM851981 ERI851981 FBE851981 FLA851981 FUW851981 GES851981 GOO851981 GYK851981 HIG851981 HSC851981 IBY851981 ILU851981 IVQ851981 JFM851981 JPI851981 JZE851981 KJA851981 KSW851981 LCS851981 LMO851981 LWK851981 MGG851981 MQC851981 MZY851981 NJU851981 NTQ851981 ODM851981 ONI851981 OXE851981 PHA851981 PQW851981 QAS851981 QKO851981 QUK851981 REG851981 ROC851981 RXY851981 SHU851981 SRQ851981 TBM851981 TLI851981 TVE851981 UFA851981 UOW851981 UYS851981 VIO851981 VSK851981 WCG851981 WMC851981 WVY851981 Q917517 JM917517 TI917517 ADE917517 ANA917517 AWW917517 BGS917517 BQO917517 CAK917517 CKG917517 CUC917517 DDY917517 DNU917517 DXQ917517 EHM917517 ERI917517 FBE917517 FLA917517 FUW917517 GES917517 GOO917517 GYK917517 HIG917517 HSC917517 IBY917517 ILU917517 IVQ917517 JFM917517 JPI917517 JZE917517 KJA917517 KSW917517 LCS917517 LMO917517 LWK917517 MGG917517 MQC917517 MZY917517 NJU917517 NTQ917517 ODM917517 ONI917517 OXE917517 PHA917517 PQW917517 QAS917517 QKO917517 QUK917517 REG917517 ROC917517 RXY917517 SHU917517 SRQ917517 TBM917517 TLI917517 TVE917517 UFA917517 UOW917517 UYS917517 VIO917517 VSK917517 WCG917517 WMC917517 WVY917517 Q983053 JM983053 TI983053 ADE983053 ANA983053 AWW983053 BGS983053 BQO983053 CAK983053 CKG983053 CUC983053 DDY983053 DNU983053 DXQ983053 EHM983053 ERI983053 FBE983053 FLA983053 FUW983053 GES983053 GOO983053 GYK983053 HIG983053 HSC983053 IBY983053 ILU983053 IVQ983053 JFM983053 JPI983053 JZE983053 KJA983053 KSW983053 LCS983053 LMO983053 LWK983053 MGG983053 MQC983053 MZY983053 NJU983053 NTQ983053 ODM983053 ONI983053 OXE983053 PHA983053 PQW983053 QAS983053 QKO983053 QUK983053 REG983053 ROC983053 RXY983053 SHU983053 SRQ983053 TBM983053 TLI983053 TVE983053 UFA983053 UOW983053 UYS983053 VIO983053 VSK983053 WCG983053 WMC983053 WVY983053 M8:M10 JI8:JI10 TE8:TE10 ADA8:ADA10 AMW8:AMW10 AWS8:AWS10 BGO8:BGO10 BQK8:BQK10 CAG8:CAG10 CKC8:CKC10 CTY8:CTY10 DDU8:DDU10 DNQ8:DNQ10 DXM8:DXM10 EHI8:EHI10 ERE8:ERE10 FBA8:FBA10 FKW8:FKW10 FUS8:FUS10 GEO8:GEO10 GOK8:GOK10 GYG8:GYG10 HIC8:HIC10 HRY8:HRY10 IBU8:IBU10 ILQ8:ILQ10 IVM8:IVM10 JFI8:JFI10 JPE8:JPE10 JZA8:JZA10 KIW8:KIW10 KSS8:KSS10 LCO8:LCO10 LMK8:LMK10 LWG8:LWG10 MGC8:MGC10 MPY8:MPY10 MZU8:MZU10 NJQ8:NJQ10 NTM8:NTM10 ODI8:ODI10 ONE8:ONE10 OXA8:OXA10 PGW8:PGW10 PQS8:PQS10 QAO8:QAO10 QKK8:QKK10 QUG8:QUG10 REC8:REC10 RNY8:RNY10 RXU8:RXU10 SHQ8:SHQ10 SRM8:SRM10 TBI8:TBI10 TLE8:TLE10 TVA8:TVA10 UEW8:UEW10 UOS8:UOS10 UYO8:UYO10 VIK8:VIK10 VSG8:VSG10 WCC8:WCC10 WLY8:WLY10 WVU8:WVU10 M65544:M65546 JI65544:JI65546 TE65544:TE65546 ADA65544:ADA65546 AMW65544:AMW65546 AWS65544:AWS65546 BGO65544:BGO65546 BQK65544:BQK65546 CAG65544:CAG65546 CKC65544:CKC65546 CTY65544:CTY65546 DDU65544:DDU65546 DNQ65544:DNQ65546 DXM65544:DXM65546 EHI65544:EHI65546 ERE65544:ERE65546 FBA65544:FBA65546 FKW65544:FKW65546 FUS65544:FUS65546 GEO65544:GEO65546 GOK65544:GOK65546 GYG65544:GYG65546 HIC65544:HIC65546 HRY65544:HRY65546 IBU65544:IBU65546 ILQ65544:ILQ65546 IVM65544:IVM65546 JFI65544:JFI65546 JPE65544:JPE65546 JZA65544:JZA65546 KIW65544:KIW65546 KSS65544:KSS65546 LCO65544:LCO65546 LMK65544:LMK65546 LWG65544:LWG65546 MGC65544:MGC65546 MPY65544:MPY65546 MZU65544:MZU65546 NJQ65544:NJQ65546 NTM65544:NTM65546 ODI65544:ODI65546 ONE65544:ONE65546 OXA65544:OXA65546 PGW65544:PGW65546 PQS65544:PQS65546 QAO65544:QAO65546 QKK65544:QKK65546 QUG65544:QUG65546 REC65544:REC65546 RNY65544:RNY65546 RXU65544:RXU65546 SHQ65544:SHQ65546 SRM65544:SRM65546 TBI65544:TBI65546 TLE65544:TLE65546 TVA65544:TVA65546 UEW65544:UEW65546 UOS65544:UOS65546 UYO65544:UYO65546 VIK65544:VIK65546 VSG65544:VSG65546 WCC65544:WCC65546 WLY65544:WLY65546 WVU65544:WVU65546 M131080:M131082 JI131080:JI131082 TE131080:TE131082 ADA131080:ADA131082 AMW131080:AMW131082 AWS131080:AWS131082 BGO131080:BGO131082 BQK131080:BQK131082 CAG131080:CAG131082 CKC131080:CKC131082 CTY131080:CTY131082 DDU131080:DDU131082 DNQ131080:DNQ131082 DXM131080:DXM131082 EHI131080:EHI131082 ERE131080:ERE131082 FBA131080:FBA131082 FKW131080:FKW131082 FUS131080:FUS131082 GEO131080:GEO131082 GOK131080:GOK131082 GYG131080:GYG131082 HIC131080:HIC131082 HRY131080:HRY131082 IBU131080:IBU131082 ILQ131080:ILQ131082 IVM131080:IVM131082 JFI131080:JFI131082 JPE131080:JPE131082 JZA131080:JZA131082 KIW131080:KIW131082 KSS131080:KSS131082 LCO131080:LCO131082 LMK131080:LMK131082 LWG131080:LWG131082 MGC131080:MGC131082 MPY131080:MPY131082 MZU131080:MZU131082 NJQ131080:NJQ131082 NTM131080:NTM131082 ODI131080:ODI131082 ONE131080:ONE131082 OXA131080:OXA131082 PGW131080:PGW131082 PQS131080:PQS131082 QAO131080:QAO131082 QKK131080:QKK131082 QUG131080:QUG131082 REC131080:REC131082 RNY131080:RNY131082 RXU131080:RXU131082 SHQ131080:SHQ131082 SRM131080:SRM131082 TBI131080:TBI131082 TLE131080:TLE131082 TVA131080:TVA131082 UEW131080:UEW131082 UOS131080:UOS131082 UYO131080:UYO131082 VIK131080:VIK131082 VSG131080:VSG131082 WCC131080:WCC131082 WLY131080:WLY131082 WVU131080:WVU131082 M196616:M196618 JI196616:JI196618 TE196616:TE196618 ADA196616:ADA196618 AMW196616:AMW196618 AWS196616:AWS196618 BGO196616:BGO196618 BQK196616:BQK196618 CAG196616:CAG196618 CKC196616:CKC196618 CTY196616:CTY196618 DDU196616:DDU196618 DNQ196616:DNQ196618 DXM196616:DXM196618 EHI196616:EHI196618 ERE196616:ERE196618 FBA196616:FBA196618 FKW196616:FKW196618 FUS196616:FUS196618 GEO196616:GEO196618 GOK196616:GOK196618 GYG196616:GYG196618 HIC196616:HIC196618 HRY196616:HRY196618 IBU196616:IBU196618 ILQ196616:ILQ196618 IVM196616:IVM196618 JFI196616:JFI196618 JPE196616:JPE196618 JZA196616:JZA196618 KIW196616:KIW196618 KSS196616:KSS196618 LCO196616:LCO196618 LMK196616:LMK196618 LWG196616:LWG196618 MGC196616:MGC196618 MPY196616:MPY196618 MZU196616:MZU196618 NJQ196616:NJQ196618 NTM196616:NTM196618 ODI196616:ODI196618 ONE196616:ONE196618 OXA196616:OXA196618 PGW196616:PGW196618 PQS196616:PQS196618 QAO196616:QAO196618 QKK196616:QKK196618 QUG196616:QUG196618 REC196616:REC196618 RNY196616:RNY196618 RXU196616:RXU196618 SHQ196616:SHQ196618 SRM196616:SRM196618 TBI196616:TBI196618 TLE196616:TLE196618 TVA196616:TVA196618 UEW196616:UEW196618 UOS196616:UOS196618 UYO196616:UYO196618 VIK196616:VIK196618 VSG196616:VSG196618 WCC196616:WCC196618 WLY196616:WLY196618 WVU196616:WVU196618 M262152:M262154 JI262152:JI262154 TE262152:TE262154 ADA262152:ADA262154 AMW262152:AMW262154 AWS262152:AWS262154 BGO262152:BGO262154 BQK262152:BQK262154 CAG262152:CAG262154 CKC262152:CKC262154 CTY262152:CTY262154 DDU262152:DDU262154 DNQ262152:DNQ262154 DXM262152:DXM262154 EHI262152:EHI262154 ERE262152:ERE262154 FBA262152:FBA262154 FKW262152:FKW262154 FUS262152:FUS262154 GEO262152:GEO262154 GOK262152:GOK262154 GYG262152:GYG262154 HIC262152:HIC262154 HRY262152:HRY262154 IBU262152:IBU262154 ILQ262152:ILQ262154 IVM262152:IVM262154 JFI262152:JFI262154 JPE262152:JPE262154 JZA262152:JZA262154 KIW262152:KIW262154 KSS262152:KSS262154 LCO262152:LCO262154 LMK262152:LMK262154 LWG262152:LWG262154 MGC262152:MGC262154 MPY262152:MPY262154 MZU262152:MZU262154 NJQ262152:NJQ262154 NTM262152:NTM262154 ODI262152:ODI262154 ONE262152:ONE262154 OXA262152:OXA262154 PGW262152:PGW262154 PQS262152:PQS262154 QAO262152:QAO262154 QKK262152:QKK262154 QUG262152:QUG262154 REC262152:REC262154 RNY262152:RNY262154 RXU262152:RXU262154 SHQ262152:SHQ262154 SRM262152:SRM262154 TBI262152:TBI262154 TLE262152:TLE262154 TVA262152:TVA262154 UEW262152:UEW262154 UOS262152:UOS262154 UYO262152:UYO262154 VIK262152:VIK262154 VSG262152:VSG262154 WCC262152:WCC262154 WLY262152:WLY262154 WVU262152:WVU262154 M327688:M327690 JI327688:JI327690 TE327688:TE327690 ADA327688:ADA327690 AMW327688:AMW327690 AWS327688:AWS327690 BGO327688:BGO327690 BQK327688:BQK327690 CAG327688:CAG327690 CKC327688:CKC327690 CTY327688:CTY327690 DDU327688:DDU327690 DNQ327688:DNQ327690 DXM327688:DXM327690 EHI327688:EHI327690 ERE327688:ERE327690 FBA327688:FBA327690 FKW327688:FKW327690 FUS327688:FUS327690 GEO327688:GEO327690 GOK327688:GOK327690 GYG327688:GYG327690 HIC327688:HIC327690 HRY327688:HRY327690 IBU327688:IBU327690 ILQ327688:ILQ327690 IVM327688:IVM327690 JFI327688:JFI327690 JPE327688:JPE327690 JZA327688:JZA327690 KIW327688:KIW327690 KSS327688:KSS327690 LCO327688:LCO327690 LMK327688:LMK327690 LWG327688:LWG327690 MGC327688:MGC327690 MPY327688:MPY327690 MZU327688:MZU327690 NJQ327688:NJQ327690 NTM327688:NTM327690 ODI327688:ODI327690 ONE327688:ONE327690 OXA327688:OXA327690 PGW327688:PGW327690 PQS327688:PQS327690 QAO327688:QAO327690 QKK327688:QKK327690 QUG327688:QUG327690 REC327688:REC327690 RNY327688:RNY327690 RXU327688:RXU327690 SHQ327688:SHQ327690 SRM327688:SRM327690 TBI327688:TBI327690 TLE327688:TLE327690 TVA327688:TVA327690 UEW327688:UEW327690 UOS327688:UOS327690 UYO327688:UYO327690 VIK327688:VIK327690 VSG327688:VSG327690 WCC327688:WCC327690 WLY327688:WLY327690 WVU327688:WVU327690 M393224:M393226 JI393224:JI393226 TE393224:TE393226 ADA393224:ADA393226 AMW393224:AMW393226 AWS393224:AWS393226 BGO393224:BGO393226 BQK393224:BQK393226 CAG393224:CAG393226 CKC393224:CKC393226 CTY393224:CTY393226 DDU393224:DDU393226 DNQ393224:DNQ393226 DXM393224:DXM393226 EHI393224:EHI393226 ERE393224:ERE393226 FBA393224:FBA393226 FKW393224:FKW393226 FUS393224:FUS393226 GEO393224:GEO393226 GOK393224:GOK393226 GYG393224:GYG393226 HIC393224:HIC393226 HRY393224:HRY393226 IBU393224:IBU393226 ILQ393224:ILQ393226 IVM393224:IVM393226 JFI393224:JFI393226 JPE393224:JPE393226 JZA393224:JZA393226 KIW393224:KIW393226 KSS393224:KSS393226 LCO393224:LCO393226 LMK393224:LMK393226 LWG393224:LWG393226 MGC393224:MGC393226 MPY393224:MPY393226 MZU393224:MZU393226 NJQ393224:NJQ393226 NTM393224:NTM393226 ODI393224:ODI393226 ONE393224:ONE393226 OXA393224:OXA393226 PGW393224:PGW393226 PQS393224:PQS393226 QAO393224:QAO393226 QKK393224:QKK393226 QUG393224:QUG393226 REC393224:REC393226 RNY393224:RNY393226 RXU393224:RXU393226 SHQ393224:SHQ393226 SRM393224:SRM393226 TBI393224:TBI393226 TLE393224:TLE393226 TVA393224:TVA393226 UEW393224:UEW393226 UOS393224:UOS393226 UYO393224:UYO393226 VIK393224:VIK393226 VSG393224:VSG393226 WCC393224:WCC393226 WLY393224:WLY393226 WVU393224:WVU393226 M458760:M458762 JI458760:JI458762 TE458760:TE458762 ADA458760:ADA458762 AMW458760:AMW458762 AWS458760:AWS458762 BGO458760:BGO458762 BQK458760:BQK458762 CAG458760:CAG458762 CKC458760:CKC458762 CTY458760:CTY458762 DDU458760:DDU458762 DNQ458760:DNQ458762 DXM458760:DXM458762 EHI458760:EHI458762 ERE458760:ERE458762 FBA458760:FBA458762 FKW458760:FKW458762 FUS458760:FUS458762 GEO458760:GEO458762 GOK458760:GOK458762 GYG458760:GYG458762 HIC458760:HIC458762 HRY458760:HRY458762 IBU458760:IBU458762 ILQ458760:ILQ458762 IVM458760:IVM458762 JFI458760:JFI458762 JPE458760:JPE458762 JZA458760:JZA458762 KIW458760:KIW458762 KSS458760:KSS458762 LCO458760:LCO458762 LMK458760:LMK458762 LWG458760:LWG458762 MGC458760:MGC458762 MPY458760:MPY458762 MZU458760:MZU458762 NJQ458760:NJQ458762 NTM458760:NTM458762 ODI458760:ODI458762 ONE458760:ONE458762 OXA458760:OXA458762 PGW458760:PGW458762 PQS458760:PQS458762 QAO458760:QAO458762 QKK458760:QKK458762 QUG458760:QUG458762 REC458760:REC458762 RNY458760:RNY458762 RXU458760:RXU458762 SHQ458760:SHQ458762 SRM458760:SRM458762 TBI458760:TBI458762 TLE458760:TLE458762 TVA458760:TVA458762 UEW458760:UEW458762 UOS458760:UOS458762 UYO458760:UYO458762 VIK458760:VIK458762 VSG458760:VSG458762 WCC458760:WCC458762 WLY458760:WLY458762 WVU458760:WVU458762 M524296:M524298 JI524296:JI524298 TE524296:TE524298 ADA524296:ADA524298 AMW524296:AMW524298 AWS524296:AWS524298 BGO524296:BGO524298 BQK524296:BQK524298 CAG524296:CAG524298 CKC524296:CKC524298 CTY524296:CTY524298 DDU524296:DDU524298 DNQ524296:DNQ524298 DXM524296:DXM524298 EHI524296:EHI524298 ERE524296:ERE524298 FBA524296:FBA524298 FKW524296:FKW524298 FUS524296:FUS524298 GEO524296:GEO524298 GOK524296:GOK524298 GYG524296:GYG524298 HIC524296:HIC524298 HRY524296:HRY524298 IBU524296:IBU524298 ILQ524296:ILQ524298 IVM524296:IVM524298 JFI524296:JFI524298 JPE524296:JPE524298 JZA524296:JZA524298 KIW524296:KIW524298 KSS524296:KSS524298 LCO524296:LCO524298 LMK524296:LMK524298 LWG524296:LWG524298 MGC524296:MGC524298 MPY524296:MPY524298 MZU524296:MZU524298 NJQ524296:NJQ524298 NTM524296:NTM524298 ODI524296:ODI524298 ONE524296:ONE524298 OXA524296:OXA524298 PGW524296:PGW524298 PQS524296:PQS524298 QAO524296:QAO524298 QKK524296:QKK524298 QUG524296:QUG524298 REC524296:REC524298 RNY524296:RNY524298 RXU524296:RXU524298 SHQ524296:SHQ524298 SRM524296:SRM524298 TBI524296:TBI524298 TLE524296:TLE524298 TVA524296:TVA524298 UEW524296:UEW524298 UOS524296:UOS524298 UYO524296:UYO524298 VIK524296:VIK524298 VSG524296:VSG524298 WCC524296:WCC524298 WLY524296:WLY524298 WVU524296:WVU524298 M589832:M589834 JI589832:JI589834 TE589832:TE589834 ADA589832:ADA589834 AMW589832:AMW589834 AWS589832:AWS589834 BGO589832:BGO589834 BQK589832:BQK589834 CAG589832:CAG589834 CKC589832:CKC589834 CTY589832:CTY589834 DDU589832:DDU589834 DNQ589832:DNQ589834 DXM589832:DXM589834 EHI589832:EHI589834 ERE589832:ERE589834 FBA589832:FBA589834 FKW589832:FKW589834 FUS589832:FUS589834 GEO589832:GEO589834 GOK589832:GOK589834 GYG589832:GYG589834 HIC589832:HIC589834 HRY589832:HRY589834 IBU589832:IBU589834 ILQ589832:ILQ589834 IVM589832:IVM589834 JFI589832:JFI589834 JPE589832:JPE589834 JZA589832:JZA589834 KIW589832:KIW589834 KSS589832:KSS589834 LCO589832:LCO589834 LMK589832:LMK589834 LWG589832:LWG589834 MGC589832:MGC589834 MPY589832:MPY589834 MZU589832:MZU589834 NJQ589832:NJQ589834 NTM589832:NTM589834 ODI589832:ODI589834 ONE589832:ONE589834 OXA589832:OXA589834 PGW589832:PGW589834 PQS589832:PQS589834 QAO589832:QAO589834 QKK589832:QKK589834 QUG589832:QUG589834 REC589832:REC589834 RNY589832:RNY589834 RXU589832:RXU589834 SHQ589832:SHQ589834 SRM589832:SRM589834 TBI589832:TBI589834 TLE589832:TLE589834 TVA589832:TVA589834 UEW589832:UEW589834 UOS589832:UOS589834 UYO589832:UYO589834 VIK589832:VIK589834 VSG589832:VSG589834 WCC589832:WCC589834 WLY589832:WLY589834 WVU589832:WVU589834 M655368:M655370 JI655368:JI655370 TE655368:TE655370 ADA655368:ADA655370 AMW655368:AMW655370 AWS655368:AWS655370 BGO655368:BGO655370 BQK655368:BQK655370 CAG655368:CAG655370 CKC655368:CKC655370 CTY655368:CTY655370 DDU655368:DDU655370 DNQ655368:DNQ655370 DXM655368:DXM655370 EHI655368:EHI655370 ERE655368:ERE655370 FBA655368:FBA655370 FKW655368:FKW655370 FUS655368:FUS655370 GEO655368:GEO655370 GOK655368:GOK655370 GYG655368:GYG655370 HIC655368:HIC655370 HRY655368:HRY655370 IBU655368:IBU655370 ILQ655368:ILQ655370 IVM655368:IVM655370 JFI655368:JFI655370 JPE655368:JPE655370 JZA655368:JZA655370 KIW655368:KIW655370 KSS655368:KSS655370 LCO655368:LCO655370 LMK655368:LMK655370 LWG655368:LWG655370 MGC655368:MGC655370 MPY655368:MPY655370 MZU655368:MZU655370 NJQ655368:NJQ655370 NTM655368:NTM655370 ODI655368:ODI655370 ONE655368:ONE655370 OXA655368:OXA655370 PGW655368:PGW655370 PQS655368:PQS655370 QAO655368:QAO655370 QKK655368:QKK655370 QUG655368:QUG655370 REC655368:REC655370 RNY655368:RNY655370 RXU655368:RXU655370 SHQ655368:SHQ655370 SRM655368:SRM655370 TBI655368:TBI655370 TLE655368:TLE655370 TVA655368:TVA655370 UEW655368:UEW655370 UOS655368:UOS655370 UYO655368:UYO655370 VIK655368:VIK655370 VSG655368:VSG655370 WCC655368:WCC655370 WLY655368:WLY655370 WVU655368:WVU655370 M720904:M720906 JI720904:JI720906 TE720904:TE720906 ADA720904:ADA720906 AMW720904:AMW720906 AWS720904:AWS720906 BGO720904:BGO720906 BQK720904:BQK720906 CAG720904:CAG720906 CKC720904:CKC720906 CTY720904:CTY720906 DDU720904:DDU720906 DNQ720904:DNQ720906 DXM720904:DXM720906 EHI720904:EHI720906 ERE720904:ERE720906 FBA720904:FBA720906 FKW720904:FKW720906 FUS720904:FUS720906 GEO720904:GEO720906 GOK720904:GOK720906 GYG720904:GYG720906 HIC720904:HIC720906 HRY720904:HRY720906 IBU720904:IBU720906 ILQ720904:ILQ720906 IVM720904:IVM720906 JFI720904:JFI720906 JPE720904:JPE720906 JZA720904:JZA720906 KIW720904:KIW720906 KSS720904:KSS720906 LCO720904:LCO720906 LMK720904:LMK720906 LWG720904:LWG720906 MGC720904:MGC720906 MPY720904:MPY720906 MZU720904:MZU720906 NJQ720904:NJQ720906 NTM720904:NTM720906 ODI720904:ODI720906 ONE720904:ONE720906 OXA720904:OXA720906 PGW720904:PGW720906 PQS720904:PQS720906 QAO720904:QAO720906 QKK720904:QKK720906 QUG720904:QUG720906 REC720904:REC720906 RNY720904:RNY720906 RXU720904:RXU720906 SHQ720904:SHQ720906 SRM720904:SRM720906 TBI720904:TBI720906 TLE720904:TLE720906 TVA720904:TVA720906 UEW720904:UEW720906 UOS720904:UOS720906 UYO720904:UYO720906 VIK720904:VIK720906 VSG720904:VSG720906 WCC720904:WCC720906 WLY720904:WLY720906 WVU720904:WVU720906 M786440:M786442 JI786440:JI786442 TE786440:TE786442 ADA786440:ADA786442 AMW786440:AMW786442 AWS786440:AWS786442 BGO786440:BGO786442 BQK786440:BQK786442 CAG786440:CAG786442 CKC786440:CKC786442 CTY786440:CTY786442 DDU786440:DDU786442 DNQ786440:DNQ786442 DXM786440:DXM786442 EHI786440:EHI786442 ERE786440:ERE786442 FBA786440:FBA786442 FKW786440:FKW786442 FUS786440:FUS786442 GEO786440:GEO786442 GOK786440:GOK786442 GYG786440:GYG786442 HIC786440:HIC786442 HRY786440:HRY786442 IBU786440:IBU786442 ILQ786440:ILQ786442 IVM786440:IVM786442 JFI786440:JFI786442 JPE786440:JPE786442 JZA786440:JZA786442 KIW786440:KIW786442 KSS786440:KSS786442 LCO786440:LCO786442 LMK786440:LMK786442 LWG786440:LWG786442 MGC786440:MGC786442 MPY786440:MPY786442 MZU786440:MZU786442 NJQ786440:NJQ786442 NTM786440:NTM786442 ODI786440:ODI786442 ONE786440:ONE786442 OXA786440:OXA786442 PGW786440:PGW786442 PQS786440:PQS786442 QAO786440:QAO786442 QKK786440:QKK786442 QUG786440:QUG786442 REC786440:REC786442 RNY786440:RNY786442 RXU786440:RXU786442 SHQ786440:SHQ786442 SRM786440:SRM786442 TBI786440:TBI786442 TLE786440:TLE786442 TVA786440:TVA786442 UEW786440:UEW786442 UOS786440:UOS786442 UYO786440:UYO786442 VIK786440:VIK786442 VSG786440:VSG786442 WCC786440:WCC786442 WLY786440:WLY786442 WVU786440:WVU786442 M851976:M851978 JI851976:JI851978 TE851976:TE851978 ADA851976:ADA851978 AMW851976:AMW851978 AWS851976:AWS851978 BGO851976:BGO851978 BQK851976:BQK851978 CAG851976:CAG851978 CKC851976:CKC851978 CTY851976:CTY851978 DDU851976:DDU851978 DNQ851976:DNQ851978 DXM851976:DXM851978 EHI851976:EHI851978 ERE851976:ERE851978 FBA851976:FBA851978 FKW851976:FKW851978 FUS851976:FUS851978 GEO851976:GEO851978 GOK851976:GOK851978 GYG851976:GYG851978 HIC851976:HIC851978 HRY851976:HRY851978 IBU851976:IBU851978 ILQ851976:ILQ851978 IVM851976:IVM851978 JFI851976:JFI851978 JPE851976:JPE851978 JZA851976:JZA851978 KIW851976:KIW851978 KSS851976:KSS851978 LCO851976:LCO851978 LMK851976:LMK851978 LWG851976:LWG851978 MGC851976:MGC851978 MPY851976:MPY851978 MZU851976:MZU851978 NJQ851976:NJQ851978 NTM851976:NTM851978 ODI851976:ODI851978 ONE851976:ONE851978 OXA851976:OXA851978 PGW851976:PGW851978 PQS851976:PQS851978 QAO851976:QAO851978 QKK851976:QKK851978 QUG851976:QUG851978 REC851976:REC851978 RNY851976:RNY851978 RXU851976:RXU851978 SHQ851976:SHQ851978 SRM851976:SRM851978 TBI851976:TBI851978 TLE851976:TLE851978 TVA851976:TVA851978 UEW851976:UEW851978 UOS851976:UOS851978 UYO851976:UYO851978 VIK851976:VIK851978 VSG851976:VSG851978 WCC851976:WCC851978 WLY851976:WLY851978 WVU851976:WVU851978 M917512:M917514 JI917512:JI917514 TE917512:TE917514 ADA917512:ADA917514 AMW917512:AMW917514 AWS917512:AWS917514 BGO917512:BGO917514 BQK917512:BQK917514 CAG917512:CAG917514 CKC917512:CKC917514 CTY917512:CTY917514 DDU917512:DDU917514 DNQ917512:DNQ917514 DXM917512:DXM917514 EHI917512:EHI917514 ERE917512:ERE917514 FBA917512:FBA917514 FKW917512:FKW917514 FUS917512:FUS917514 GEO917512:GEO917514 GOK917512:GOK917514 GYG917512:GYG917514 HIC917512:HIC917514 HRY917512:HRY917514 IBU917512:IBU917514 ILQ917512:ILQ917514 IVM917512:IVM917514 JFI917512:JFI917514 JPE917512:JPE917514 JZA917512:JZA917514 KIW917512:KIW917514 KSS917512:KSS917514 LCO917512:LCO917514 LMK917512:LMK917514 LWG917512:LWG917514 MGC917512:MGC917514 MPY917512:MPY917514 MZU917512:MZU917514 NJQ917512:NJQ917514 NTM917512:NTM917514 ODI917512:ODI917514 ONE917512:ONE917514 OXA917512:OXA917514 PGW917512:PGW917514 PQS917512:PQS917514 QAO917512:QAO917514 QKK917512:QKK917514 QUG917512:QUG917514 REC917512:REC917514 RNY917512:RNY917514 RXU917512:RXU917514 SHQ917512:SHQ917514 SRM917512:SRM917514 TBI917512:TBI917514 TLE917512:TLE917514 TVA917512:TVA917514 UEW917512:UEW917514 UOS917512:UOS917514 UYO917512:UYO917514 VIK917512:VIK917514 VSG917512:VSG917514 WCC917512:WCC917514 WLY917512:WLY917514 WVU917512:WVU917514 M983048:M983050 JI983048:JI983050 TE983048:TE983050 ADA983048:ADA983050 AMW983048:AMW983050 AWS983048:AWS983050 BGO983048:BGO983050 BQK983048:BQK983050 CAG983048:CAG983050 CKC983048:CKC983050 CTY983048:CTY983050 DDU983048:DDU983050 DNQ983048:DNQ983050 DXM983048:DXM983050 EHI983048:EHI983050 ERE983048:ERE983050 FBA983048:FBA983050 FKW983048:FKW983050 FUS983048:FUS983050 GEO983048:GEO983050 GOK983048:GOK983050 GYG983048:GYG983050 HIC983048:HIC983050 HRY983048:HRY983050 IBU983048:IBU983050 ILQ983048:ILQ983050 IVM983048:IVM983050 JFI983048:JFI983050 JPE983048:JPE983050 JZA983048:JZA983050 KIW983048:KIW983050 KSS983048:KSS983050 LCO983048:LCO983050 LMK983048:LMK983050 LWG983048:LWG983050 MGC983048:MGC983050 MPY983048:MPY983050 MZU983048:MZU983050 NJQ983048:NJQ983050 NTM983048:NTM983050 ODI983048:ODI983050 ONE983048:ONE983050 OXA983048:OXA983050 PGW983048:PGW983050 PQS983048:PQS983050 QAO983048:QAO983050 QKK983048:QKK983050 QUG983048:QUG983050 REC983048:REC983050 RNY983048:RNY983050 RXU983048:RXU983050 SHQ983048:SHQ983050 SRM983048:SRM983050 TBI983048:TBI983050 TLE983048:TLE983050 TVA983048:TVA983050 UEW983048:UEW983050 UOS983048:UOS983050 UYO983048:UYO983050 VIK983048:VIK983050 VSG983048:VSG983050 WCC983048:WCC983050 WLY983048:WLY983050 WVU983048:WVU983050 O8:O10 JK8:JK10 TG8:TG10 ADC8:ADC10 AMY8:AMY10 AWU8:AWU10 BGQ8:BGQ10 BQM8:BQM10 CAI8:CAI10 CKE8:CKE10 CUA8:CUA10 DDW8:DDW10 DNS8:DNS10 DXO8:DXO10 EHK8:EHK10 ERG8:ERG10 FBC8:FBC10 FKY8:FKY10 FUU8:FUU10 GEQ8:GEQ10 GOM8:GOM10 GYI8:GYI10 HIE8:HIE10 HSA8:HSA10 IBW8:IBW10 ILS8:ILS10 IVO8:IVO10 JFK8:JFK10 JPG8:JPG10 JZC8:JZC10 KIY8:KIY10 KSU8:KSU10 LCQ8:LCQ10 LMM8:LMM10 LWI8:LWI10 MGE8:MGE10 MQA8:MQA10 MZW8:MZW10 NJS8:NJS10 NTO8:NTO10 ODK8:ODK10 ONG8:ONG10 OXC8:OXC10 PGY8:PGY10 PQU8:PQU10 QAQ8:QAQ10 QKM8:QKM10 QUI8:QUI10 REE8:REE10 ROA8:ROA10 RXW8:RXW10 SHS8:SHS10 SRO8:SRO10 TBK8:TBK10 TLG8:TLG10 TVC8:TVC10 UEY8:UEY10 UOU8:UOU10 UYQ8:UYQ10 VIM8:VIM10 VSI8:VSI10 WCE8:WCE10 WMA8:WMA10 WVW8:WVW10 O65544:O65546 JK65544:JK65546 TG65544:TG65546 ADC65544:ADC65546 AMY65544:AMY65546 AWU65544:AWU65546 BGQ65544:BGQ65546 BQM65544:BQM65546 CAI65544:CAI65546 CKE65544:CKE65546 CUA65544:CUA65546 DDW65544:DDW65546 DNS65544:DNS65546 DXO65544:DXO65546 EHK65544:EHK65546 ERG65544:ERG65546 FBC65544:FBC65546 FKY65544:FKY65546 FUU65544:FUU65546 GEQ65544:GEQ65546 GOM65544:GOM65546 GYI65544:GYI65546 HIE65544:HIE65546 HSA65544:HSA65546 IBW65544:IBW65546 ILS65544:ILS65546 IVO65544:IVO65546 JFK65544:JFK65546 JPG65544:JPG65546 JZC65544:JZC65546 KIY65544:KIY65546 KSU65544:KSU65546 LCQ65544:LCQ65546 LMM65544:LMM65546 LWI65544:LWI65546 MGE65544:MGE65546 MQA65544:MQA65546 MZW65544:MZW65546 NJS65544:NJS65546 NTO65544:NTO65546 ODK65544:ODK65546 ONG65544:ONG65546 OXC65544:OXC65546 PGY65544:PGY65546 PQU65544:PQU65546 QAQ65544:QAQ65546 QKM65544:QKM65546 QUI65544:QUI65546 REE65544:REE65546 ROA65544:ROA65546 RXW65544:RXW65546 SHS65544:SHS65546 SRO65544:SRO65546 TBK65544:TBK65546 TLG65544:TLG65546 TVC65544:TVC65546 UEY65544:UEY65546 UOU65544:UOU65546 UYQ65544:UYQ65546 VIM65544:VIM65546 VSI65544:VSI65546 WCE65544:WCE65546 WMA65544:WMA65546 WVW65544:WVW65546 O131080:O131082 JK131080:JK131082 TG131080:TG131082 ADC131080:ADC131082 AMY131080:AMY131082 AWU131080:AWU131082 BGQ131080:BGQ131082 BQM131080:BQM131082 CAI131080:CAI131082 CKE131080:CKE131082 CUA131080:CUA131082 DDW131080:DDW131082 DNS131080:DNS131082 DXO131080:DXO131082 EHK131080:EHK131082 ERG131080:ERG131082 FBC131080:FBC131082 FKY131080:FKY131082 FUU131080:FUU131082 GEQ131080:GEQ131082 GOM131080:GOM131082 GYI131080:GYI131082 HIE131080:HIE131082 HSA131080:HSA131082 IBW131080:IBW131082 ILS131080:ILS131082 IVO131080:IVO131082 JFK131080:JFK131082 JPG131080:JPG131082 JZC131080:JZC131082 KIY131080:KIY131082 KSU131080:KSU131082 LCQ131080:LCQ131082 LMM131080:LMM131082 LWI131080:LWI131082 MGE131080:MGE131082 MQA131080:MQA131082 MZW131080:MZW131082 NJS131080:NJS131082 NTO131080:NTO131082 ODK131080:ODK131082 ONG131080:ONG131082 OXC131080:OXC131082 PGY131080:PGY131082 PQU131080:PQU131082 QAQ131080:QAQ131082 QKM131080:QKM131082 QUI131080:QUI131082 REE131080:REE131082 ROA131080:ROA131082 RXW131080:RXW131082 SHS131080:SHS131082 SRO131080:SRO131082 TBK131080:TBK131082 TLG131080:TLG131082 TVC131080:TVC131082 UEY131080:UEY131082 UOU131080:UOU131082 UYQ131080:UYQ131082 VIM131080:VIM131082 VSI131080:VSI131082 WCE131080:WCE131082 WMA131080:WMA131082 WVW131080:WVW131082 O196616:O196618 JK196616:JK196618 TG196616:TG196618 ADC196616:ADC196618 AMY196616:AMY196618 AWU196616:AWU196618 BGQ196616:BGQ196618 BQM196616:BQM196618 CAI196616:CAI196618 CKE196616:CKE196618 CUA196616:CUA196618 DDW196616:DDW196618 DNS196616:DNS196618 DXO196616:DXO196618 EHK196616:EHK196618 ERG196616:ERG196618 FBC196616:FBC196618 FKY196616:FKY196618 FUU196616:FUU196618 GEQ196616:GEQ196618 GOM196616:GOM196618 GYI196616:GYI196618 HIE196616:HIE196618 HSA196616:HSA196618 IBW196616:IBW196618 ILS196616:ILS196618 IVO196616:IVO196618 JFK196616:JFK196618 JPG196616:JPG196618 JZC196616:JZC196618 KIY196616:KIY196618 KSU196616:KSU196618 LCQ196616:LCQ196618 LMM196616:LMM196618 LWI196616:LWI196618 MGE196616:MGE196618 MQA196616:MQA196618 MZW196616:MZW196618 NJS196616:NJS196618 NTO196616:NTO196618 ODK196616:ODK196618 ONG196616:ONG196618 OXC196616:OXC196618 PGY196616:PGY196618 PQU196616:PQU196618 QAQ196616:QAQ196618 QKM196616:QKM196618 QUI196616:QUI196618 REE196616:REE196618 ROA196616:ROA196618 RXW196616:RXW196618 SHS196616:SHS196618 SRO196616:SRO196618 TBK196616:TBK196618 TLG196616:TLG196618 TVC196616:TVC196618 UEY196616:UEY196618 UOU196616:UOU196618 UYQ196616:UYQ196618 VIM196616:VIM196618 VSI196616:VSI196618 WCE196616:WCE196618 WMA196616:WMA196618 WVW196616:WVW196618 O262152:O262154 JK262152:JK262154 TG262152:TG262154 ADC262152:ADC262154 AMY262152:AMY262154 AWU262152:AWU262154 BGQ262152:BGQ262154 BQM262152:BQM262154 CAI262152:CAI262154 CKE262152:CKE262154 CUA262152:CUA262154 DDW262152:DDW262154 DNS262152:DNS262154 DXO262152:DXO262154 EHK262152:EHK262154 ERG262152:ERG262154 FBC262152:FBC262154 FKY262152:FKY262154 FUU262152:FUU262154 GEQ262152:GEQ262154 GOM262152:GOM262154 GYI262152:GYI262154 HIE262152:HIE262154 HSA262152:HSA262154 IBW262152:IBW262154 ILS262152:ILS262154 IVO262152:IVO262154 JFK262152:JFK262154 JPG262152:JPG262154 JZC262152:JZC262154 KIY262152:KIY262154 KSU262152:KSU262154 LCQ262152:LCQ262154 LMM262152:LMM262154 LWI262152:LWI262154 MGE262152:MGE262154 MQA262152:MQA262154 MZW262152:MZW262154 NJS262152:NJS262154 NTO262152:NTO262154 ODK262152:ODK262154 ONG262152:ONG262154 OXC262152:OXC262154 PGY262152:PGY262154 PQU262152:PQU262154 QAQ262152:QAQ262154 QKM262152:QKM262154 QUI262152:QUI262154 REE262152:REE262154 ROA262152:ROA262154 RXW262152:RXW262154 SHS262152:SHS262154 SRO262152:SRO262154 TBK262152:TBK262154 TLG262152:TLG262154 TVC262152:TVC262154 UEY262152:UEY262154 UOU262152:UOU262154 UYQ262152:UYQ262154 VIM262152:VIM262154 VSI262152:VSI262154 WCE262152:WCE262154 WMA262152:WMA262154 WVW262152:WVW262154 O327688:O327690 JK327688:JK327690 TG327688:TG327690 ADC327688:ADC327690 AMY327688:AMY327690 AWU327688:AWU327690 BGQ327688:BGQ327690 BQM327688:BQM327690 CAI327688:CAI327690 CKE327688:CKE327690 CUA327688:CUA327690 DDW327688:DDW327690 DNS327688:DNS327690 DXO327688:DXO327690 EHK327688:EHK327690 ERG327688:ERG327690 FBC327688:FBC327690 FKY327688:FKY327690 FUU327688:FUU327690 GEQ327688:GEQ327690 GOM327688:GOM327690 GYI327688:GYI327690 HIE327688:HIE327690 HSA327688:HSA327690 IBW327688:IBW327690 ILS327688:ILS327690 IVO327688:IVO327690 JFK327688:JFK327690 JPG327688:JPG327690 JZC327688:JZC327690 KIY327688:KIY327690 KSU327688:KSU327690 LCQ327688:LCQ327690 LMM327688:LMM327690 LWI327688:LWI327690 MGE327688:MGE327690 MQA327688:MQA327690 MZW327688:MZW327690 NJS327688:NJS327690 NTO327688:NTO327690 ODK327688:ODK327690 ONG327688:ONG327690 OXC327688:OXC327690 PGY327688:PGY327690 PQU327688:PQU327690 QAQ327688:QAQ327690 QKM327688:QKM327690 QUI327688:QUI327690 REE327688:REE327690 ROA327688:ROA327690 RXW327688:RXW327690 SHS327688:SHS327690 SRO327688:SRO327690 TBK327688:TBK327690 TLG327688:TLG327690 TVC327688:TVC327690 UEY327688:UEY327690 UOU327688:UOU327690 UYQ327688:UYQ327690 VIM327688:VIM327690 VSI327688:VSI327690 WCE327688:WCE327690 WMA327688:WMA327690 WVW327688:WVW327690 O393224:O393226 JK393224:JK393226 TG393224:TG393226 ADC393224:ADC393226 AMY393224:AMY393226 AWU393224:AWU393226 BGQ393224:BGQ393226 BQM393224:BQM393226 CAI393224:CAI393226 CKE393224:CKE393226 CUA393224:CUA393226 DDW393224:DDW393226 DNS393224:DNS393226 DXO393224:DXO393226 EHK393224:EHK393226 ERG393224:ERG393226 FBC393224:FBC393226 FKY393224:FKY393226 FUU393224:FUU393226 GEQ393224:GEQ393226 GOM393224:GOM393226 GYI393224:GYI393226 HIE393224:HIE393226 HSA393224:HSA393226 IBW393224:IBW393226 ILS393224:ILS393226 IVO393224:IVO393226 JFK393224:JFK393226 JPG393224:JPG393226 JZC393224:JZC393226 KIY393224:KIY393226 KSU393224:KSU393226 LCQ393224:LCQ393226 LMM393224:LMM393226 LWI393224:LWI393226 MGE393224:MGE393226 MQA393224:MQA393226 MZW393224:MZW393226 NJS393224:NJS393226 NTO393224:NTO393226 ODK393224:ODK393226 ONG393224:ONG393226 OXC393224:OXC393226 PGY393224:PGY393226 PQU393224:PQU393226 QAQ393224:QAQ393226 QKM393224:QKM393226 QUI393224:QUI393226 REE393224:REE393226 ROA393224:ROA393226 RXW393224:RXW393226 SHS393224:SHS393226 SRO393224:SRO393226 TBK393224:TBK393226 TLG393224:TLG393226 TVC393224:TVC393226 UEY393224:UEY393226 UOU393224:UOU393226 UYQ393224:UYQ393226 VIM393224:VIM393226 VSI393224:VSI393226 WCE393224:WCE393226 WMA393224:WMA393226 WVW393224:WVW393226 O458760:O458762 JK458760:JK458762 TG458760:TG458762 ADC458760:ADC458762 AMY458760:AMY458762 AWU458760:AWU458762 BGQ458760:BGQ458762 BQM458760:BQM458762 CAI458760:CAI458762 CKE458760:CKE458762 CUA458760:CUA458762 DDW458760:DDW458762 DNS458760:DNS458762 DXO458760:DXO458762 EHK458760:EHK458762 ERG458760:ERG458762 FBC458760:FBC458762 FKY458760:FKY458762 FUU458760:FUU458762 GEQ458760:GEQ458762 GOM458760:GOM458762 GYI458760:GYI458762 HIE458760:HIE458762 HSA458760:HSA458762 IBW458760:IBW458762 ILS458760:ILS458762 IVO458760:IVO458762 JFK458760:JFK458762 JPG458760:JPG458762 JZC458760:JZC458762 KIY458760:KIY458762 KSU458760:KSU458762 LCQ458760:LCQ458762 LMM458760:LMM458762 LWI458760:LWI458762 MGE458760:MGE458762 MQA458760:MQA458762 MZW458760:MZW458762 NJS458760:NJS458762 NTO458760:NTO458762 ODK458760:ODK458762 ONG458760:ONG458762 OXC458760:OXC458762 PGY458760:PGY458762 PQU458760:PQU458762 QAQ458760:QAQ458762 QKM458760:QKM458762 QUI458760:QUI458762 REE458760:REE458762 ROA458760:ROA458762 RXW458760:RXW458762 SHS458760:SHS458762 SRO458760:SRO458762 TBK458760:TBK458762 TLG458760:TLG458762 TVC458760:TVC458762 UEY458760:UEY458762 UOU458760:UOU458762 UYQ458760:UYQ458762 VIM458760:VIM458762 VSI458760:VSI458762 WCE458760:WCE458762 WMA458760:WMA458762 WVW458760:WVW458762 O524296:O524298 JK524296:JK524298 TG524296:TG524298 ADC524296:ADC524298 AMY524296:AMY524298 AWU524296:AWU524298 BGQ524296:BGQ524298 BQM524296:BQM524298 CAI524296:CAI524298 CKE524296:CKE524298 CUA524296:CUA524298 DDW524296:DDW524298 DNS524296:DNS524298 DXO524296:DXO524298 EHK524296:EHK524298 ERG524296:ERG524298 FBC524296:FBC524298 FKY524296:FKY524298 FUU524296:FUU524298 GEQ524296:GEQ524298 GOM524296:GOM524298 GYI524296:GYI524298 HIE524296:HIE524298 HSA524296:HSA524298 IBW524296:IBW524298 ILS524296:ILS524298 IVO524296:IVO524298 JFK524296:JFK524298 JPG524296:JPG524298 JZC524296:JZC524298 KIY524296:KIY524298 KSU524296:KSU524298 LCQ524296:LCQ524298 LMM524296:LMM524298 LWI524296:LWI524298 MGE524296:MGE524298 MQA524296:MQA524298 MZW524296:MZW524298 NJS524296:NJS524298 NTO524296:NTO524298 ODK524296:ODK524298 ONG524296:ONG524298 OXC524296:OXC524298 PGY524296:PGY524298 PQU524296:PQU524298 QAQ524296:QAQ524298 QKM524296:QKM524298 QUI524296:QUI524298 REE524296:REE524298 ROA524296:ROA524298 RXW524296:RXW524298 SHS524296:SHS524298 SRO524296:SRO524298 TBK524296:TBK524298 TLG524296:TLG524298 TVC524296:TVC524298 UEY524296:UEY524298 UOU524296:UOU524298 UYQ524296:UYQ524298 VIM524296:VIM524298 VSI524296:VSI524298 WCE524296:WCE524298 WMA524296:WMA524298 WVW524296:WVW524298 O589832:O589834 JK589832:JK589834 TG589832:TG589834 ADC589832:ADC589834 AMY589832:AMY589834 AWU589832:AWU589834 BGQ589832:BGQ589834 BQM589832:BQM589834 CAI589832:CAI589834 CKE589832:CKE589834 CUA589832:CUA589834 DDW589832:DDW589834 DNS589832:DNS589834 DXO589832:DXO589834 EHK589832:EHK589834 ERG589832:ERG589834 FBC589832:FBC589834 FKY589832:FKY589834 FUU589832:FUU589834 GEQ589832:GEQ589834 GOM589832:GOM589834 GYI589832:GYI589834 HIE589832:HIE589834 HSA589832:HSA589834 IBW589832:IBW589834 ILS589832:ILS589834 IVO589832:IVO589834 JFK589832:JFK589834 JPG589832:JPG589834 JZC589832:JZC589834 KIY589832:KIY589834 KSU589832:KSU589834 LCQ589832:LCQ589834 LMM589832:LMM589834 LWI589832:LWI589834 MGE589832:MGE589834 MQA589832:MQA589834 MZW589832:MZW589834 NJS589832:NJS589834 NTO589832:NTO589834 ODK589832:ODK589834 ONG589832:ONG589834 OXC589832:OXC589834 PGY589832:PGY589834 PQU589832:PQU589834 QAQ589832:QAQ589834 QKM589832:QKM589834 QUI589832:QUI589834 REE589832:REE589834 ROA589832:ROA589834 RXW589832:RXW589834 SHS589832:SHS589834 SRO589832:SRO589834 TBK589832:TBK589834 TLG589832:TLG589834 TVC589832:TVC589834 UEY589832:UEY589834 UOU589832:UOU589834 UYQ589832:UYQ589834 VIM589832:VIM589834 VSI589832:VSI589834 WCE589832:WCE589834 WMA589832:WMA589834 WVW589832:WVW589834 O655368:O655370 JK655368:JK655370 TG655368:TG655370 ADC655368:ADC655370 AMY655368:AMY655370 AWU655368:AWU655370 BGQ655368:BGQ655370 BQM655368:BQM655370 CAI655368:CAI655370 CKE655368:CKE655370 CUA655368:CUA655370 DDW655368:DDW655370 DNS655368:DNS655370 DXO655368:DXO655370 EHK655368:EHK655370 ERG655368:ERG655370 FBC655368:FBC655370 FKY655368:FKY655370 FUU655368:FUU655370 GEQ655368:GEQ655370 GOM655368:GOM655370 GYI655368:GYI655370 HIE655368:HIE655370 HSA655368:HSA655370 IBW655368:IBW655370 ILS655368:ILS655370 IVO655368:IVO655370 JFK655368:JFK655370 JPG655368:JPG655370 JZC655368:JZC655370 KIY655368:KIY655370 KSU655368:KSU655370 LCQ655368:LCQ655370 LMM655368:LMM655370 LWI655368:LWI655370 MGE655368:MGE655370 MQA655368:MQA655370 MZW655368:MZW655370 NJS655368:NJS655370 NTO655368:NTO655370 ODK655368:ODK655370 ONG655368:ONG655370 OXC655368:OXC655370 PGY655368:PGY655370 PQU655368:PQU655370 QAQ655368:QAQ655370 QKM655368:QKM655370 QUI655368:QUI655370 REE655368:REE655370 ROA655368:ROA655370 RXW655368:RXW655370 SHS655368:SHS655370 SRO655368:SRO655370 TBK655368:TBK655370 TLG655368:TLG655370 TVC655368:TVC655370 UEY655368:UEY655370 UOU655368:UOU655370 UYQ655368:UYQ655370 VIM655368:VIM655370 VSI655368:VSI655370 WCE655368:WCE655370 WMA655368:WMA655370 WVW655368:WVW655370 O720904:O720906 JK720904:JK720906 TG720904:TG720906 ADC720904:ADC720906 AMY720904:AMY720906 AWU720904:AWU720906 BGQ720904:BGQ720906 BQM720904:BQM720906 CAI720904:CAI720906 CKE720904:CKE720906 CUA720904:CUA720906 DDW720904:DDW720906 DNS720904:DNS720906 DXO720904:DXO720906 EHK720904:EHK720906 ERG720904:ERG720906 FBC720904:FBC720906 FKY720904:FKY720906 FUU720904:FUU720906 GEQ720904:GEQ720906 GOM720904:GOM720906 GYI720904:GYI720906 HIE720904:HIE720906 HSA720904:HSA720906 IBW720904:IBW720906 ILS720904:ILS720906 IVO720904:IVO720906 JFK720904:JFK720906 JPG720904:JPG720906 JZC720904:JZC720906 KIY720904:KIY720906 KSU720904:KSU720906 LCQ720904:LCQ720906 LMM720904:LMM720906 LWI720904:LWI720906 MGE720904:MGE720906 MQA720904:MQA720906 MZW720904:MZW720906 NJS720904:NJS720906 NTO720904:NTO720906 ODK720904:ODK720906 ONG720904:ONG720906 OXC720904:OXC720906 PGY720904:PGY720906 PQU720904:PQU720906 QAQ720904:QAQ720906 QKM720904:QKM720906 QUI720904:QUI720906 REE720904:REE720906 ROA720904:ROA720906 RXW720904:RXW720906 SHS720904:SHS720906 SRO720904:SRO720906 TBK720904:TBK720906 TLG720904:TLG720906 TVC720904:TVC720906 UEY720904:UEY720906 UOU720904:UOU720906 UYQ720904:UYQ720906 VIM720904:VIM720906 VSI720904:VSI720906 WCE720904:WCE720906 WMA720904:WMA720906 WVW720904:WVW720906 O786440:O786442 JK786440:JK786442 TG786440:TG786442 ADC786440:ADC786442 AMY786440:AMY786442 AWU786440:AWU786442 BGQ786440:BGQ786442 BQM786440:BQM786442 CAI786440:CAI786442 CKE786440:CKE786442 CUA786440:CUA786442 DDW786440:DDW786442 DNS786440:DNS786442 DXO786440:DXO786442 EHK786440:EHK786442 ERG786440:ERG786442 FBC786440:FBC786442 FKY786440:FKY786442 FUU786440:FUU786442 GEQ786440:GEQ786442 GOM786440:GOM786442 GYI786440:GYI786442 HIE786440:HIE786442 HSA786440:HSA786442 IBW786440:IBW786442 ILS786440:ILS786442 IVO786440:IVO786442 JFK786440:JFK786442 JPG786440:JPG786442 JZC786440:JZC786442 KIY786440:KIY786442 KSU786440:KSU786442 LCQ786440:LCQ786442 LMM786440:LMM786442 LWI786440:LWI786442 MGE786440:MGE786442 MQA786440:MQA786442 MZW786440:MZW786442 NJS786440:NJS786442 NTO786440:NTO786442 ODK786440:ODK786442 ONG786440:ONG786442 OXC786440:OXC786442 PGY786440:PGY786442 PQU786440:PQU786442 QAQ786440:QAQ786442 QKM786440:QKM786442 QUI786440:QUI786442 REE786440:REE786442 ROA786440:ROA786442 RXW786440:RXW786442 SHS786440:SHS786442 SRO786440:SRO786442 TBK786440:TBK786442 TLG786440:TLG786442 TVC786440:TVC786442 UEY786440:UEY786442 UOU786440:UOU786442 UYQ786440:UYQ786442 VIM786440:VIM786442 VSI786440:VSI786442 WCE786440:WCE786442 WMA786440:WMA786442 WVW786440:WVW786442 O851976:O851978 JK851976:JK851978 TG851976:TG851978 ADC851976:ADC851978 AMY851976:AMY851978 AWU851976:AWU851978 BGQ851976:BGQ851978 BQM851976:BQM851978 CAI851976:CAI851978 CKE851976:CKE851978 CUA851976:CUA851978 DDW851976:DDW851978 DNS851976:DNS851978 DXO851976:DXO851978 EHK851976:EHK851978 ERG851976:ERG851978 FBC851976:FBC851978 FKY851976:FKY851978 FUU851976:FUU851978 GEQ851976:GEQ851978 GOM851976:GOM851978 GYI851976:GYI851978 HIE851976:HIE851978 HSA851976:HSA851978 IBW851976:IBW851978 ILS851976:ILS851978 IVO851976:IVO851978 JFK851976:JFK851978 JPG851976:JPG851978 JZC851976:JZC851978 KIY851976:KIY851978 KSU851976:KSU851978 LCQ851976:LCQ851978 LMM851976:LMM851978 LWI851976:LWI851978 MGE851976:MGE851978 MQA851976:MQA851978 MZW851976:MZW851978 NJS851976:NJS851978 NTO851976:NTO851978 ODK851976:ODK851978 ONG851976:ONG851978 OXC851976:OXC851978 PGY851976:PGY851978 PQU851976:PQU851978 QAQ851976:QAQ851978 QKM851976:QKM851978 QUI851976:QUI851978 REE851976:REE851978 ROA851976:ROA851978 RXW851976:RXW851978 SHS851976:SHS851978 SRO851976:SRO851978 TBK851976:TBK851978 TLG851976:TLG851978 TVC851976:TVC851978 UEY851976:UEY851978 UOU851976:UOU851978 UYQ851976:UYQ851978 VIM851976:VIM851978 VSI851976:VSI851978 WCE851976:WCE851978 WMA851976:WMA851978 WVW851976:WVW851978 O917512:O917514 JK917512:JK917514 TG917512:TG917514 ADC917512:ADC917514 AMY917512:AMY917514 AWU917512:AWU917514 BGQ917512:BGQ917514 BQM917512:BQM917514 CAI917512:CAI917514 CKE917512:CKE917514 CUA917512:CUA917514 DDW917512:DDW917514 DNS917512:DNS917514 DXO917512:DXO917514 EHK917512:EHK917514 ERG917512:ERG917514 FBC917512:FBC917514 FKY917512:FKY917514 FUU917512:FUU917514 GEQ917512:GEQ917514 GOM917512:GOM917514 GYI917512:GYI917514 HIE917512:HIE917514 HSA917512:HSA917514 IBW917512:IBW917514 ILS917512:ILS917514 IVO917512:IVO917514 JFK917512:JFK917514 JPG917512:JPG917514 JZC917512:JZC917514 KIY917512:KIY917514 KSU917512:KSU917514 LCQ917512:LCQ917514 LMM917512:LMM917514 LWI917512:LWI917514 MGE917512:MGE917514 MQA917512:MQA917514 MZW917512:MZW917514 NJS917512:NJS917514 NTO917512:NTO917514 ODK917512:ODK917514 ONG917512:ONG917514 OXC917512:OXC917514 PGY917512:PGY917514 PQU917512:PQU917514 QAQ917512:QAQ917514 QKM917512:QKM917514 QUI917512:QUI917514 REE917512:REE917514 ROA917512:ROA917514 RXW917512:RXW917514 SHS917512:SHS917514 SRO917512:SRO917514 TBK917512:TBK917514 TLG917512:TLG917514 TVC917512:TVC917514 UEY917512:UEY917514 UOU917512:UOU917514 UYQ917512:UYQ917514 VIM917512:VIM917514 VSI917512:VSI917514 WCE917512:WCE917514 WMA917512:WMA917514 WVW917512:WVW917514 O983048:O983050 JK983048:JK983050 TG983048:TG983050 ADC983048:ADC983050 AMY983048:AMY983050 AWU983048:AWU983050 BGQ983048:BGQ983050 BQM983048:BQM983050 CAI983048:CAI983050 CKE983048:CKE983050 CUA983048:CUA983050 DDW983048:DDW983050 DNS983048:DNS983050 DXO983048:DXO983050 EHK983048:EHK983050 ERG983048:ERG983050 FBC983048:FBC983050 FKY983048:FKY983050 FUU983048:FUU983050 GEQ983048:GEQ983050 GOM983048:GOM983050 GYI983048:GYI983050 HIE983048:HIE983050 HSA983048:HSA983050 IBW983048:IBW983050 ILS983048:ILS983050 IVO983048:IVO983050 JFK983048:JFK983050 JPG983048:JPG983050 JZC983048:JZC983050 KIY983048:KIY983050 KSU983048:KSU983050 LCQ983048:LCQ983050 LMM983048:LMM983050 LWI983048:LWI983050 MGE983048:MGE983050 MQA983048:MQA983050 MZW983048:MZW983050 NJS983048:NJS983050 NTO983048:NTO983050 ODK983048:ODK983050 ONG983048:ONG983050 OXC983048:OXC983050 PGY983048:PGY983050 PQU983048:PQU983050 QAQ983048:QAQ983050 QKM983048:QKM983050 QUI983048:QUI983050 REE983048:REE983050 ROA983048:ROA983050 RXW983048:RXW983050 SHS983048:SHS983050 SRO983048:SRO983050 TBK983048:TBK983050 TLG983048:TLG983050 TVC983048:TVC983050 UEY983048:UEY983050 UOU983048:UOU983050 UYQ983048:UYQ983050 VIM983048:VIM983050 VSI983048:VSI983050 WCE983048:WCE983050 WMA983048:WMA983050 WVW983048:WVW983050">
      <formula1>"Yes,No"</formula1>
    </dataValidation>
    <dataValidation type="list" allowBlank="1" showInputMessage="1" showErrorMessage="1" sqref="K13 JG13 TC13 ACY13 AMU13 AWQ13 BGM13 BQI13 CAE13 CKA13 CTW13 DDS13 DNO13 DXK13 EHG13 ERC13 FAY13 FKU13 FUQ13 GEM13 GOI13 GYE13 HIA13 HRW13 IBS13 ILO13 IVK13 JFG13 JPC13 JYY13 KIU13 KSQ13 LCM13 LMI13 LWE13 MGA13 MPW13 MZS13 NJO13 NTK13 ODG13 ONC13 OWY13 PGU13 PQQ13 QAM13 QKI13 QUE13 REA13 RNW13 RXS13 SHO13 SRK13 TBG13 TLC13 TUY13 UEU13 UOQ13 UYM13 VII13 VSE13 WCA13 WLW13 WVS13 K65549 JG65549 TC65549 ACY65549 AMU65549 AWQ65549 BGM65549 BQI65549 CAE65549 CKA65549 CTW65549 DDS65549 DNO65549 DXK65549 EHG65549 ERC65549 FAY65549 FKU65549 FUQ65549 GEM65549 GOI65549 GYE65549 HIA65549 HRW65549 IBS65549 ILO65549 IVK65549 JFG65549 JPC65549 JYY65549 KIU65549 KSQ65549 LCM65549 LMI65549 LWE65549 MGA65549 MPW65549 MZS65549 NJO65549 NTK65549 ODG65549 ONC65549 OWY65549 PGU65549 PQQ65549 QAM65549 QKI65549 QUE65549 REA65549 RNW65549 RXS65549 SHO65549 SRK65549 TBG65549 TLC65549 TUY65549 UEU65549 UOQ65549 UYM65549 VII65549 VSE65549 WCA65549 WLW65549 WVS65549 K131085 JG131085 TC131085 ACY131085 AMU131085 AWQ131085 BGM131085 BQI131085 CAE131085 CKA131085 CTW131085 DDS131085 DNO131085 DXK131085 EHG131085 ERC131085 FAY131085 FKU131085 FUQ131085 GEM131085 GOI131085 GYE131085 HIA131085 HRW131085 IBS131085 ILO131085 IVK131085 JFG131085 JPC131085 JYY131085 KIU131085 KSQ131085 LCM131085 LMI131085 LWE131085 MGA131085 MPW131085 MZS131085 NJO131085 NTK131085 ODG131085 ONC131085 OWY131085 PGU131085 PQQ131085 QAM131085 QKI131085 QUE131085 REA131085 RNW131085 RXS131085 SHO131085 SRK131085 TBG131085 TLC131085 TUY131085 UEU131085 UOQ131085 UYM131085 VII131085 VSE131085 WCA131085 WLW131085 WVS131085 K196621 JG196621 TC196621 ACY196621 AMU196621 AWQ196621 BGM196621 BQI196621 CAE196621 CKA196621 CTW196621 DDS196621 DNO196621 DXK196621 EHG196621 ERC196621 FAY196621 FKU196621 FUQ196621 GEM196621 GOI196621 GYE196621 HIA196621 HRW196621 IBS196621 ILO196621 IVK196621 JFG196621 JPC196621 JYY196621 KIU196621 KSQ196621 LCM196621 LMI196621 LWE196621 MGA196621 MPW196621 MZS196621 NJO196621 NTK196621 ODG196621 ONC196621 OWY196621 PGU196621 PQQ196621 QAM196621 QKI196621 QUE196621 REA196621 RNW196621 RXS196621 SHO196621 SRK196621 TBG196621 TLC196621 TUY196621 UEU196621 UOQ196621 UYM196621 VII196621 VSE196621 WCA196621 WLW196621 WVS196621 K262157 JG262157 TC262157 ACY262157 AMU262157 AWQ262157 BGM262157 BQI262157 CAE262157 CKA262157 CTW262157 DDS262157 DNO262157 DXK262157 EHG262157 ERC262157 FAY262157 FKU262157 FUQ262157 GEM262157 GOI262157 GYE262157 HIA262157 HRW262157 IBS262157 ILO262157 IVK262157 JFG262157 JPC262157 JYY262157 KIU262157 KSQ262157 LCM262157 LMI262157 LWE262157 MGA262157 MPW262157 MZS262157 NJO262157 NTK262157 ODG262157 ONC262157 OWY262157 PGU262157 PQQ262157 QAM262157 QKI262157 QUE262157 REA262157 RNW262157 RXS262157 SHO262157 SRK262157 TBG262157 TLC262157 TUY262157 UEU262157 UOQ262157 UYM262157 VII262157 VSE262157 WCA262157 WLW262157 WVS262157 K327693 JG327693 TC327693 ACY327693 AMU327693 AWQ327693 BGM327693 BQI327693 CAE327693 CKA327693 CTW327693 DDS327693 DNO327693 DXK327693 EHG327693 ERC327693 FAY327693 FKU327693 FUQ327693 GEM327693 GOI327693 GYE327693 HIA327693 HRW327693 IBS327693 ILO327693 IVK327693 JFG327693 JPC327693 JYY327693 KIU327693 KSQ327693 LCM327693 LMI327693 LWE327693 MGA327693 MPW327693 MZS327693 NJO327693 NTK327693 ODG327693 ONC327693 OWY327693 PGU327693 PQQ327693 QAM327693 QKI327693 QUE327693 REA327693 RNW327693 RXS327693 SHO327693 SRK327693 TBG327693 TLC327693 TUY327693 UEU327693 UOQ327693 UYM327693 VII327693 VSE327693 WCA327693 WLW327693 WVS327693 K393229 JG393229 TC393229 ACY393229 AMU393229 AWQ393229 BGM393229 BQI393229 CAE393229 CKA393229 CTW393229 DDS393229 DNO393229 DXK393229 EHG393229 ERC393229 FAY393229 FKU393229 FUQ393229 GEM393229 GOI393229 GYE393229 HIA393229 HRW393229 IBS393229 ILO393229 IVK393229 JFG393229 JPC393229 JYY393229 KIU393229 KSQ393229 LCM393229 LMI393229 LWE393229 MGA393229 MPW393229 MZS393229 NJO393229 NTK393229 ODG393229 ONC393229 OWY393229 PGU393229 PQQ393229 QAM393229 QKI393229 QUE393229 REA393229 RNW393229 RXS393229 SHO393229 SRK393229 TBG393229 TLC393229 TUY393229 UEU393229 UOQ393229 UYM393229 VII393229 VSE393229 WCA393229 WLW393229 WVS393229 K458765 JG458765 TC458765 ACY458765 AMU458765 AWQ458765 BGM458765 BQI458765 CAE458765 CKA458765 CTW458765 DDS458765 DNO458765 DXK458765 EHG458765 ERC458765 FAY458765 FKU458765 FUQ458765 GEM458765 GOI458765 GYE458765 HIA458765 HRW458765 IBS458765 ILO458765 IVK458765 JFG458765 JPC458765 JYY458765 KIU458765 KSQ458765 LCM458765 LMI458765 LWE458765 MGA458765 MPW458765 MZS458765 NJO458765 NTK458765 ODG458765 ONC458765 OWY458765 PGU458765 PQQ458765 QAM458765 QKI458765 QUE458765 REA458765 RNW458765 RXS458765 SHO458765 SRK458765 TBG458765 TLC458765 TUY458765 UEU458765 UOQ458765 UYM458765 VII458765 VSE458765 WCA458765 WLW458765 WVS458765 K524301 JG524301 TC524301 ACY524301 AMU524301 AWQ524301 BGM524301 BQI524301 CAE524301 CKA524301 CTW524301 DDS524301 DNO524301 DXK524301 EHG524301 ERC524301 FAY524301 FKU524301 FUQ524301 GEM524301 GOI524301 GYE524301 HIA524301 HRW524301 IBS524301 ILO524301 IVK524301 JFG524301 JPC524301 JYY524301 KIU524301 KSQ524301 LCM524301 LMI524301 LWE524301 MGA524301 MPW524301 MZS524301 NJO524301 NTK524301 ODG524301 ONC524301 OWY524301 PGU524301 PQQ524301 QAM524301 QKI524301 QUE524301 REA524301 RNW524301 RXS524301 SHO524301 SRK524301 TBG524301 TLC524301 TUY524301 UEU524301 UOQ524301 UYM524301 VII524301 VSE524301 WCA524301 WLW524301 WVS524301 K589837 JG589837 TC589837 ACY589837 AMU589837 AWQ589837 BGM589837 BQI589837 CAE589837 CKA589837 CTW589837 DDS589837 DNO589837 DXK589837 EHG589837 ERC589837 FAY589837 FKU589837 FUQ589837 GEM589837 GOI589837 GYE589837 HIA589837 HRW589837 IBS589837 ILO589837 IVK589837 JFG589837 JPC589837 JYY589837 KIU589837 KSQ589837 LCM589837 LMI589837 LWE589837 MGA589837 MPW589837 MZS589837 NJO589837 NTK589837 ODG589837 ONC589837 OWY589837 PGU589837 PQQ589837 QAM589837 QKI589837 QUE589837 REA589837 RNW589837 RXS589837 SHO589837 SRK589837 TBG589837 TLC589837 TUY589837 UEU589837 UOQ589837 UYM589837 VII589837 VSE589837 WCA589837 WLW589837 WVS589837 K655373 JG655373 TC655373 ACY655373 AMU655373 AWQ655373 BGM655373 BQI655373 CAE655373 CKA655373 CTW655373 DDS655373 DNO655373 DXK655373 EHG655373 ERC655373 FAY655373 FKU655373 FUQ655373 GEM655373 GOI655373 GYE655373 HIA655373 HRW655373 IBS655373 ILO655373 IVK655373 JFG655373 JPC655373 JYY655373 KIU655373 KSQ655373 LCM655373 LMI655373 LWE655373 MGA655373 MPW655373 MZS655373 NJO655373 NTK655373 ODG655373 ONC655373 OWY655373 PGU655373 PQQ655373 QAM655373 QKI655373 QUE655373 REA655373 RNW655373 RXS655373 SHO655373 SRK655373 TBG655373 TLC655373 TUY655373 UEU655373 UOQ655373 UYM655373 VII655373 VSE655373 WCA655373 WLW655373 WVS655373 K720909 JG720909 TC720909 ACY720909 AMU720909 AWQ720909 BGM720909 BQI720909 CAE720909 CKA720909 CTW720909 DDS720909 DNO720909 DXK720909 EHG720909 ERC720909 FAY720909 FKU720909 FUQ720909 GEM720909 GOI720909 GYE720909 HIA720909 HRW720909 IBS720909 ILO720909 IVK720909 JFG720909 JPC720909 JYY720909 KIU720909 KSQ720909 LCM720909 LMI720909 LWE720909 MGA720909 MPW720909 MZS720909 NJO720909 NTK720909 ODG720909 ONC720909 OWY720909 PGU720909 PQQ720909 QAM720909 QKI720909 QUE720909 REA720909 RNW720909 RXS720909 SHO720909 SRK720909 TBG720909 TLC720909 TUY720909 UEU720909 UOQ720909 UYM720909 VII720909 VSE720909 WCA720909 WLW720909 WVS720909 K786445 JG786445 TC786445 ACY786445 AMU786445 AWQ786445 BGM786445 BQI786445 CAE786445 CKA786445 CTW786445 DDS786445 DNO786445 DXK786445 EHG786445 ERC786445 FAY786445 FKU786445 FUQ786445 GEM786445 GOI786445 GYE786445 HIA786445 HRW786445 IBS786445 ILO786445 IVK786445 JFG786445 JPC786445 JYY786445 KIU786445 KSQ786445 LCM786445 LMI786445 LWE786445 MGA786445 MPW786445 MZS786445 NJO786445 NTK786445 ODG786445 ONC786445 OWY786445 PGU786445 PQQ786445 QAM786445 QKI786445 QUE786445 REA786445 RNW786445 RXS786445 SHO786445 SRK786445 TBG786445 TLC786445 TUY786445 UEU786445 UOQ786445 UYM786445 VII786445 VSE786445 WCA786445 WLW786445 WVS786445 K851981 JG851981 TC851981 ACY851981 AMU851981 AWQ851981 BGM851981 BQI851981 CAE851981 CKA851981 CTW851981 DDS851981 DNO851981 DXK851981 EHG851981 ERC851981 FAY851981 FKU851981 FUQ851981 GEM851981 GOI851981 GYE851981 HIA851981 HRW851981 IBS851981 ILO851981 IVK851981 JFG851981 JPC851981 JYY851981 KIU851981 KSQ851981 LCM851981 LMI851981 LWE851981 MGA851981 MPW851981 MZS851981 NJO851981 NTK851981 ODG851981 ONC851981 OWY851981 PGU851981 PQQ851981 QAM851981 QKI851981 QUE851981 REA851981 RNW851981 RXS851981 SHO851981 SRK851981 TBG851981 TLC851981 TUY851981 UEU851981 UOQ851981 UYM851981 VII851981 VSE851981 WCA851981 WLW851981 WVS851981 K917517 JG917517 TC917517 ACY917517 AMU917517 AWQ917517 BGM917517 BQI917517 CAE917517 CKA917517 CTW917517 DDS917517 DNO917517 DXK917517 EHG917517 ERC917517 FAY917517 FKU917517 FUQ917517 GEM917517 GOI917517 GYE917517 HIA917517 HRW917517 IBS917517 ILO917517 IVK917517 JFG917517 JPC917517 JYY917517 KIU917517 KSQ917517 LCM917517 LMI917517 LWE917517 MGA917517 MPW917517 MZS917517 NJO917517 NTK917517 ODG917517 ONC917517 OWY917517 PGU917517 PQQ917517 QAM917517 QKI917517 QUE917517 REA917517 RNW917517 RXS917517 SHO917517 SRK917517 TBG917517 TLC917517 TUY917517 UEU917517 UOQ917517 UYM917517 VII917517 VSE917517 WCA917517 WLW917517 WVS917517 K983053 JG983053 TC983053 ACY983053 AMU983053 AWQ983053 BGM983053 BQI983053 CAE983053 CKA983053 CTW983053 DDS983053 DNO983053 DXK983053 EHG983053 ERC983053 FAY983053 FKU983053 FUQ983053 GEM983053 GOI983053 GYE983053 HIA983053 HRW983053 IBS983053 ILO983053 IVK983053 JFG983053 JPC983053 JYY983053 KIU983053 KSQ983053 LCM983053 LMI983053 LWE983053 MGA983053 MPW983053 MZS983053 NJO983053 NTK983053 ODG983053 ONC983053 OWY983053 PGU983053 PQQ983053 QAM983053 QKI983053 QUE983053 REA983053 RNW983053 RXS983053 SHO983053 SRK983053 TBG983053 TLC983053 TUY983053 UEU983053 UOQ983053 UYM983053 VII983053 VSE983053 WCA983053 WLW983053 WVS983053">
      <formula1>"gm H2O, mL H2O"</formula1>
    </dataValidation>
    <dataValidation type="decimal" operator="greaterThanOrEqual" allowBlank="1" showInputMessage="1" showErrorMessage="1" sqref="L14:M20 JH14:JI20 TD14:TE20 ACZ14:ADA20 AMV14:AMW20 AWR14:AWS20 BGN14:BGO20 BQJ14:BQK20 CAF14:CAG20 CKB14:CKC20 CTX14:CTY20 DDT14:DDU20 DNP14:DNQ20 DXL14:DXM20 EHH14:EHI20 ERD14:ERE20 FAZ14:FBA20 FKV14:FKW20 FUR14:FUS20 GEN14:GEO20 GOJ14:GOK20 GYF14:GYG20 HIB14:HIC20 HRX14:HRY20 IBT14:IBU20 ILP14:ILQ20 IVL14:IVM20 JFH14:JFI20 JPD14:JPE20 JYZ14:JZA20 KIV14:KIW20 KSR14:KSS20 LCN14:LCO20 LMJ14:LMK20 LWF14:LWG20 MGB14:MGC20 MPX14:MPY20 MZT14:MZU20 NJP14:NJQ20 NTL14:NTM20 ODH14:ODI20 OND14:ONE20 OWZ14:OXA20 PGV14:PGW20 PQR14:PQS20 QAN14:QAO20 QKJ14:QKK20 QUF14:QUG20 REB14:REC20 RNX14:RNY20 RXT14:RXU20 SHP14:SHQ20 SRL14:SRM20 TBH14:TBI20 TLD14:TLE20 TUZ14:TVA20 UEV14:UEW20 UOR14:UOS20 UYN14:UYO20 VIJ14:VIK20 VSF14:VSG20 WCB14:WCC20 WLX14:WLY20 WVT14:WVU20 L65550:M65556 JH65550:JI65556 TD65550:TE65556 ACZ65550:ADA65556 AMV65550:AMW65556 AWR65550:AWS65556 BGN65550:BGO65556 BQJ65550:BQK65556 CAF65550:CAG65556 CKB65550:CKC65556 CTX65550:CTY65556 DDT65550:DDU65556 DNP65550:DNQ65556 DXL65550:DXM65556 EHH65550:EHI65556 ERD65550:ERE65556 FAZ65550:FBA65556 FKV65550:FKW65556 FUR65550:FUS65556 GEN65550:GEO65556 GOJ65550:GOK65556 GYF65550:GYG65556 HIB65550:HIC65556 HRX65550:HRY65556 IBT65550:IBU65556 ILP65550:ILQ65556 IVL65550:IVM65556 JFH65550:JFI65556 JPD65550:JPE65556 JYZ65550:JZA65556 KIV65550:KIW65556 KSR65550:KSS65556 LCN65550:LCO65556 LMJ65550:LMK65556 LWF65550:LWG65556 MGB65550:MGC65556 MPX65550:MPY65556 MZT65550:MZU65556 NJP65550:NJQ65556 NTL65550:NTM65556 ODH65550:ODI65556 OND65550:ONE65556 OWZ65550:OXA65556 PGV65550:PGW65556 PQR65550:PQS65556 QAN65550:QAO65556 QKJ65550:QKK65556 QUF65550:QUG65556 REB65550:REC65556 RNX65550:RNY65556 RXT65550:RXU65556 SHP65550:SHQ65556 SRL65550:SRM65556 TBH65550:TBI65556 TLD65550:TLE65556 TUZ65550:TVA65556 UEV65550:UEW65556 UOR65550:UOS65556 UYN65550:UYO65556 VIJ65550:VIK65556 VSF65550:VSG65556 WCB65550:WCC65556 WLX65550:WLY65556 WVT65550:WVU65556 L131086:M131092 JH131086:JI131092 TD131086:TE131092 ACZ131086:ADA131092 AMV131086:AMW131092 AWR131086:AWS131092 BGN131086:BGO131092 BQJ131086:BQK131092 CAF131086:CAG131092 CKB131086:CKC131092 CTX131086:CTY131092 DDT131086:DDU131092 DNP131086:DNQ131092 DXL131086:DXM131092 EHH131086:EHI131092 ERD131086:ERE131092 FAZ131086:FBA131092 FKV131086:FKW131092 FUR131086:FUS131092 GEN131086:GEO131092 GOJ131086:GOK131092 GYF131086:GYG131092 HIB131086:HIC131092 HRX131086:HRY131092 IBT131086:IBU131092 ILP131086:ILQ131092 IVL131086:IVM131092 JFH131086:JFI131092 JPD131086:JPE131092 JYZ131086:JZA131092 KIV131086:KIW131092 KSR131086:KSS131092 LCN131086:LCO131092 LMJ131086:LMK131092 LWF131086:LWG131092 MGB131086:MGC131092 MPX131086:MPY131092 MZT131086:MZU131092 NJP131086:NJQ131092 NTL131086:NTM131092 ODH131086:ODI131092 OND131086:ONE131092 OWZ131086:OXA131092 PGV131086:PGW131092 PQR131086:PQS131092 QAN131086:QAO131092 QKJ131086:QKK131092 QUF131086:QUG131092 REB131086:REC131092 RNX131086:RNY131092 RXT131086:RXU131092 SHP131086:SHQ131092 SRL131086:SRM131092 TBH131086:TBI131092 TLD131086:TLE131092 TUZ131086:TVA131092 UEV131086:UEW131092 UOR131086:UOS131092 UYN131086:UYO131092 VIJ131086:VIK131092 VSF131086:VSG131092 WCB131086:WCC131092 WLX131086:WLY131092 WVT131086:WVU131092 L196622:M196628 JH196622:JI196628 TD196622:TE196628 ACZ196622:ADA196628 AMV196622:AMW196628 AWR196622:AWS196628 BGN196622:BGO196628 BQJ196622:BQK196628 CAF196622:CAG196628 CKB196622:CKC196628 CTX196622:CTY196628 DDT196622:DDU196628 DNP196622:DNQ196628 DXL196622:DXM196628 EHH196622:EHI196628 ERD196622:ERE196628 FAZ196622:FBA196628 FKV196622:FKW196628 FUR196622:FUS196628 GEN196622:GEO196628 GOJ196622:GOK196628 GYF196622:GYG196628 HIB196622:HIC196628 HRX196622:HRY196628 IBT196622:IBU196628 ILP196622:ILQ196628 IVL196622:IVM196628 JFH196622:JFI196628 JPD196622:JPE196628 JYZ196622:JZA196628 KIV196622:KIW196628 KSR196622:KSS196628 LCN196622:LCO196628 LMJ196622:LMK196628 LWF196622:LWG196628 MGB196622:MGC196628 MPX196622:MPY196628 MZT196622:MZU196628 NJP196622:NJQ196628 NTL196622:NTM196628 ODH196622:ODI196628 OND196622:ONE196628 OWZ196622:OXA196628 PGV196622:PGW196628 PQR196622:PQS196628 QAN196622:QAO196628 QKJ196622:QKK196628 QUF196622:QUG196628 REB196622:REC196628 RNX196622:RNY196628 RXT196622:RXU196628 SHP196622:SHQ196628 SRL196622:SRM196628 TBH196622:TBI196628 TLD196622:TLE196628 TUZ196622:TVA196628 UEV196622:UEW196628 UOR196622:UOS196628 UYN196622:UYO196628 VIJ196622:VIK196628 VSF196622:VSG196628 WCB196622:WCC196628 WLX196622:WLY196628 WVT196622:WVU196628 L262158:M262164 JH262158:JI262164 TD262158:TE262164 ACZ262158:ADA262164 AMV262158:AMW262164 AWR262158:AWS262164 BGN262158:BGO262164 BQJ262158:BQK262164 CAF262158:CAG262164 CKB262158:CKC262164 CTX262158:CTY262164 DDT262158:DDU262164 DNP262158:DNQ262164 DXL262158:DXM262164 EHH262158:EHI262164 ERD262158:ERE262164 FAZ262158:FBA262164 FKV262158:FKW262164 FUR262158:FUS262164 GEN262158:GEO262164 GOJ262158:GOK262164 GYF262158:GYG262164 HIB262158:HIC262164 HRX262158:HRY262164 IBT262158:IBU262164 ILP262158:ILQ262164 IVL262158:IVM262164 JFH262158:JFI262164 JPD262158:JPE262164 JYZ262158:JZA262164 KIV262158:KIW262164 KSR262158:KSS262164 LCN262158:LCO262164 LMJ262158:LMK262164 LWF262158:LWG262164 MGB262158:MGC262164 MPX262158:MPY262164 MZT262158:MZU262164 NJP262158:NJQ262164 NTL262158:NTM262164 ODH262158:ODI262164 OND262158:ONE262164 OWZ262158:OXA262164 PGV262158:PGW262164 PQR262158:PQS262164 QAN262158:QAO262164 QKJ262158:QKK262164 QUF262158:QUG262164 REB262158:REC262164 RNX262158:RNY262164 RXT262158:RXU262164 SHP262158:SHQ262164 SRL262158:SRM262164 TBH262158:TBI262164 TLD262158:TLE262164 TUZ262158:TVA262164 UEV262158:UEW262164 UOR262158:UOS262164 UYN262158:UYO262164 VIJ262158:VIK262164 VSF262158:VSG262164 WCB262158:WCC262164 WLX262158:WLY262164 WVT262158:WVU262164 L327694:M327700 JH327694:JI327700 TD327694:TE327700 ACZ327694:ADA327700 AMV327694:AMW327700 AWR327694:AWS327700 BGN327694:BGO327700 BQJ327694:BQK327700 CAF327694:CAG327700 CKB327694:CKC327700 CTX327694:CTY327700 DDT327694:DDU327700 DNP327694:DNQ327700 DXL327694:DXM327700 EHH327694:EHI327700 ERD327694:ERE327700 FAZ327694:FBA327700 FKV327694:FKW327700 FUR327694:FUS327700 GEN327694:GEO327700 GOJ327694:GOK327700 GYF327694:GYG327700 HIB327694:HIC327700 HRX327694:HRY327700 IBT327694:IBU327700 ILP327694:ILQ327700 IVL327694:IVM327700 JFH327694:JFI327700 JPD327694:JPE327700 JYZ327694:JZA327700 KIV327694:KIW327700 KSR327694:KSS327700 LCN327694:LCO327700 LMJ327694:LMK327700 LWF327694:LWG327700 MGB327694:MGC327700 MPX327694:MPY327700 MZT327694:MZU327700 NJP327694:NJQ327700 NTL327694:NTM327700 ODH327694:ODI327700 OND327694:ONE327700 OWZ327694:OXA327700 PGV327694:PGW327700 PQR327694:PQS327700 QAN327694:QAO327700 QKJ327694:QKK327700 QUF327694:QUG327700 REB327694:REC327700 RNX327694:RNY327700 RXT327694:RXU327700 SHP327694:SHQ327700 SRL327694:SRM327700 TBH327694:TBI327700 TLD327694:TLE327700 TUZ327694:TVA327700 UEV327694:UEW327700 UOR327694:UOS327700 UYN327694:UYO327700 VIJ327694:VIK327700 VSF327694:VSG327700 WCB327694:WCC327700 WLX327694:WLY327700 WVT327694:WVU327700 L393230:M393236 JH393230:JI393236 TD393230:TE393236 ACZ393230:ADA393236 AMV393230:AMW393236 AWR393230:AWS393236 BGN393230:BGO393236 BQJ393230:BQK393236 CAF393230:CAG393236 CKB393230:CKC393236 CTX393230:CTY393236 DDT393230:DDU393236 DNP393230:DNQ393236 DXL393230:DXM393236 EHH393230:EHI393236 ERD393230:ERE393236 FAZ393230:FBA393236 FKV393230:FKW393236 FUR393230:FUS393236 GEN393230:GEO393236 GOJ393230:GOK393236 GYF393230:GYG393236 HIB393230:HIC393236 HRX393230:HRY393236 IBT393230:IBU393236 ILP393230:ILQ393236 IVL393230:IVM393236 JFH393230:JFI393236 JPD393230:JPE393236 JYZ393230:JZA393236 KIV393230:KIW393236 KSR393230:KSS393236 LCN393230:LCO393236 LMJ393230:LMK393236 LWF393230:LWG393236 MGB393230:MGC393236 MPX393230:MPY393236 MZT393230:MZU393236 NJP393230:NJQ393236 NTL393230:NTM393236 ODH393230:ODI393236 OND393230:ONE393236 OWZ393230:OXA393236 PGV393230:PGW393236 PQR393230:PQS393236 QAN393230:QAO393236 QKJ393230:QKK393236 QUF393230:QUG393236 REB393230:REC393236 RNX393230:RNY393236 RXT393230:RXU393236 SHP393230:SHQ393236 SRL393230:SRM393236 TBH393230:TBI393236 TLD393230:TLE393236 TUZ393230:TVA393236 UEV393230:UEW393236 UOR393230:UOS393236 UYN393230:UYO393236 VIJ393230:VIK393236 VSF393230:VSG393236 WCB393230:WCC393236 WLX393230:WLY393236 WVT393230:WVU393236 L458766:M458772 JH458766:JI458772 TD458766:TE458772 ACZ458766:ADA458772 AMV458766:AMW458772 AWR458766:AWS458772 BGN458766:BGO458772 BQJ458766:BQK458772 CAF458766:CAG458772 CKB458766:CKC458772 CTX458766:CTY458772 DDT458766:DDU458772 DNP458766:DNQ458772 DXL458766:DXM458772 EHH458766:EHI458772 ERD458766:ERE458772 FAZ458766:FBA458772 FKV458766:FKW458772 FUR458766:FUS458772 GEN458766:GEO458772 GOJ458766:GOK458772 GYF458766:GYG458772 HIB458766:HIC458772 HRX458766:HRY458772 IBT458766:IBU458772 ILP458766:ILQ458772 IVL458766:IVM458772 JFH458766:JFI458772 JPD458766:JPE458772 JYZ458766:JZA458772 KIV458766:KIW458772 KSR458766:KSS458772 LCN458766:LCO458772 LMJ458766:LMK458772 LWF458766:LWG458772 MGB458766:MGC458772 MPX458766:MPY458772 MZT458766:MZU458772 NJP458766:NJQ458772 NTL458766:NTM458772 ODH458766:ODI458772 OND458766:ONE458772 OWZ458766:OXA458772 PGV458766:PGW458772 PQR458766:PQS458772 QAN458766:QAO458772 QKJ458766:QKK458772 QUF458766:QUG458772 REB458766:REC458772 RNX458766:RNY458772 RXT458766:RXU458772 SHP458766:SHQ458772 SRL458766:SRM458772 TBH458766:TBI458772 TLD458766:TLE458772 TUZ458766:TVA458772 UEV458766:UEW458772 UOR458766:UOS458772 UYN458766:UYO458772 VIJ458766:VIK458772 VSF458766:VSG458772 WCB458766:WCC458772 WLX458766:WLY458772 WVT458766:WVU458772 L524302:M524308 JH524302:JI524308 TD524302:TE524308 ACZ524302:ADA524308 AMV524302:AMW524308 AWR524302:AWS524308 BGN524302:BGO524308 BQJ524302:BQK524308 CAF524302:CAG524308 CKB524302:CKC524308 CTX524302:CTY524308 DDT524302:DDU524308 DNP524302:DNQ524308 DXL524302:DXM524308 EHH524302:EHI524308 ERD524302:ERE524308 FAZ524302:FBA524308 FKV524302:FKW524308 FUR524302:FUS524308 GEN524302:GEO524308 GOJ524302:GOK524308 GYF524302:GYG524308 HIB524302:HIC524308 HRX524302:HRY524308 IBT524302:IBU524308 ILP524302:ILQ524308 IVL524302:IVM524308 JFH524302:JFI524308 JPD524302:JPE524308 JYZ524302:JZA524308 KIV524302:KIW524308 KSR524302:KSS524308 LCN524302:LCO524308 LMJ524302:LMK524308 LWF524302:LWG524308 MGB524302:MGC524308 MPX524302:MPY524308 MZT524302:MZU524308 NJP524302:NJQ524308 NTL524302:NTM524308 ODH524302:ODI524308 OND524302:ONE524308 OWZ524302:OXA524308 PGV524302:PGW524308 PQR524302:PQS524308 QAN524302:QAO524308 QKJ524302:QKK524308 QUF524302:QUG524308 REB524302:REC524308 RNX524302:RNY524308 RXT524302:RXU524308 SHP524302:SHQ524308 SRL524302:SRM524308 TBH524302:TBI524308 TLD524302:TLE524308 TUZ524302:TVA524308 UEV524302:UEW524308 UOR524302:UOS524308 UYN524302:UYO524308 VIJ524302:VIK524308 VSF524302:VSG524308 WCB524302:WCC524308 WLX524302:WLY524308 WVT524302:WVU524308 L589838:M589844 JH589838:JI589844 TD589838:TE589844 ACZ589838:ADA589844 AMV589838:AMW589844 AWR589838:AWS589844 BGN589838:BGO589844 BQJ589838:BQK589844 CAF589838:CAG589844 CKB589838:CKC589844 CTX589838:CTY589844 DDT589838:DDU589844 DNP589838:DNQ589844 DXL589838:DXM589844 EHH589838:EHI589844 ERD589838:ERE589844 FAZ589838:FBA589844 FKV589838:FKW589844 FUR589838:FUS589844 GEN589838:GEO589844 GOJ589838:GOK589844 GYF589838:GYG589844 HIB589838:HIC589844 HRX589838:HRY589844 IBT589838:IBU589844 ILP589838:ILQ589844 IVL589838:IVM589844 JFH589838:JFI589844 JPD589838:JPE589844 JYZ589838:JZA589844 KIV589838:KIW589844 KSR589838:KSS589844 LCN589838:LCO589844 LMJ589838:LMK589844 LWF589838:LWG589844 MGB589838:MGC589844 MPX589838:MPY589844 MZT589838:MZU589844 NJP589838:NJQ589844 NTL589838:NTM589844 ODH589838:ODI589844 OND589838:ONE589844 OWZ589838:OXA589844 PGV589838:PGW589844 PQR589838:PQS589844 QAN589838:QAO589844 QKJ589838:QKK589844 QUF589838:QUG589844 REB589838:REC589844 RNX589838:RNY589844 RXT589838:RXU589844 SHP589838:SHQ589844 SRL589838:SRM589844 TBH589838:TBI589844 TLD589838:TLE589844 TUZ589838:TVA589844 UEV589838:UEW589844 UOR589838:UOS589844 UYN589838:UYO589844 VIJ589838:VIK589844 VSF589838:VSG589844 WCB589838:WCC589844 WLX589838:WLY589844 WVT589838:WVU589844 L655374:M655380 JH655374:JI655380 TD655374:TE655380 ACZ655374:ADA655380 AMV655374:AMW655380 AWR655374:AWS655380 BGN655374:BGO655380 BQJ655374:BQK655380 CAF655374:CAG655380 CKB655374:CKC655380 CTX655374:CTY655380 DDT655374:DDU655380 DNP655374:DNQ655380 DXL655374:DXM655380 EHH655374:EHI655380 ERD655374:ERE655380 FAZ655374:FBA655380 FKV655374:FKW655380 FUR655374:FUS655380 GEN655374:GEO655380 GOJ655374:GOK655380 GYF655374:GYG655380 HIB655374:HIC655380 HRX655374:HRY655380 IBT655374:IBU655380 ILP655374:ILQ655380 IVL655374:IVM655380 JFH655374:JFI655380 JPD655374:JPE655380 JYZ655374:JZA655380 KIV655374:KIW655380 KSR655374:KSS655380 LCN655374:LCO655380 LMJ655374:LMK655380 LWF655374:LWG655380 MGB655374:MGC655380 MPX655374:MPY655380 MZT655374:MZU655380 NJP655374:NJQ655380 NTL655374:NTM655380 ODH655374:ODI655380 OND655374:ONE655380 OWZ655374:OXA655380 PGV655374:PGW655380 PQR655374:PQS655380 QAN655374:QAO655380 QKJ655374:QKK655380 QUF655374:QUG655380 REB655374:REC655380 RNX655374:RNY655380 RXT655374:RXU655380 SHP655374:SHQ655380 SRL655374:SRM655380 TBH655374:TBI655380 TLD655374:TLE655380 TUZ655374:TVA655380 UEV655374:UEW655380 UOR655374:UOS655380 UYN655374:UYO655380 VIJ655374:VIK655380 VSF655374:VSG655380 WCB655374:WCC655380 WLX655374:WLY655380 WVT655374:WVU655380 L720910:M720916 JH720910:JI720916 TD720910:TE720916 ACZ720910:ADA720916 AMV720910:AMW720916 AWR720910:AWS720916 BGN720910:BGO720916 BQJ720910:BQK720916 CAF720910:CAG720916 CKB720910:CKC720916 CTX720910:CTY720916 DDT720910:DDU720916 DNP720910:DNQ720916 DXL720910:DXM720916 EHH720910:EHI720916 ERD720910:ERE720916 FAZ720910:FBA720916 FKV720910:FKW720916 FUR720910:FUS720916 GEN720910:GEO720916 GOJ720910:GOK720916 GYF720910:GYG720916 HIB720910:HIC720916 HRX720910:HRY720916 IBT720910:IBU720916 ILP720910:ILQ720916 IVL720910:IVM720916 JFH720910:JFI720916 JPD720910:JPE720916 JYZ720910:JZA720916 KIV720910:KIW720916 KSR720910:KSS720916 LCN720910:LCO720916 LMJ720910:LMK720916 LWF720910:LWG720916 MGB720910:MGC720916 MPX720910:MPY720916 MZT720910:MZU720916 NJP720910:NJQ720916 NTL720910:NTM720916 ODH720910:ODI720916 OND720910:ONE720916 OWZ720910:OXA720916 PGV720910:PGW720916 PQR720910:PQS720916 QAN720910:QAO720916 QKJ720910:QKK720916 QUF720910:QUG720916 REB720910:REC720916 RNX720910:RNY720916 RXT720910:RXU720916 SHP720910:SHQ720916 SRL720910:SRM720916 TBH720910:TBI720916 TLD720910:TLE720916 TUZ720910:TVA720916 UEV720910:UEW720916 UOR720910:UOS720916 UYN720910:UYO720916 VIJ720910:VIK720916 VSF720910:VSG720916 WCB720910:WCC720916 WLX720910:WLY720916 WVT720910:WVU720916 L786446:M786452 JH786446:JI786452 TD786446:TE786452 ACZ786446:ADA786452 AMV786446:AMW786452 AWR786446:AWS786452 BGN786446:BGO786452 BQJ786446:BQK786452 CAF786446:CAG786452 CKB786446:CKC786452 CTX786446:CTY786452 DDT786446:DDU786452 DNP786446:DNQ786452 DXL786446:DXM786452 EHH786446:EHI786452 ERD786446:ERE786452 FAZ786446:FBA786452 FKV786446:FKW786452 FUR786446:FUS786452 GEN786446:GEO786452 GOJ786446:GOK786452 GYF786446:GYG786452 HIB786446:HIC786452 HRX786446:HRY786452 IBT786446:IBU786452 ILP786446:ILQ786452 IVL786446:IVM786452 JFH786446:JFI786452 JPD786446:JPE786452 JYZ786446:JZA786452 KIV786446:KIW786452 KSR786446:KSS786452 LCN786446:LCO786452 LMJ786446:LMK786452 LWF786446:LWG786452 MGB786446:MGC786452 MPX786446:MPY786452 MZT786446:MZU786452 NJP786446:NJQ786452 NTL786446:NTM786452 ODH786446:ODI786452 OND786446:ONE786452 OWZ786446:OXA786452 PGV786446:PGW786452 PQR786446:PQS786452 QAN786446:QAO786452 QKJ786446:QKK786452 QUF786446:QUG786452 REB786446:REC786452 RNX786446:RNY786452 RXT786446:RXU786452 SHP786446:SHQ786452 SRL786446:SRM786452 TBH786446:TBI786452 TLD786446:TLE786452 TUZ786446:TVA786452 UEV786446:UEW786452 UOR786446:UOS786452 UYN786446:UYO786452 VIJ786446:VIK786452 VSF786446:VSG786452 WCB786446:WCC786452 WLX786446:WLY786452 WVT786446:WVU786452 L851982:M851988 JH851982:JI851988 TD851982:TE851988 ACZ851982:ADA851988 AMV851982:AMW851988 AWR851982:AWS851988 BGN851982:BGO851988 BQJ851982:BQK851988 CAF851982:CAG851988 CKB851982:CKC851988 CTX851982:CTY851988 DDT851982:DDU851988 DNP851982:DNQ851988 DXL851982:DXM851988 EHH851982:EHI851988 ERD851982:ERE851988 FAZ851982:FBA851988 FKV851982:FKW851988 FUR851982:FUS851988 GEN851982:GEO851988 GOJ851982:GOK851988 GYF851982:GYG851988 HIB851982:HIC851988 HRX851982:HRY851988 IBT851982:IBU851988 ILP851982:ILQ851988 IVL851982:IVM851988 JFH851982:JFI851988 JPD851982:JPE851988 JYZ851982:JZA851988 KIV851982:KIW851988 KSR851982:KSS851988 LCN851982:LCO851988 LMJ851982:LMK851988 LWF851982:LWG851988 MGB851982:MGC851988 MPX851982:MPY851988 MZT851982:MZU851988 NJP851982:NJQ851988 NTL851982:NTM851988 ODH851982:ODI851988 OND851982:ONE851988 OWZ851982:OXA851988 PGV851982:PGW851988 PQR851982:PQS851988 QAN851982:QAO851988 QKJ851982:QKK851988 QUF851982:QUG851988 REB851982:REC851988 RNX851982:RNY851988 RXT851982:RXU851988 SHP851982:SHQ851988 SRL851982:SRM851988 TBH851982:TBI851988 TLD851982:TLE851988 TUZ851982:TVA851988 UEV851982:UEW851988 UOR851982:UOS851988 UYN851982:UYO851988 VIJ851982:VIK851988 VSF851982:VSG851988 WCB851982:WCC851988 WLX851982:WLY851988 WVT851982:WVU851988 L917518:M917524 JH917518:JI917524 TD917518:TE917524 ACZ917518:ADA917524 AMV917518:AMW917524 AWR917518:AWS917524 BGN917518:BGO917524 BQJ917518:BQK917524 CAF917518:CAG917524 CKB917518:CKC917524 CTX917518:CTY917524 DDT917518:DDU917524 DNP917518:DNQ917524 DXL917518:DXM917524 EHH917518:EHI917524 ERD917518:ERE917524 FAZ917518:FBA917524 FKV917518:FKW917524 FUR917518:FUS917524 GEN917518:GEO917524 GOJ917518:GOK917524 GYF917518:GYG917524 HIB917518:HIC917524 HRX917518:HRY917524 IBT917518:IBU917524 ILP917518:ILQ917524 IVL917518:IVM917524 JFH917518:JFI917524 JPD917518:JPE917524 JYZ917518:JZA917524 KIV917518:KIW917524 KSR917518:KSS917524 LCN917518:LCO917524 LMJ917518:LMK917524 LWF917518:LWG917524 MGB917518:MGC917524 MPX917518:MPY917524 MZT917518:MZU917524 NJP917518:NJQ917524 NTL917518:NTM917524 ODH917518:ODI917524 OND917518:ONE917524 OWZ917518:OXA917524 PGV917518:PGW917524 PQR917518:PQS917524 QAN917518:QAO917524 QKJ917518:QKK917524 QUF917518:QUG917524 REB917518:REC917524 RNX917518:RNY917524 RXT917518:RXU917524 SHP917518:SHQ917524 SRL917518:SRM917524 TBH917518:TBI917524 TLD917518:TLE917524 TUZ917518:TVA917524 UEV917518:UEW917524 UOR917518:UOS917524 UYN917518:UYO917524 VIJ917518:VIK917524 VSF917518:VSG917524 WCB917518:WCC917524 WLX917518:WLY917524 WVT917518:WVU917524 L983054:M983060 JH983054:JI983060 TD983054:TE983060 ACZ983054:ADA983060 AMV983054:AMW983060 AWR983054:AWS983060 BGN983054:BGO983060 BQJ983054:BQK983060 CAF983054:CAG983060 CKB983054:CKC983060 CTX983054:CTY983060 DDT983054:DDU983060 DNP983054:DNQ983060 DXL983054:DXM983060 EHH983054:EHI983060 ERD983054:ERE983060 FAZ983054:FBA983060 FKV983054:FKW983060 FUR983054:FUS983060 GEN983054:GEO983060 GOJ983054:GOK983060 GYF983054:GYG983060 HIB983054:HIC983060 HRX983054:HRY983060 IBT983054:IBU983060 ILP983054:ILQ983060 IVL983054:IVM983060 JFH983054:JFI983060 JPD983054:JPE983060 JYZ983054:JZA983060 KIV983054:KIW983060 KSR983054:KSS983060 LCN983054:LCO983060 LMJ983054:LMK983060 LWF983054:LWG983060 MGB983054:MGC983060 MPX983054:MPY983060 MZT983054:MZU983060 NJP983054:NJQ983060 NTL983054:NTM983060 ODH983054:ODI983060 OND983054:ONE983060 OWZ983054:OXA983060 PGV983054:PGW983060 PQR983054:PQS983060 QAN983054:QAO983060 QKJ983054:QKK983060 QUF983054:QUG983060 REB983054:REC983060 RNX983054:RNY983060 RXT983054:RXU983060 SHP983054:SHQ983060 SRL983054:SRM983060 TBH983054:TBI983060 TLD983054:TLE983060 TUZ983054:TVA983060 UEV983054:UEW983060 UOR983054:UOS983060 UYN983054:UYO983060 VIJ983054:VIK983060 VSF983054:VSG983060 WCB983054:WCC983060 WLX983054:WLY983060 WVT983054:WVU983060">
      <formula1>0</formula1>
    </dataValidation>
  </dataValidations>
  <pageMargins left="0.45" right="0.45" top="0.5" bottom="0.5" header="0.3" footer="0.3"/>
  <pageSetup scale="55" orientation="landscape"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10"/>
  <sheetViews>
    <sheetView topLeftCell="AU1" workbookViewId="0">
      <selection activeCell="AQ4" sqref="AQ4"/>
    </sheetView>
  </sheetViews>
  <sheetFormatPr defaultRowHeight="12.75" x14ac:dyDescent="0.2"/>
  <cols>
    <col min="1" max="39" width="8.88671875" style="419"/>
    <col min="40" max="40" width="6.109375" style="419" customWidth="1"/>
    <col min="41" max="16384" width="8.88671875" style="419"/>
  </cols>
  <sheetData>
    <row r="1" spans="1:59" x14ac:dyDescent="0.2">
      <c r="A1" s="420" t="s">
        <v>417</v>
      </c>
      <c r="B1" s="420" t="s">
        <v>416</v>
      </c>
      <c r="C1" s="420" t="s">
        <v>415</v>
      </c>
      <c r="D1" s="420" t="s">
        <v>414</v>
      </c>
      <c r="E1" s="420" t="s">
        <v>413</v>
      </c>
      <c r="F1" s="420" t="s">
        <v>412</v>
      </c>
      <c r="G1" s="420" t="s">
        <v>411</v>
      </c>
      <c r="H1" s="420" t="s">
        <v>410</v>
      </c>
      <c r="I1" s="420" t="s">
        <v>409</v>
      </c>
      <c r="J1" s="420" t="s">
        <v>408</v>
      </c>
      <c r="K1" s="420" t="s">
        <v>407</v>
      </c>
      <c r="L1" s="420" t="s">
        <v>406</v>
      </c>
      <c r="M1" s="420" t="s">
        <v>405</v>
      </c>
      <c r="N1" s="420" t="s">
        <v>404</v>
      </c>
      <c r="O1" s="420" t="s">
        <v>403</v>
      </c>
      <c r="P1" s="420" t="s">
        <v>402</v>
      </c>
      <c r="Q1" s="420" t="s">
        <v>401</v>
      </c>
      <c r="R1" s="420" t="s">
        <v>400</v>
      </c>
      <c r="S1" s="420" t="s">
        <v>399</v>
      </c>
      <c r="T1" s="420" t="s">
        <v>398</v>
      </c>
      <c r="U1" s="420" t="s">
        <v>397</v>
      </c>
      <c r="V1" s="420" t="s">
        <v>396</v>
      </c>
      <c r="W1" s="420" t="s">
        <v>395</v>
      </c>
      <c r="X1" s="420" t="s">
        <v>394</v>
      </c>
      <c r="Y1" s="420" t="s">
        <v>393</v>
      </c>
      <c r="Z1" s="422" t="s">
        <v>392</v>
      </c>
      <c r="AA1" s="420" t="s">
        <v>391</v>
      </c>
      <c r="AB1" s="420" t="s">
        <v>390</v>
      </c>
      <c r="AC1" s="420" t="s">
        <v>389</v>
      </c>
      <c r="AD1" s="420" t="s">
        <v>388</v>
      </c>
      <c r="AE1" s="420" t="s">
        <v>387</v>
      </c>
      <c r="AF1" s="420" t="s">
        <v>386</v>
      </c>
      <c r="AG1" s="420" t="s">
        <v>385</v>
      </c>
      <c r="AH1" s="420" t="s">
        <v>384</v>
      </c>
      <c r="AI1" s="420" t="s">
        <v>383</v>
      </c>
      <c r="AJ1" s="420" t="s">
        <v>382</v>
      </c>
      <c r="AK1" s="420" t="s">
        <v>381</v>
      </c>
      <c r="AL1" s="420" t="s">
        <v>380</v>
      </c>
      <c r="AM1" s="420" t="s">
        <v>379</v>
      </c>
      <c r="AN1" s="420" t="s">
        <v>378</v>
      </c>
      <c r="AO1" s="420" t="s">
        <v>377</v>
      </c>
      <c r="AP1" s="420" t="s">
        <v>376</v>
      </c>
      <c r="AQ1" s="420" t="s">
        <v>375</v>
      </c>
      <c r="AR1" s="419" t="s">
        <v>374</v>
      </c>
      <c r="AS1" s="419" t="s">
        <v>373</v>
      </c>
      <c r="AT1" s="419" t="s">
        <v>372</v>
      </c>
      <c r="AU1" s="419" t="s">
        <v>371</v>
      </c>
      <c r="AV1" s="419" t="s">
        <v>370</v>
      </c>
      <c r="AW1" s="419" t="s">
        <v>369</v>
      </c>
      <c r="AX1" s="419" t="s">
        <v>368</v>
      </c>
      <c r="AY1" s="419" t="s">
        <v>367</v>
      </c>
      <c r="AZ1" s="419" t="s">
        <v>366</v>
      </c>
      <c r="BA1" s="419" t="s">
        <v>365</v>
      </c>
      <c r="BB1" s="419" t="s">
        <v>364</v>
      </c>
      <c r="BC1" s="419" t="s">
        <v>363</v>
      </c>
      <c r="BD1" s="419" t="s">
        <v>362</v>
      </c>
      <c r="BE1" s="419" t="s">
        <v>361</v>
      </c>
      <c r="BF1" s="419" t="s">
        <v>360</v>
      </c>
      <c r="BG1" s="419" t="s">
        <v>359</v>
      </c>
    </row>
    <row r="2" spans="1:59" x14ac:dyDescent="0.2">
      <c r="A2" s="420">
        <f>'Data Sheet 1'!D$5</f>
        <v>1</v>
      </c>
      <c r="B2" s="420">
        <f>'Data Sheet 1'!D$6</f>
        <v>41855</v>
      </c>
      <c r="C2" s="420" t="str">
        <f>'Data Sheet 1'!G$6</f>
        <v>BB019012.0000</v>
      </c>
      <c r="D2" s="420" t="str">
        <f>'Data Sheet 1'!I4</f>
        <v>PM/Metals</v>
      </c>
      <c r="E2" s="420">
        <f>'Data Sheet 1'!H$15</f>
        <v>30.05</v>
      </c>
      <c r="F2" s="420">
        <f>'Data Sheet 1'!H$17</f>
        <v>-8.5000000000000006E-2</v>
      </c>
      <c r="G2" s="420" t="str">
        <f>'Data Sheet 1'!D$18</f>
        <v>QtzP1245-7</v>
      </c>
      <c r="H2" s="420">
        <f>'Data Sheet 1'!D$19</f>
        <v>0</v>
      </c>
      <c r="I2" s="420">
        <f>'Data Sheet 1'!D$20</f>
        <v>0</v>
      </c>
      <c r="J2" s="420" t="str">
        <f>'Data Sheet 1'!D$9</f>
        <v>ES246</v>
      </c>
      <c r="K2" s="420">
        <f>'Data Sheet 1'!D$10</f>
        <v>1</v>
      </c>
      <c r="L2" s="420" t="str">
        <f>'Data Sheet 1'!D$11</f>
        <v>TypeK-456-9</v>
      </c>
      <c r="M2" s="420">
        <f>'Data Sheet 1'!D$12</f>
        <v>0</v>
      </c>
      <c r="N2" s="420">
        <f>'Data Sheet 1'!D$13</f>
        <v>0</v>
      </c>
      <c r="O2" s="420" t="str">
        <f>'Data Sheet 1'!D9</f>
        <v>ES246</v>
      </c>
      <c r="P2" s="420" t="str">
        <f>'Data Sheet 1'!$D$8</f>
        <v>ES245</v>
      </c>
      <c r="Q2" s="420"/>
      <c r="R2" s="420">
        <f>'Data Sheet 1'!D14</f>
        <v>128</v>
      </c>
      <c r="S2" s="420" t="str">
        <f>'Data Sheet 1'!D$15</f>
        <v>SetES2987-.5</v>
      </c>
      <c r="T2" s="420">
        <f>'Data Sheet 1'!Q$20</f>
        <v>237.70000000000016</v>
      </c>
      <c r="U2" s="420">
        <f>'Data Sheet 1'!I$9</f>
        <v>0.99</v>
      </c>
      <c r="V2" s="420">
        <f>'Data Sheet 1'!I$10</f>
        <v>1.63</v>
      </c>
      <c r="W2" s="420">
        <f>'Data Sheet 1'!I$11</f>
        <v>0.83</v>
      </c>
      <c r="X2" s="421">
        <f>'Data Sheet 1'!I$12</f>
        <v>0.502</v>
      </c>
      <c r="Y2" s="421">
        <f>'Data Sheet 1'!H$20</f>
        <v>7.4914662921348372</v>
      </c>
      <c r="Z2" s="421">
        <f>'Data Sheet 1'!H$19</f>
        <v>13.216702741702736</v>
      </c>
      <c r="AA2" s="421">
        <f>'Data Sheet 1'!M$5</f>
        <v>15</v>
      </c>
      <c r="AB2" s="421">
        <f>'Data Sheet 1'!O$5</f>
        <v>7</v>
      </c>
      <c r="AC2" s="420">
        <v>0</v>
      </c>
      <c r="AD2" s="421">
        <f>'Data Sheet 1'!N$6</f>
        <v>0</v>
      </c>
      <c r="AE2" s="421">
        <f>'Data Sheet 1'!M$7</f>
        <v>1E-3</v>
      </c>
      <c r="AF2" s="421">
        <f>'Data Sheet 1'!O$7</f>
        <v>1E-3</v>
      </c>
      <c r="AG2" s="421" t="str">
        <f>'Data Sheet 1'!M$8</f>
        <v>Yes</v>
      </c>
      <c r="AH2" s="420"/>
      <c r="AI2" s="421" t="str">
        <f>'Data Sheet 1'!O$8</f>
        <v>Yes</v>
      </c>
      <c r="AJ2" s="421" t="str">
        <f>'Data Sheet 1'!M$9</f>
        <v>Yes</v>
      </c>
      <c r="AK2" s="420"/>
      <c r="AL2" s="421" t="str">
        <f>'Data Sheet 1'!O$9</f>
        <v>Yes</v>
      </c>
      <c r="AM2" s="421" t="str">
        <f>'Data Sheet 1'!M$10</f>
        <v>Yes</v>
      </c>
      <c r="AN2" s="420"/>
      <c r="AO2" s="421" t="str">
        <f>'Data Sheet 1'!O$10</f>
        <v>Yes</v>
      </c>
      <c r="AP2" s="420" t="str">
        <f>IF('Data Sheet 1'!G5="","",'Data Sheet 1'!G5)</f>
        <v>TWB</v>
      </c>
      <c r="AQ2" s="420"/>
      <c r="AR2" s="419">
        <f>'Data Sheet 1'!L$14</f>
        <v>541.29999999999995</v>
      </c>
      <c r="AS2" s="419">
        <f>'Data Sheet 1'!L$15</f>
        <v>767.8</v>
      </c>
      <c r="AT2" s="419">
        <f>'Data Sheet 1'!L$16</f>
        <v>797.9</v>
      </c>
      <c r="AU2" s="419">
        <f>'Data Sheet 1'!L$17</f>
        <v>650.79999999999995</v>
      </c>
      <c r="AV2" s="419">
        <f>'Data Sheet 1'!L$18</f>
        <v>771.1</v>
      </c>
      <c r="AW2" s="419">
        <f>'Data Sheet 1'!L$19</f>
        <v>779.9</v>
      </c>
      <c r="AX2" s="419">
        <f>'Data Sheet 1'!L$20</f>
        <v>913.3</v>
      </c>
      <c r="AY2" s="419">
        <f>'Data Sheet 1'!M$14</f>
        <v>581.20000000000005</v>
      </c>
      <c r="AZ2" s="419">
        <f>'Data Sheet 1'!M$15</f>
        <v>882.4</v>
      </c>
      <c r="BA2" s="419">
        <f>'Data Sheet 1'!M$16</f>
        <v>843.7</v>
      </c>
      <c r="BB2" s="419">
        <f>'Data Sheet 1'!M$17</f>
        <v>660.4</v>
      </c>
      <c r="BC2" s="419">
        <f>'Data Sheet 1'!M$18</f>
        <v>776.3</v>
      </c>
      <c r="BD2" s="419">
        <f>'Data Sheet 1'!M$138</f>
        <v>0</v>
      </c>
      <c r="BE2" s="419">
        <f>'Data Sheet 1'!M$20</f>
        <v>933.9</v>
      </c>
      <c r="BF2" s="419" t="str">
        <f>'Data Sheet 1'!Q$13</f>
        <v>No</v>
      </c>
      <c r="BG2" s="419">
        <f>'Data Sheet 1'!Q$14</f>
        <v>0</v>
      </c>
    </row>
    <row r="3" spans="1:59" x14ac:dyDescent="0.2">
      <c r="A3" s="420">
        <f>'Data Sheet 2'!D$5</f>
        <v>2</v>
      </c>
      <c r="B3" s="420">
        <f>'Data Sheet 2'!D$6</f>
        <v>41855</v>
      </c>
      <c r="C3" s="420" t="str">
        <f>'Data Sheet 2'!G$6</f>
        <v>BB019012.0000</v>
      </c>
      <c r="D3" s="420" t="str">
        <f>'Data Sheet 2'!I4</f>
        <v>PM/Metals</v>
      </c>
      <c r="E3" s="420">
        <f>'Data Sheet 2'!H$15</f>
        <v>30.02</v>
      </c>
      <c r="F3" s="420">
        <f>'Data Sheet 2'!H$17</f>
        <v>-8.5000000000000006E-2</v>
      </c>
      <c r="G3" s="420" t="str">
        <f>'Data Sheet 2'!D$18</f>
        <v>QtzP1245-8</v>
      </c>
      <c r="H3" s="420">
        <f>'Data Sheet 2'!D$19</f>
        <v>0</v>
      </c>
      <c r="I3" s="420">
        <f>'Data Sheet 2'!D$20</f>
        <v>0</v>
      </c>
      <c r="J3" s="420" t="str">
        <f>'Data Sheet 2'!D$9</f>
        <v>ES246</v>
      </c>
      <c r="K3" s="420">
        <f>'Data Sheet 2'!D$10</f>
        <v>1</v>
      </c>
      <c r="L3" s="420" t="str">
        <f>'Data Sheet 2'!D$11</f>
        <v>TypeK-456-9</v>
      </c>
      <c r="M3" s="420">
        <f>'Data Sheet 2'!D$12</f>
        <v>0</v>
      </c>
      <c r="N3" s="420">
        <f>'Data Sheet 2'!D$13</f>
        <v>0</v>
      </c>
      <c r="O3" s="420" t="str">
        <f>'Data Sheet 2'!D9</f>
        <v>ES246</v>
      </c>
      <c r="P3" s="420" t="str">
        <f>'Data Sheet 2'!$D$8</f>
        <v>ES245</v>
      </c>
      <c r="Q3" s="420"/>
      <c r="R3" s="420">
        <f>'Data Sheet 2'!D14</f>
        <v>128</v>
      </c>
      <c r="S3" s="420" t="str">
        <f>'Data Sheet 2'!D$15</f>
        <v>SetES2987-.5</v>
      </c>
      <c r="T3" s="420">
        <f>'Data Sheet 2'!Q$20</f>
        <v>261.20000000000016</v>
      </c>
      <c r="U3" s="420">
        <f>'Data Sheet 2'!I$9</f>
        <v>0.99</v>
      </c>
      <c r="V3" s="420">
        <f>'Data Sheet 2'!I$10</f>
        <v>1.63</v>
      </c>
      <c r="W3" s="420">
        <f>'Data Sheet 2'!I$11</f>
        <v>0.83</v>
      </c>
      <c r="X3" s="421">
        <f>'Data Sheet 2'!I$12</f>
        <v>0.502</v>
      </c>
      <c r="Y3" s="421">
        <f>'Data Sheet 2'!H$20</f>
        <v>7.503079096045207</v>
      </c>
      <c r="Z3" s="421">
        <f>'Data Sheet 2'!H$19</f>
        <v>12.26253591954023</v>
      </c>
      <c r="AA3" s="421">
        <f>'Data Sheet 2'!M$5</f>
        <v>15</v>
      </c>
      <c r="AB3" s="421">
        <f>'Data Sheet 2'!O$5</f>
        <v>7</v>
      </c>
      <c r="AC3" s="420">
        <v>0</v>
      </c>
      <c r="AD3" s="421">
        <f>'Data Sheet 2'!N$6</f>
        <v>0</v>
      </c>
      <c r="AE3" s="421">
        <f>'Data Sheet 2'!M$7</f>
        <v>1E-3</v>
      </c>
      <c r="AF3" s="421">
        <f>'Data Sheet 2'!O$7</f>
        <v>1E-3</v>
      </c>
      <c r="AG3" s="421" t="str">
        <f>'Data Sheet 2'!M$8</f>
        <v>Yes</v>
      </c>
      <c r="AH3" s="420"/>
      <c r="AI3" s="421" t="str">
        <f>'Data Sheet 2'!O$8</f>
        <v>Yes</v>
      </c>
      <c r="AJ3" s="421" t="str">
        <f>'Data Sheet 2'!M$9</f>
        <v>Yes</v>
      </c>
      <c r="AK3" s="420"/>
      <c r="AL3" s="421" t="str">
        <f>'Data Sheet 2'!O$9</f>
        <v>Yes</v>
      </c>
      <c r="AM3" s="421" t="str">
        <f>'Data Sheet 2'!M$10</f>
        <v>Yes</v>
      </c>
      <c r="AN3" s="420"/>
      <c r="AO3" s="421" t="str">
        <f>'Data Sheet 2'!O$10</f>
        <v>Yes</v>
      </c>
      <c r="AP3" s="420" t="str">
        <f>IF('Data Sheet 2'!G5="","",'Data Sheet 2'!G5)</f>
        <v>TWB</v>
      </c>
      <c r="AQ3" s="420"/>
      <c r="AR3" s="419">
        <f>'Data Sheet 2'!L$14</f>
        <v>541.4</v>
      </c>
      <c r="AS3" s="419">
        <f>'Data Sheet 2'!L$15</f>
        <v>688.8</v>
      </c>
      <c r="AT3" s="419">
        <f>'Data Sheet 2'!L$16</f>
        <v>804.5</v>
      </c>
      <c r="AU3" s="419">
        <f>'Data Sheet 2'!L$17</f>
        <v>651.4</v>
      </c>
      <c r="AV3" s="419">
        <f>'Data Sheet 2'!L$18</f>
        <v>728.5</v>
      </c>
      <c r="AW3" s="419">
        <f>'Data Sheet 2'!L$19</f>
        <v>769.4</v>
      </c>
      <c r="AX3" s="419">
        <f>'Data Sheet 2'!L$20</f>
        <v>909</v>
      </c>
      <c r="AY3" s="419">
        <f>'Data Sheet 2'!M$14</f>
        <v>593.1</v>
      </c>
      <c r="AZ3" s="419">
        <f>'Data Sheet 2'!M$15</f>
        <v>820.1</v>
      </c>
      <c r="BA3" s="419">
        <f>'Data Sheet 2'!M$16</f>
        <v>847.9</v>
      </c>
      <c r="BB3" s="419">
        <f>'Data Sheet 2'!M$17</f>
        <v>659.8</v>
      </c>
      <c r="BC3" s="419">
        <f>'Data Sheet 2'!M$18</f>
        <v>734.2</v>
      </c>
      <c r="BD3" s="419">
        <f>'Data Sheet 2'!M$138</f>
        <v>0</v>
      </c>
      <c r="BE3" s="419">
        <f>'Data Sheet 2'!M$20</f>
        <v>927.5</v>
      </c>
      <c r="BF3" s="419" t="str">
        <f>'Data Sheet 2'!Q$13</f>
        <v>No</v>
      </c>
      <c r="BG3" s="419">
        <f>'Data Sheet 2'!Q$14</f>
        <v>0</v>
      </c>
    </row>
    <row r="4" spans="1:59" x14ac:dyDescent="0.2">
      <c r="A4" s="420">
        <f>'Data Sheet 3'!D$5</f>
        <v>3</v>
      </c>
      <c r="B4" s="420">
        <f>'Data Sheet 3'!D$6</f>
        <v>41855</v>
      </c>
      <c r="C4" s="420" t="str">
        <f>'Data Sheet 3'!G$6</f>
        <v>BB019012.0000</v>
      </c>
      <c r="D4" s="420" t="str">
        <f>'Data Sheet 3'!I4</f>
        <v>PM/Metals</v>
      </c>
      <c r="E4" s="420">
        <f>'Data Sheet 3'!H$15</f>
        <v>30.02</v>
      </c>
      <c r="F4" s="420">
        <f>'Data Sheet 3'!H$17</f>
        <v>-0.08</v>
      </c>
      <c r="G4" s="420" t="str">
        <f>'Data Sheet 3'!D$18</f>
        <v>QtzP1245-7</v>
      </c>
      <c r="H4" s="420">
        <f>'Data Sheet 3'!D$19</f>
        <v>0</v>
      </c>
      <c r="I4" s="420">
        <f>'Data Sheet 3'!D$20</f>
        <v>0</v>
      </c>
      <c r="J4" s="420" t="str">
        <f>'Data Sheet 3'!D$9</f>
        <v>ES246</v>
      </c>
      <c r="K4" s="420">
        <f>'Data Sheet 3'!D$10</f>
        <v>1</v>
      </c>
      <c r="L4" s="420" t="str">
        <f>'Data Sheet 3'!D$11</f>
        <v>TypeK-456-9</v>
      </c>
      <c r="M4" s="420">
        <f>'Data Sheet 3'!D$12</f>
        <v>0</v>
      </c>
      <c r="N4" s="420">
        <f>'Data Sheet 3'!D$13</f>
        <v>0</v>
      </c>
      <c r="O4" s="420" t="str">
        <f>'Data Sheet 3'!D9</f>
        <v>ES246</v>
      </c>
      <c r="P4" s="420" t="str">
        <f>'Data Sheet 3'!$D$8</f>
        <v>ES245</v>
      </c>
      <c r="Q4" s="420"/>
      <c r="R4" s="420">
        <f>'Data Sheet 3'!D14</f>
        <v>128</v>
      </c>
      <c r="S4" s="420" t="str">
        <f>'Data Sheet 3'!D$15</f>
        <v>SetES2987-.5</v>
      </c>
      <c r="T4" s="420">
        <f>'Data Sheet 3'!Q$20</f>
        <v>257.89999999999998</v>
      </c>
      <c r="U4" s="420">
        <f>'Data Sheet 3'!I$9</f>
        <v>0.99</v>
      </c>
      <c r="V4" s="420">
        <f>'Data Sheet 3'!I$10</f>
        <v>1.68</v>
      </c>
      <c r="W4" s="420">
        <f>'Data Sheet 3'!I$11</f>
        <v>0.83</v>
      </c>
      <c r="X4" s="421">
        <f>'Data Sheet 3'!I$12</f>
        <v>0.502</v>
      </c>
      <c r="Y4" s="421">
        <f>'Data Sheet 3'!H$20</f>
        <v>7.3964114285714295</v>
      </c>
      <c r="Z4" s="421">
        <f>'Data Sheet 3'!H$19</f>
        <v>12.688997113997111</v>
      </c>
      <c r="AA4" s="421">
        <f>'Data Sheet 3'!M$5</f>
        <v>15</v>
      </c>
      <c r="AB4" s="421">
        <f>'Data Sheet 3'!O$5</f>
        <v>7</v>
      </c>
      <c r="AC4" s="420">
        <v>0</v>
      </c>
      <c r="AD4" s="421">
        <f>'Data Sheet 3'!N$6</f>
        <v>0</v>
      </c>
      <c r="AE4" s="421">
        <f>'Data Sheet 3'!M$7</f>
        <v>1E-3</v>
      </c>
      <c r="AF4" s="421">
        <f>'Data Sheet 3'!O$7</f>
        <v>1E-3</v>
      </c>
      <c r="AG4" s="421" t="str">
        <f>'Data Sheet 3'!M$8</f>
        <v>Yes</v>
      </c>
      <c r="AH4" s="420"/>
      <c r="AI4" s="421" t="str">
        <f>'Data Sheet 3'!O$8</f>
        <v>Yes</v>
      </c>
      <c r="AJ4" s="421" t="str">
        <f>'Data Sheet 3'!M$9</f>
        <v>Yes</v>
      </c>
      <c r="AK4" s="420"/>
      <c r="AL4" s="421" t="str">
        <f>'Data Sheet 3'!O$9</f>
        <v>Yes</v>
      </c>
      <c r="AM4" s="421" t="str">
        <f>'Data Sheet 3'!M$10</f>
        <v>Yes</v>
      </c>
      <c r="AN4" s="420"/>
      <c r="AO4" s="421" t="str">
        <f>'Data Sheet 3'!O$10</f>
        <v>Yes</v>
      </c>
      <c r="AP4" s="420" t="str">
        <f>IF('Data Sheet 3'!G5="","",'Data Sheet 3'!G5)</f>
        <v>TWB</v>
      </c>
      <c r="AQ4" s="420"/>
      <c r="AR4" s="419">
        <f>'Data Sheet 3'!L$14</f>
        <v>542.6</v>
      </c>
      <c r="AS4" s="419">
        <f>'Data Sheet 3'!L$15</f>
        <v>770.9</v>
      </c>
      <c r="AT4" s="419">
        <f>'Data Sheet 3'!L$16</f>
        <v>717.8</v>
      </c>
      <c r="AU4" s="419">
        <f>'Data Sheet 3'!L$17</f>
        <v>641</v>
      </c>
      <c r="AV4" s="419">
        <f>'Data Sheet 3'!L$18</f>
        <v>770.4</v>
      </c>
      <c r="AW4" s="419">
        <f>'Data Sheet 3'!L$19</f>
        <v>772.7</v>
      </c>
      <c r="AX4" s="419">
        <f>'Data Sheet 3'!L$20</f>
        <v>924.5</v>
      </c>
      <c r="AY4" s="419">
        <f>'Data Sheet 3'!M$14</f>
        <v>607.1</v>
      </c>
      <c r="AZ4" s="419">
        <f>'Data Sheet 3'!M$15</f>
        <v>896.3</v>
      </c>
      <c r="BA4" s="419">
        <f>'Data Sheet 3'!M$16</f>
        <v>756.1</v>
      </c>
      <c r="BB4" s="419">
        <f>'Data Sheet 3'!M$17</f>
        <v>648</v>
      </c>
      <c r="BC4" s="419">
        <f>'Data Sheet 3'!M$18</f>
        <v>774.4</v>
      </c>
      <c r="BD4" s="419">
        <f>'Data Sheet 3'!M$138</f>
        <v>0</v>
      </c>
      <c r="BE4" s="419">
        <f>'Data Sheet 3'!M$20</f>
        <v>942.9</v>
      </c>
      <c r="BF4" s="419" t="str">
        <f>'Data Sheet 3'!Q$13</f>
        <v>No</v>
      </c>
      <c r="BG4" s="419">
        <f>'Data Sheet 3'!Q$14</f>
        <v>0</v>
      </c>
    </row>
    <row r="5" spans="1:59" x14ac:dyDescent="0.2">
      <c r="A5" s="420">
        <f>'Data Sheet 4'!D$5</f>
        <v>0</v>
      </c>
      <c r="B5" s="420">
        <f>'Data Sheet 4'!D$6</f>
        <v>0</v>
      </c>
      <c r="C5" s="420" t="str">
        <f>'Data Sheet 4'!G$6</f>
        <v/>
      </c>
      <c r="D5" s="420" t="str">
        <f>'Data Sheet 4'!I4</f>
        <v/>
      </c>
      <c r="E5" s="420">
        <f>'Data Sheet 4'!H$15</f>
        <v>0</v>
      </c>
      <c r="F5" s="420">
        <f>'Data Sheet 4'!H$17</f>
        <v>0</v>
      </c>
      <c r="G5" s="420">
        <f>'Data Sheet 4'!D$18</f>
        <v>0</v>
      </c>
      <c r="H5" s="420">
        <f>'Data Sheet 4'!D$19</f>
        <v>0</v>
      </c>
      <c r="I5" s="420">
        <f>'Data Sheet 4'!D$20</f>
        <v>0</v>
      </c>
      <c r="J5" s="420">
        <f>'Data Sheet 4'!D$9</f>
        <v>0</v>
      </c>
      <c r="K5" s="420">
        <f>'Data Sheet 4'!D$10</f>
        <v>0</v>
      </c>
      <c r="L5" s="420">
        <f>'Data Sheet 4'!D$11</f>
        <v>0</v>
      </c>
      <c r="M5" s="420">
        <f>'Data Sheet 4'!D$12</f>
        <v>0</v>
      </c>
      <c r="N5" s="420">
        <f>'Data Sheet 4'!D$13</f>
        <v>0</v>
      </c>
      <c r="O5" s="420">
        <f>'Data Sheet 4'!D9</f>
        <v>0</v>
      </c>
      <c r="P5" s="420">
        <f>'Data Sheet 4'!$D$8</f>
        <v>0</v>
      </c>
      <c r="Q5" s="420"/>
      <c r="R5" s="420">
        <f>'Data Sheet 4'!D14</f>
        <v>0</v>
      </c>
      <c r="S5" s="420">
        <f>'Data Sheet 4'!D$15</f>
        <v>0</v>
      </c>
      <c r="T5" s="420">
        <f>'Data Sheet 4'!Q$20</f>
        <v>0</v>
      </c>
      <c r="U5" s="420">
        <f>'Data Sheet 4'!I$9</f>
        <v>0</v>
      </c>
      <c r="V5" s="420">
        <f>'Data Sheet 4'!I$10</f>
        <v>0</v>
      </c>
      <c r="W5" s="420">
        <f>'Data Sheet 4'!I$11</f>
        <v>0</v>
      </c>
      <c r="X5" s="421">
        <f>'Data Sheet 4'!I$12</f>
        <v>0</v>
      </c>
      <c r="Y5" s="421">
        <f>'Data Sheet 4'!H$20</f>
        <v>0</v>
      </c>
      <c r="Z5" s="421">
        <f>'Data Sheet 4'!H$19</f>
        <v>0</v>
      </c>
      <c r="AA5" s="421">
        <f>'Data Sheet 4'!M$5</f>
        <v>0</v>
      </c>
      <c r="AB5" s="421">
        <f>'Data Sheet 4'!O$5</f>
        <v>0</v>
      </c>
      <c r="AC5" s="420">
        <v>0</v>
      </c>
      <c r="AD5" s="421">
        <f>'Data Sheet 4'!N$6</f>
        <v>0</v>
      </c>
      <c r="AE5" s="421">
        <f>'Data Sheet 4'!M$7</f>
        <v>0</v>
      </c>
      <c r="AF5" s="421">
        <f>'Data Sheet 4'!O$7</f>
        <v>0</v>
      </c>
      <c r="AG5" s="421">
        <f>'Data Sheet 4'!M$8</f>
        <v>0</v>
      </c>
      <c r="AH5" s="420"/>
      <c r="AI5" s="421">
        <f>'Data Sheet 4'!O$8</f>
        <v>0</v>
      </c>
      <c r="AJ5" s="421">
        <f>'Data Sheet 4'!M$9</f>
        <v>0</v>
      </c>
      <c r="AK5" s="420"/>
      <c r="AL5" s="421">
        <f>'Data Sheet 4'!O$9</f>
        <v>0</v>
      </c>
      <c r="AM5" s="421">
        <f>'Data Sheet 4'!M$10</f>
        <v>0</v>
      </c>
      <c r="AN5" s="420"/>
      <c r="AO5" s="421">
        <f>'Data Sheet 4'!O$10</f>
        <v>0</v>
      </c>
      <c r="AP5" s="420" t="str">
        <f>IF('Data Sheet 4'!G5="","",'Data Sheet 4'!G5)</f>
        <v/>
      </c>
      <c r="AQ5" s="420"/>
      <c r="AR5" s="419">
        <f>'Data Sheet 4'!L$14</f>
        <v>0</v>
      </c>
      <c r="AS5" s="419">
        <f>'Data Sheet 4'!L$15</f>
        <v>0</v>
      </c>
      <c r="AT5" s="419">
        <f>'Data Sheet 4'!L$16</f>
        <v>0</v>
      </c>
      <c r="AU5" s="419">
        <f>'Data Sheet 4'!L$17</f>
        <v>0</v>
      </c>
      <c r="AV5" s="419">
        <f>'Data Sheet 4'!L$18</f>
        <v>0</v>
      </c>
      <c r="AW5" s="419">
        <f>'Data Sheet 4'!L$19</f>
        <v>0</v>
      </c>
      <c r="AX5" s="419">
        <f>'Data Sheet 4'!L$20</f>
        <v>0</v>
      </c>
      <c r="AY5" s="419">
        <f>'Data Sheet 4'!M$14</f>
        <v>0</v>
      </c>
      <c r="AZ5" s="419">
        <f>'Data Sheet 4'!M$15</f>
        <v>0</v>
      </c>
      <c r="BA5" s="419">
        <f>'Data Sheet 4'!M$16</f>
        <v>0</v>
      </c>
      <c r="BB5" s="419">
        <f>'Data Sheet 4'!M$17</f>
        <v>0</v>
      </c>
      <c r="BC5" s="419">
        <f>'Data Sheet 4'!M$18</f>
        <v>0</v>
      </c>
      <c r="BD5" s="419">
        <f>'Data Sheet 4'!M$138</f>
        <v>0</v>
      </c>
      <c r="BE5" s="419">
        <f>'Data Sheet 4'!M$20</f>
        <v>0</v>
      </c>
      <c r="BF5" s="419">
        <f>'Data Sheet 4'!Q$13</f>
        <v>0</v>
      </c>
      <c r="BG5" s="419">
        <f>'Data Sheet 4'!Q$14</f>
        <v>0</v>
      </c>
    </row>
    <row r="6" spans="1:59" x14ac:dyDescent="0.2">
      <c r="A6" s="420">
        <f>'Data Sheet 5'!D$5</f>
        <v>0</v>
      </c>
      <c r="B6" s="420">
        <f>'Data Sheet 5'!D$6</f>
        <v>0</v>
      </c>
      <c r="C6" s="420" t="str">
        <f>'Data Sheet 5'!G$6</f>
        <v/>
      </c>
      <c r="D6" s="420" t="str">
        <f>'Data Sheet 5'!I4</f>
        <v/>
      </c>
      <c r="E6" s="420">
        <f>'Data Sheet 5'!H$15</f>
        <v>0</v>
      </c>
      <c r="F6" s="420">
        <f>'Data Sheet 5'!H$17</f>
        <v>0</v>
      </c>
      <c r="G6" s="420">
        <f>'Data Sheet 5'!D$18</f>
        <v>0</v>
      </c>
      <c r="H6" s="420">
        <f>'Data Sheet 5'!D$19</f>
        <v>0</v>
      </c>
      <c r="I6" s="420">
        <f>'Data Sheet 5'!D$20</f>
        <v>0</v>
      </c>
      <c r="J6" s="420">
        <f>'Data Sheet 5'!D$9</f>
        <v>0</v>
      </c>
      <c r="K6" s="420">
        <f>'Data Sheet 5'!D$10</f>
        <v>0</v>
      </c>
      <c r="L6" s="420">
        <f>'Data Sheet 5'!D$11</f>
        <v>0</v>
      </c>
      <c r="M6" s="420">
        <f>'Data Sheet 5'!D$12</f>
        <v>0</v>
      </c>
      <c r="N6" s="420">
        <f>'Data Sheet 5'!D$13</f>
        <v>0</v>
      </c>
      <c r="O6" s="420">
        <f>'Data Sheet 5'!D9</f>
        <v>0</v>
      </c>
      <c r="P6" s="420">
        <f>'Data Sheet 5'!$D$8</f>
        <v>0</v>
      </c>
      <c r="Q6" s="420"/>
      <c r="R6" s="420">
        <f>'Data Sheet 5'!D14</f>
        <v>0</v>
      </c>
      <c r="S6" s="420">
        <f>'Data Sheet 5'!D$15</f>
        <v>0</v>
      </c>
      <c r="T6" s="420">
        <f>'Data Sheet 5'!Q$20</f>
        <v>0</v>
      </c>
      <c r="U6" s="420">
        <f>'Data Sheet 5'!I$9</f>
        <v>0</v>
      </c>
      <c r="V6" s="420">
        <f>'Data Sheet 5'!I$10</f>
        <v>0</v>
      </c>
      <c r="W6" s="420">
        <f>'Data Sheet 5'!I$11</f>
        <v>0</v>
      </c>
      <c r="X6" s="421">
        <f>'Data Sheet 5'!I$12</f>
        <v>0</v>
      </c>
      <c r="Y6" s="421">
        <f>'Data Sheet 5'!H$20</f>
        <v>0</v>
      </c>
      <c r="Z6" s="421">
        <f>'Data Sheet 5'!H$19</f>
        <v>0</v>
      </c>
      <c r="AA6" s="421">
        <f>'Data Sheet 5'!M$5</f>
        <v>0</v>
      </c>
      <c r="AB6" s="421">
        <f>'Data Sheet 5'!O$5</f>
        <v>0</v>
      </c>
      <c r="AC6" s="420">
        <v>0</v>
      </c>
      <c r="AD6" s="421">
        <f>'Data Sheet 5'!N$6</f>
        <v>0</v>
      </c>
      <c r="AE6" s="421">
        <f>'Data Sheet 5'!M$7</f>
        <v>0</v>
      </c>
      <c r="AF6" s="421">
        <f>'Data Sheet 5'!O$7</f>
        <v>0</v>
      </c>
      <c r="AG6" s="421">
        <f>'Data Sheet 5'!M$8</f>
        <v>0</v>
      </c>
      <c r="AH6" s="420"/>
      <c r="AI6" s="421">
        <f>'Data Sheet 5'!O$8</f>
        <v>0</v>
      </c>
      <c r="AJ6" s="421">
        <f>'Data Sheet 5'!M$9</f>
        <v>0</v>
      </c>
      <c r="AK6" s="420"/>
      <c r="AL6" s="421">
        <f>'Data Sheet 5'!O$9</f>
        <v>0</v>
      </c>
      <c r="AM6" s="421">
        <f>'Data Sheet 5'!M$10</f>
        <v>0</v>
      </c>
      <c r="AN6" s="420"/>
      <c r="AO6" s="421">
        <f>'Data Sheet 5'!O$10</f>
        <v>0</v>
      </c>
      <c r="AP6" s="420" t="str">
        <f>IF('Data Sheet 5'!G5="","",'Data Sheet 5'!G5)</f>
        <v/>
      </c>
      <c r="AQ6" s="420"/>
      <c r="AR6" s="419">
        <f>'Data Sheet 5'!L$14</f>
        <v>0</v>
      </c>
      <c r="AS6" s="419">
        <f>'Data Sheet 5'!L$15</f>
        <v>0</v>
      </c>
      <c r="AT6" s="419">
        <f>'Data Sheet 5'!L$16</f>
        <v>0</v>
      </c>
      <c r="AU6" s="419">
        <f>'Data Sheet 5'!L$17</f>
        <v>0</v>
      </c>
      <c r="AV6" s="419">
        <f>'Data Sheet 5'!L$18</f>
        <v>0</v>
      </c>
      <c r="AW6" s="419">
        <f>'Data Sheet 5'!L$19</f>
        <v>0</v>
      </c>
      <c r="AX6" s="419">
        <f>'Data Sheet 5'!L$20</f>
        <v>0</v>
      </c>
      <c r="AY6" s="419">
        <f>'Data Sheet 5'!M$14</f>
        <v>0</v>
      </c>
      <c r="AZ6" s="419">
        <f>'Data Sheet 5'!M$15</f>
        <v>0</v>
      </c>
      <c r="BA6" s="419">
        <f>'Data Sheet 5'!M$16</f>
        <v>0</v>
      </c>
      <c r="BB6" s="419">
        <f>'Data Sheet 5'!M$17</f>
        <v>0</v>
      </c>
      <c r="BC6" s="419">
        <f>'Data Sheet 5'!M$18</f>
        <v>0</v>
      </c>
      <c r="BD6" s="419">
        <f>'Data Sheet 5'!M$138</f>
        <v>0</v>
      </c>
      <c r="BE6" s="419">
        <f>'Data Sheet 5'!M$20</f>
        <v>0</v>
      </c>
      <c r="BF6" s="419">
        <f>'Data Sheet 5'!Q$13</f>
        <v>0</v>
      </c>
      <c r="BG6" s="419">
        <f>'Data Sheet 5'!Q$14</f>
        <v>0</v>
      </c>
    </row>
    <row r="7" spans="1:59" x14ac:dyDescent="0.2">
      <c r="A7" s="420">
        <f>'Data Sheet 6'!D$5</f>
        <v>0</v>
      </c>
      <c r="B7" s="420">
        <f>'Data Sheet 6'!D$6</f>
        <v>0</v>
      </c>
      <c r="C7" s="420" t="str">
        <f>'Data Sheet 6'!G$6</f>
        <v/>
      </c>
      <c r="D7" s="420" t="str">
        <f>'Data Sheet 6'!I4</f>
        <v/>
      </c>
      <c r="E7" s="420">
        <f>'Data Sheet 6'!H$15</f>
        <v>0</v>
      </c>
      <c r="F7" s="420">
        <f>'Data Sheet 6'!H$17</f>
        <v>0</v>
      </c>
      <c r="G7" s="420">
        <f>'Data Sheet 6'!D$18</f>
        <v>0</v>
      </c>
      <c r="H7" s="420">
        <f>'Data Sheet 6'!D$19</f>
        <v>0</v>
      </c>
      <c r="I7" s="420">
        <f>'Data Sheet 6'!D$20</f>
        <v>0</v>
      </c>
      <c r="J7" s="420">
        <f>'Data Sheet 6'!D$9</f>
        <v>0</v>
      </c>
      <c r="K7" s="420">
        <f>'Data Sheet 6'!D$10</f>
        <v>0</v>
      </c>
      <c r="L7" s="420">
        <f>'Data Sheet 6'!D$11</f>
        <v>0</v>
      </c>
      <c r="M7" s="420">
        <f>'Data Sheet 6'!D$12</f>
        <v>0</v>
      </c>
      <c r="N7" s="420">
        <f>'Data Sheet 6'!D$13</f>
        <v>0</v>
      </c>
      <c r="O7" s="420">
        <f>'Data Sheet 6'!D9</f>
        <v>0</v>
      </c>
      <c r="P7" s="420">
        <f>'Data Sheet 6'!$D$8</f>
        <v>0</v>
      </c>
      <c r="Q7" s="420"/>
      <c r="R7" s="420">
        <f>'Data Sheet 6'!D14</f>
        <v>0</v>
      </c>
      <c r="S7" s="420">
        <f>'Data Sheet 6'!D$15</f>
        <v>0</v>
      </c>
      <c r="T7" s="420">
        <f>'Data Sheet 6'!Q$20</f>
        <v>0</v>
      </c>
      <c r="U7" s="420">
        <f>'Data Sheet 6'!I$9</f>
        <v>0</v>
      </c>
      <c r="V7" s="420">
        <f>'Data Sheet 6'!I$10</f>
        <v>0</v>
      </c>
      <c r="W7" s="420">
        <f>'Data Sheet 6'!I$11</f>
        <v>0</v>
      </c>
      <c r="X7" s="421">
        <f>'Data Sheet 6'!I$12</f>
        <v>0</v>
      </c>
      <c r="Y7" s="421">
        <f>'Data Sheet 6'!H$20</f>
        <v>0</v>
      </c>
      <c r="Z7" s="421">
        <f>'Data Sheet 6'!H$19</f>
        <v>0</v>
      </c>
      <c r="AA7" s="421">
        <f>'Data Sheet 6'!M$5</f>
        <v>0</v>
      </c>
      <c r="AB7" s="421">
        <f>'Data Sheet 6'!O$5</f>
        <v>0</v>
      </c>
      <c r="AC7" s="420">
        <v>0</v>
      </c>
      <c r="AD7" s="421">
        <f>'Data Sheet 6'!N$6</f>
        <v>0</v>
      </c>
      <c r="AE7" s="421">
        <f>'Data Sheet 6'!M$7</f>
        <v>0</v>
      </c>
      <c r="AF7" s="421">
        <f>'Data Sheet 6'!O$7</f>
        <v>0</v>
      </c>
      <c r="AG7" s="421">
        <f>'Data Sheet 6'!M$8</f>
        <v>0</v>
      </c>
      <c r="AH7" s="420"/>
      <c r="AI7" s="421">
        <f>'Data Sheet 6'!O$8</f>
        <v>0</v>
      </c>
      <c r="AJ7" s="421">
        <f>'Data Sheet 6'!M$9</f>
        <v>0</v>
      </c>
      <c r="AK7" s="420"/>
      <c r="AL7" s="421">
        <f>'Data Sheet 6'!O$9</f>
        <v>0</v>
      </c>
      <c r="AM7" s="421">
        <f>'Data Sheet 6'!M$10</f>
        <v>0</v>
      </c>
      <c r="AN7" s="420"/>
      <c r="AO7" s="421">
        <f>'Data Sheet 6'!O$10</f>
        <v>0</v>
      </c>
      <c r="AP7" s="420" t="str">
        <f>IF('Data Sheet 6'!G5="","",'Data Sheet 6'!G5)</f>
        <v/>
      </c>
      <c r="AQ7" s="420"/>
      <c r="AR7" s="419">
        <f>'Data Sheet 6'!L$14</f>
        <v>0</v>
      </c>
      <c r="AS7" s="419">
        <f>'Data Sheet 6'!L$15</f>
        <v>0</v>
      </c>
      <c r="AT7" s="419">
        <f>'Data Sheet 6'!L$16</f>
        <v>0</v>
      </c>
      <c r="AU7" s="419">
        <f>'Data Sheet 6'!L$17</f>
        <v>0</v>
      </c>
      <c r="AV7" s="419">
        <f>'Data Sheet 6'!L$18</f>
        <v>0</v>
      </c>
      <c r="AW7" s="419">
        <f>'Data Sheet 6'!L$19</f>
        <v>0</v>
      </c>
      <c r="AX7" s="419">
        <f>'Data Sheet 6'!L$20</f>
        <v>0</v>
      </c>
      <c r="AY7" s="419">
        <f>'Data Sheet 6'!M$14</f>
        <v>0</v>
      </c>
      <c r="AZ7" s="419">
        <f>'Data Sheet 6'!M$15</f>
        <v>0</v>
      </c>
      <c r="BA7" s="419">
        <f>'Data Sheet 6'!M$16</f>
        <v>0</v>
      </c>
      <c r="BB7" s="419">
        <f>'Data Sheet 6'!M$17</f>
        <v>0</v>
      </c>
      <c r="BC7" s="419">
        <f>'Data Sheet 6'!M$18</f>
        <v>0</v>
      </c>
      <c r="BD7" s="419">
        <f>'Data Sheet 6'!M$138</f>
        <v>0</v>
      </c>
      <c r="BE7" s="419">
        <f>'Data Sheet 6'!M$20</f>
        <v>0</v>
      </c>
      <c r="BF7" s="419">
        <f>'Data Sheet 6'!Q$13</f>
        <v>0</v>
      </c>
      <c r="BG7" s="419">
        <f>'Data Sheet 6'!Q$14</f>
        <v>0</v>
      </c>
    </row>
    <row r="8" spans="1:59" x14ac:dyDescent="0.2">
      <c r="A8" s="420">
        <f>'Data Sheet 7'!D$5</f>
        <v>0</v>
      </c>
      <c r="B8" s="420">
        <f>'Data Sheet 7'!D$6</f>
        <v>0</v>
      </c>
      <c r="C8" s="420" t="str">
        <f>'Data Sheet 7'!G$6</f>
        <v/>
      </c>
      <c r="D8" s="420" t="str">
        <f>'Data Sheet 7'!I4</f>
        <v/>
      </c>
      <c r="E8" s="420">
        <f>'Data Sheet 7'!H$15</f>
        <v>0</v>
      </c>
      <c r="F8" s="420">
        <f>'Data Sheet 7'!H$17</f>
        <v>0</v>
      </c>
      <c r="G8" s="420">
        <f>'Data Sheet 7'!D$18</f>
        <v>0</v>
      </c>
      <c r="H8" s="420">
        <f>'Data Sheet 7'!D$19</f>
        <v>0</v>
      </c>
      <c r="I8" s="420">
        <f>'Data Sheet 7'!D$20</f>
        <v>0</v>
      </c>
      <c r="J8" s="420">
        <f>'Data Sheet 7'!D$9</f>
        <v>0</v>
      </c>
      <c r="K8" s="420">
        <f>'Data Sheet 7'!D$10</f>
        <v>0</v>
      </c>
      <c r="L8" s="420">
        <f>'Data Sheet 7'!D$11</f>
        <v>0</v>
      </c>
      <c r="M8" s="420">
        <f>'Data Sheet 7'!D$12</f>
        <v>0</v>
      </c>
      <c r="N8" s="420">
        <f>'Data Sheet 7'!D$13</f>
        <v>0</v>
      </c>
      <c r="O8" s="420">
        <f>'Data Sheet 7'!D9</f>
        <v>0</v>
      </c>
      <c r="P8" s="420">
        <f>'Data Sheet 7'!$D$8</f>
        <v>0</v>
      </c>
      <c r="Q8" s="420"/>
      <c r="R8" s="420">
        <f>'Data Sheet 7'!D14</f>
        <v>0</v>
      </c>
      <c r="S8" s="420">
        <f>'Data Sheet 7'!D$15</f>
        <v>0</v>
      </c>
      <c r="T8" s="420">
        <f>'Data Sheet 7'!Q$20</f>
        <v>0</v>
      </c>
      <c r="U8" s="420">
        <f>'Data Sheet 7'!I$9</f>
        <v>0</v>
      </c>
      <c r="V8" s="420">
        <f>'Data Sheet 7'!I$10</f>
        <v>0</v>
      </c>
      <c r="W8" s="420">
        <f>'Data Sheet 7'!I$11</f>
        <v>0</v>
      </c>
      <c r="X8" s="421">
        <f>'Data Sheet 7'!I$12</f>
        <v>0</v>
      </c>
      <c r="Y8" s="421">
        <f>'Data Sheet 7'!H$20</f>
        <v>0</v>
      </c>
      <c r="Z8" s="421">
        <f>'Data Sheet 7'!H$19</f>
        <v>0</v>
      </c>
      <c r="AA8" s="421">
        <f>'Data Sheet 7'!M$5</f>
        <v>0</v>
      </c>
      <c r="AB8" s="421">
        <f>'Data Sheet 7'!O$5</f>
        <v>0</v>
      </c>
      <c r="AC8" s="420">
        <v>0</v>
      </c>
      <c r="AD8" s="421">
        <f>'Data Sheet 7'!N$6</f>
        <v>0</v>
      </c>
      <c r="AE8" s="421">
        <f>'Data Sheet 7'!M$7</f>
        <v>0</v>
      </c>
      <c r="AF8" s="421">
        <f>'Data Sheet 7'!O$7</f>
        <v>0</v>
      </c>
      <c r="AG8" s="421">
        <f>'Data Sheet 7'!M$8</f>
        <v>0</v>
      </c>
      <c r="AH8" s="420"/>
      <c r="AI8" s="421">
        <f>'Data Sheet 7'!O$8</f>
        <v>0</v>
      </c>
      <c r="AJ8" s="421">
        <f>'Data Sheet 7'!M$9</f>
        <v>0</v>
      </c>
      <c r="AK8" s="420"/>
      <c r="AL8" s="421">
        <f>'Data Sheet 7'!O$9</f>
        <v>0</v>
      </c>
      <c r="AM8" s="421">
        <f>'Data Sheet 7'!M$10</f>
        <v>0</v>
      </c>
      <c r="AN8" s="420"/>
      <c r="AO8" s="421">
        <f>'Data Sheet 7'!O$10</f>
        <v>0</v>
      </c>
      <c r="AP8" s="420" t="str">
        <f>IF('Data Sheet 7'!G5="","",'Data Sheet 7'!G5)</f>
        <v/>
      </c>
      <c r="AQ8" s="420"/>
      <c r="AR8" s="419">
        <f>'Data Sheet 7'!L$14</f>
        <v>0</v>
      </c>
      <c r="AS8" s="419">
        <f>'Data Sheet 7'!L$15</f>
        <v>0</v>
      </c>
      <c r="AT8" s="419">
        <f>'Data Sheet 7'!L$16</f>
        <v>0</v>
      </c>
      <c r="AU8" s="419">
        <f>'Data Sheet 7'!L$17</f>
        <v>0</v>
      </c>
      <c r="AV8" s="419">
        <f>'Data Sheet 7'!L$18</f>
        <v>0</v>
      </c>
      <c r="AW8" s="419">
        <f>'Data Sheet 7'!L$19</f>
        <v>0</v>
      </c>
      <c r="AX8" s="419">
        <f>'Data Sheet 7'!L$20</f>
        <v>0</v>
      </c>
      <c r="AY8" s="419">
        <f>'Data Sheet 7'!M$14</f>
        <v>0</v>
      </c>
      <c r="AZ8" s="419">
        <f>'Data Sheet 7'!M$15</f>
        <v>0</v>
      </c>
      <c r="BA8" s="419">
        <f>'Data Sheet 7'!M$16</f>
        <v>0</v>
      </c>
      <c r="BB8" s="419">
        <f>'Data Sheet 7'!M$17</f>
        <v>0</v>
      </c>
      <c r="BC8" s="419">
        <f>'Data Sheet 7'!M$18</f>
        <v>0</v>
      </c>
      <c r="BD8" s="419">
        <f>'Data Sheet 7'!M$138</f>
        <v>0</v>
      </c>
      <c r="BE8" s="419">
        <f>'Data Sheet 7'!M$20</f>
        <v>0</v>
      </c>
      <c r="BF8" s="419">
        <f>'Data Sheet 7'!Q$13</f>
        <v>0</v>
      </c>
      <c r="BG8" s="419">
        <f>'Data Sheet 7'!Q$14</f>
        <v>0</v>
      </c>
    </row>
    <row r="9" spans="1:59" x14ac:dyDescent="0.2">
      <c r="A9" s="420">
        <f>'Data Sheet 8'!D$5</f>
        <v>0</v>
      </c>
      <c r="B9" s="420">
        <f>'Data Sheet 8'!D$6</f>
        <v>0</v>
      </c>
      <c r="C9" s="420" t="str">
        <f>'Data Sheet 8'!G$6</f>
        <v/>
      </c>
      <c r="D9" s="420" t="str">
        <f>'Data Sheet 8'!I4</f>
        <v/>
      </c>
      <c r="E9" s="420">
        <f>'Data Sheet 8'!H$15</f>
        <v>0</v>
      </c>
      <c r="F9" s="420">
        <f>'Data Sheet 8'!H$17</f>
        <v>0</v>
      </c>
      <c r="G9" s="420">
        <f>'Data Sheet 8'!D$18</f>
        <v>0</v>
      </c>
      <c r="H9" s="420">
        <f>'Data Sheet 8'!D$19</f>
        <v>0</v>
      </c>
      <c r="I9" s="420">
        <f>'Data Sheet 8'!D$20</f>
        <v>0</v>
      </c>
      <c r="J9" s="420">
        <f>'Data Sheet 8'!D$9</f>
        <v>0</v>
      </c>
      <c r="K9" s="420">
        <f>'Data Sheet 8'!D$10</f>
        <v>0</v>
      </c>
      <c r="L9" s="420">
        <f>'Data Sheet 8'!D$11</f>
        <v>0</v>
      </c>
      <c r="M9" s="420">
        <f>'Data Sheet 8'!D$12</f>
        <v>0</v>
      </c>
      <c r="N9" s="420">
        <f>'Data Sheet 8'!D$13</f>
        <v>0</v>
      </c>
      <c r="O9" s="420">
        <f>'Data Sheet 8'!D9</f>
        <v>0</v>
      </c>
      <c r="P9" s="420">
        <f>'Data Sheet 8'!$D$8</f>
        <v>0</v>
      </c>
      <c r="Q9" s="420"/>
      <c r="R9" s="420">
        <f>'Data Sheet 8'!D14</f>
        <v>0</v>
      </c>
      <c r="S9" s="420">
        <f>'Data Sheet 8'!D$15</f>
        <v>0</v>
      </c>
      <c r="T9" s="420">
        <f>'Data Sheet 8'!Q$20</f>
        <v>0</v>
      </c>
      <c r="U9" s="420">
        <f>'Data Sheet 8'!I$9</f>
        <v>0</v>
      </c>
      <c r="V9" s="420">
        <f>'Data Sheet 8'!I$10</f>
        <v>0</v>
      </c>
      <c r="W9" s="420">
        <f>'Data Sheet 8'!I$11</f>
        <v>0</v>
      </c>
      <c r="X9" s="421">
        <f>'Data Sheet 8'!I$12</f>
        <v>0</v>
      </c>
      <c r="Y9" s="421">
        <f>'Data Sheet 8'!H$20</f>
        <v>0</v>
      </c>
      <c r="Z9" s="421">
        <f>'Data Sheet 8'!H$19</f>
        <v>0</v>
      </c>
      <c r="AA9" s="421">
        <f>'Data Sheet 8'!M$5</f>
        <v>0</v>
      </c>
      <c r="AB9" s="421">
        <f>'Data Sheet 8'!O$5</f>
        <v>0</v>
      </c>
      <c r="AC9" s="420">
        <v>0</v>
      </c>
      <c r="AD9" s="421">
        <f>'Data Sheet 8'!N$6</f>
        <v>0</v>
      </c>
      <c r="AE9" s="421">
        <f>'Data Sheet 8'!M$7</f>
        <v>0</v>
      </c>
      <c r="AF9" s="421">
        <f>'Data Sheet 8'!O$7</f>
        <v>0</v>
      </c>
      <c r="AG9" s="421">
        <f>'Data Sheet 8'!M$8</f>
        <v>0</v>
      </c>
      <c r="AH9" s="420"/>
      <c r="AI9" s="421">
        <f>'Data Sheet 8'!O$8</f>
        <v>0</v>
      </c>
      <c r="AJ9" s="421">
        <f>'Data Sheet 8'!M$9</f>
        <v>0</v>
      </c>
      <c r="AK9" s="420"/>
      <c r="AL9" s="421">
        <f>'Data Sheet 8'!O$9</f>
        <v>0</v>
      </c>
      <c r="AM9" s="421">
        <f>'Data Sheet 8'!M$10</f>
        <v>0</v>
      </c>
      <c r="AN9" s="420"/>
      <c r="AO9" s="421">
        <f>'Data Sheet 8'!O$10</f>
        <v>0</v>
      </c>
      <c r="AP9" s="420" t="str">
        <f>IF('Data Sheet 8'!G5="","",'Data Sheet 8'!G5)</f>
        <v/>
      </c>
      <c r="AQ9" s="420"/>
      <c r="AR9" s="419">
        <f>'Data Sheet 8'!L$14</f>
        <v>0</v>
      </c>
      <c r="AS9" s="419">
        <f>'Data Sheet 8'!L$15</f>
        <v>0</v>
      </c>
      <c r="AT9" s="419">
        <f>'Data Sheet 8'!L$16</f>
        <v>0</v>
      </c>
      <c r="AU9" s="419">
        <f>'Data Sheet 8'!L$17</f>
        <v>0</v>
      </c>
      <c r="AV9" s="419">
        <f>'Data Sheet 8'!L$18</f>
        <v>0</v>
      </c>
      <c r="AW9" s="419">
        <f>'Data Sheet 8'!L$19</f>
        <v>0</v>
      </c>
      <c r="AX9" s="419">
        <f>'Data Sheet 8'!L$20</f>
        <v>0</v>
      </c>
      <c r="AY9" s="419">
        <f>'Data Sheet 8'!M$14</f>
        <v>0</v>
      </c>
      <c r="AZ9" s="419">
        <f>'Data Sheet 8'!M$15</f>
        <v>0</v>
      </c>
      <c r="BA9" s="419">
        <f>'Data Sheet 8'!M$16</f>
        <v>0</v>
      </c>
      <c r="BB9" s="419">
        <f>'Data Sheet 8'!M$17</f>
        <v>0</v>
      </c>
      <c r="BC9" s="419">
        <f>'Data Sheet 8'!M$18</f>
        <v>0</v>
      </c>
      <c r="BD9" s="419">
        <f>'Data Sheet 8'!M$138</f>
        <v>0</v>
      </c>
      <c r="BE9" s="419">
        <f>'Data Sheet 8'!M$20</f>
        <v>0</v>
      </c>
      <c r="BF9" s="419">
        <f>'Data Sheet 8'!Q$13</f>
        <v>0</v>
      </c>
      <c r="BG9" s="419">
        <f>'Data Sheet 8'!Q$14</f>
        <v>0</v>
      </c>
    </row>
    <row r="10" spans="1:59" x14ac:dyDescent="0.2">
      <c r="A10" s="420">
        <f>'Data Sheet 9'!D$5</f>
        <v>0</v>
      </c>
      <c r="B10" s="420">
        <f>'Data Sheet 9'!D$6</f>
        <v>0</v>
      </c>
      <c r="C10" s="420" t="str">
        <f>'Data Sheet 9'!G$6</f>
        <v/>
      </c>
      <c r="D10" s="420" t="str">
        <f>'Data Sheet 9'!I4</f>
        <v/>
      </c>
      <c r="E10" s="420">
        <f>'Data Sheet 9'!H$15</f>
        <v>0</v>
      </c>
      <c r="F10" s="420">
        <f>'Data Sheet 9'!H$17</f>
        <v>0</v>
      </c>
      <c r="G10" s="420">
        <f>'Data Sheet 9'!D$18</f>
        <v>0</v>
      </c>
      <c r="H10" s="420">
        <f>'Data Sheet 9'!D$19</f>
        <v>0</v>
      </c>
      <c r="I10" s="420">
        <f>'Data Sheet 9'!D$20</f>
        <v>0</v>
      </c>
      <c r="J10" s="420">
        <f>'Data Sheet 9'!D$9</f>
        <v>0</v>
      </c>
      <c r="K10" s="420">
        <f>'Data Sheet 9'!D$10</f>
        <v>0</v>
      </c>
      <c r="L10" s="420">
        <f>'Data Sheet 9'!D$11</f>
        <v>0</v>
      </c>
      <c r="M10" s="420">
        <f>'Data Sheet 9'!D$12</f>
        <v>0</v>
      </c>
      <c r="N10" s="420">
        <f>'Data Sheet 9'!D$13</f>
        <v>0</v>
      </c>
      <c r="O10" s="420">
        <f>'Data Sheet 9'!D9</f>
        <v>0</v>
      </c>
      <c r="P10" s="420">
        <f>'Data Sheet 9'!$D$8</f>
        <v>0</v>
      </c>
      <c r="Q10" s="420"/>
      <c r="R10" s="420">
        <f>'Data Sheet 9'!D14</f>
        <v>0</v>
      </c>
      <c r="S10" s="420">
        <f>'Data Sheet 9'!D$15</f>
        <v>0</v>
      </c>
      <c r="T10" s="420">
        <f>'Data Sheet 9'!Q$20</f>
        <v>0</v>
      </c>
      <c r="U10" s="420">
        <f>'Data Sheet 9'!I$9</f>
        <v>0</v>
      </c>
      <c r="V10" s="420">
        <f>'Data Sheet 9'!I$10</f>
        <v>0</v>
      </c>
      <c r="W10" s="420">
        <f>'Data Sheet 9'!I$11</f>
        <v>0</v>
      </c>
      <c r="X10" s="421">
        <f>'Data Sheet 9'!I$12</f>
        <v>0</v>
      </c>
      <c r="Y10" s="421">
        <f>'Data Sheet 9'!H$20</f>
        <v>0</v>
      </c>
      <c r="Z10" s="421">
        <f>'Data Sheet 9'!H$19</f>
        <v>0</v>
      </c>
      <c r="AA10" s="421">
        <f>'Data Sheet 9'!M$5</f>
        <v>0</v>
      </c>
      <c r="AB10" s="421">
        <f>'Data Sheet 9'!O$5</f>
        <v>0</v>
      </c>
      <c r="AC10" s="420">
        <v>0</v>
      </c>
      <c r="AD10" s="421">
        <f>'Data Sheet 9'!N$6</f>
        <v>0</v>
      </c>
      <c r="AE10" s="421">
        <f>'Data Sheet 9'!M$7</f>
        <v>0</v>
      </c>
      <c r="AF10" s="421">
        <f>'Data Sheet 9'!O$7</f>
        <v>0</v>
      </c>
      <c r="AG10" s="421">
        <f>'Data Sheet 9'!M$8</f>
        <v>0</v>
      </c>
      <c r="AH10" s="420"/>
      <c r="AI10" s="421">
        <f>'Data Sheet 9'!O$8</f>
        <v>0</v>
      </c>
      <c r="AJ10" s="421">
        <f>'Data Sheet 9'!M$9</f>
        <v>0</v>
      </c>
      <c r="AK10" s="420"/>
      <c r="AL10" s="421">
        <f>'Data Sheet 9'!O$9</f>
        <v>0</v>
      </c>
      <c r="AM10" s="421">
        <f>'Data Sheet 9'!M$10</f>
        <v>0</v>
      </c>
      <c r="AN10" s="420"/>
      <c r="AO10" s="421">
        <f>'Data Sheet 9'!O$10</f>
        <v>0</v>
      </c>
      <c r="AP10" s="420" t="str">
        <f>IF('Data Sheet 9'!G5="","",'Data Sheet 9'!G5)</f>
        <v/>
      </c>
      <c r="AQ10" s="420"/>
      <c r="AR10" s="419">
        <f>'Data Sheet 9'!L$14</f>
        <v>0</v>
      </c>
      <c r="AS10" s="419">
        <f>'Data Sheet 9'!L$15</f>
        <v>0</v>
      </c>
      <c r="AT10" s="419">
        <f>'Data Sheet 9'!L$16</f>
        <v>0</v>
      </c>
      <c r="AU10" s="419">
        <f>'Data Sheet 9'!L$17</f>
        <v>0</v>
      </c>
      <c r="AV10" s="419">
        <f>'Data Sheet 9'!L$18</f>
        <v>0</v>
      </c>
      <c r="AW10" s="419">
        <f>'Data Sheet 9'!L$19</f>
        <v>0</v>
      </c>
      <c r="AX10" s="419">
        <f>'Data Sheet 9'!L$20</f>
        <v>0</v>
      </c>
      <c r="AY10" s="419">
        <f>'Data Sheet 9'!M$14</f>
        <v>0</v>
      </c>
      <c r="AZ10" s="419">
        <f>'Data Sheet 9'!M$15</f>
        <v>0</v>
      </c>
      <c r="BA10" s="419">
        <f>'Data Sheet 9'!M$16</f>
        <v>0</v>
      </c>
      <c r="BB10" s="419">
        <f>'Data Sheet 9'!M$17</f>
        <v>0</v>
      </c>
      <c r="BC10" s="419">
        <f>'Data Sheet 9'!M$18</f>
        <v>0</v>
      </c>
      <c r="BD10" s="419">
        <f>'Data Sheet 9'!M$138</f>
        <v>0</v>
      </c>
      <c r="BE10" s="419">
        <f>'Data Sheet 9'!M$20</f>
        <v>0</v>
      </c>
      <c r="BF10" s="419">
        <f>'Data Sheet 9'!Q$13</f>
        <v>0</v>
      </c>
      <c r="BG10" s="419">
        <f>'Data Sheet 9'!Q$14</f>
        <v>0</v>
      </c>
    </row>
  </sheetData>
  <sheetProtection password="C57F"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6" transitionEvaluation="1">
    <pageSetUpPr fitToPage="1"/>
  </sheetPr>
  <dimension ref="A1:L67"/>
  <sheetViews>
    <sheetView showGridLines="0" topLeftCell="A16" zoomScale="80" zoomScaleNormal="80" workbookViewId="0">
      <selection activeCell="E58" sqref="E58"/>
    </sheetView>
  </sheetViews>
  <sheetFormatPr defaultColWidth="9.77734375" defaultRowHeight="15" x14ac:dyDescent="0.2"/>
  <cols>
    <col min="1" max="1" width="12.77734375" style="17" customWidth="1"/>
    <col min="2" max="3" width="9.77734375" style="17"/>
    <col min="4" max="4" width="1.77734375" style="17" customWidth="1"/>
    <col min="5" max="5" width="13.109375" style="24" customWidth="1"/>
    <col min="6" max="6" width="1.77734375" style="24" customWidth="1"/>
    <col min="7" max="7" width="13.77734375" style="24" customWidth="1"/>
    <col min="8" max="8" width="1.77734375" style="24" customWidth="1"/>
    <col min="9" max="9" width="13.21875" style="24" customWidth="1"/>
    <col min="10" max="10" width="2.77734375" style="17" customWidth="1"/>
    <col min="11" max="16384" width="9.77734375" style="17"/>
  </cols>
  <sheetData>
    <row r="1" spans="1:9" s="2" customFormat="1" ht="24" thickBot="1" x14ac:dyDescent="0.25">
      <c r="A1" s="431" t="s">
        <v>166</v>
      </c>
      <c r="B1" s="434"/>
      <c r="C1" s="434"/>
      <c r="D1" s="434"/>
      <c r="E1" s="434"/>
      <c r="F1" s="434"/>
      <c r="G1" s="434"/>
      <c r="H1" s="435"/>
      <c r="I1" s="436"/>
    </row>
    <row r="2" spans="1:9" x14ac:dyDescent="0.2">
      <c r="A2" s="16"/>
    </row>
    <row r="3" spans="1:9" s="45" customFormat="1" x14ac:dyDescent="0.2">
      <c r="A3" s="5" t="str">
        <f>'TSP HG-ISO Run1'!C3</f>
        <v>NoSouth Sway</v>
      </c>
      <c r="E3" s="247"/>
      <c r="F3" s="247"/>
      <c r="G3" s="247"/>
      <c r="H3" s="247"/>
      <c r="I3" s="247"/>
    </row>
    <row r="4" spans="1:9" s="45" customFormat="1" x14ac:dyDescent="0.2">
      <c r="A4" s="6" t="s">
        <v>225</v>
      </c>
      <c r="B4" s="248" t="s">
        <v>258</v>
      </c>
      <c r="C4" s="248"/>
      <c r="E4" s="247"/>
      <c r="F4" s="247"/>
      <c r="G4" s="247"/>
      <c r="H4" s="247"/>
      <c r="I4" s="247"/>
    </row>
    <row r="5" spans="1:9" s="45" customFormat="1" ht="15.75" x14ac:dyDescent="0.25">
      <c r="A5" s="7" t="str">
        <f>'TSP HG-ISO Run1'!C5</f>
        <v>Scrubber (Boiler 7)</v>
      </c>
      <c r="B5" s="248"/>
      <c r="C5" s="248"/>
      <c r="E5" s="247"/>
      <c r="F5" s="247"/>
      <c r="G5" s="247"/>
      <c r="H5" s="247"/>
      <c r="I5" s="247"/>
    </row>
    <row r="6" spans="1:9" s="45" customFormat="1" ht="15.75" x14ac:dyDescent="0.25">
      <c r="A6" s="18" t="s">
        <v>167</v>
      </c>
      <c r="B6" s="248"/>
      <c r="C6" s="248"/>
      <c r="E6" s="247"/>
      <c r="F6" s="247"/>
      <c r="G6" s="247"/>
      <c r="H6" s="247"/>
      <c r="I6" s="247"/>
    </row>
    <row r="7" spans="1:9" s="45" customFormat="1" x14ac:dyDescent="0.25">
      <c r="A7" s="250"/>
      <c r="B7" s="248"/>
      <c r="C7" s="248"/>
      <c r="E7" s="247"/>
      <c r="F7" s="247"/>
      <c r="G7" s="247"/>
      <c r="H7" s="247"/>
      <c r="I7" s="247"/>
    </row>
    <row r="8" spans="1:9" s="45" customFormat="1" ht="14.25" x14ac:dyDescent="0.2">
      <c r="A8" s="47" t="s">
        <v>0</v>
      </c>
      <c r="E8" s="47">
        <v>1</v>
      </c>
      <c r="F8" s="247"/>
      <c r="G8" s="47">
        <v>2</v>
      </c>
      <c r="H8" s="247"/>
      <c r="I8" s="47">
        <v>3</v>
      </c>
    </row>
    <row r="9" spans="1:9" s="45" customFormat="1" ht="14.25" x14ac:dyDescent="0.2">
      <c r="A9" s="47" t="s">
        <v>3</v>
      </c>
      <c r="E9" s="251">
        <f>'TSP HG-ISO Run1'!$C7</f>
        <v>41855</v>
      </c>
      <c r="F9" s="247"/>
      <c r="G9" s="251">
        <f>'TSP HG-ISO Run1'!$C7</f>
        <v>41855</v>
      </c>
      <c r="H9" s="247"/>
      <c r="I9" s="251">
        <f>'TSP HG-ISO Run3'!$C7</f>
        <v>41855</v>
      </c>
    </row>
    <row r="10" spans="1:9" s="45" customFormat="1" ht="14.25" x14ac:dyDescent="0.2">
      <c r="A10" s="47" t="s">
        <v>4</v>
      </c>
      <c r="E10" s="49" t="str">
        <f>'TSP HG-ISO Run1'!$C10</f>
        <v>1035-1240</v>
      </c>
      <c r="F10" s="247"/>
      <c r="G10" s="49" t="str">
        <f>'TSP HG-ISO Run2'!C10</f>
        <v>1330-1535</v>
      </c>
      <c r="H10" s="247"/>
      <c r="I10" s="49" t="str">
        <f>'TSP HG-ISO Run3'!$C10</f>
        <v>1610-1815</v>
      </c>
    </row>
    <row r="11" spans="1:9" s="45" customFormat="1" ht="14.25" x14ac:dyDescent="0.2">
      <c r="A11" s="47"/>
      <c r="E11" s="47"/>
      <c r="F11" s="247"/>
      <c r="G11" s="47"/>
      <c r="H11" s="247"/>
      <c r="I11" s="47"/>
    </row>
    <row r="12" spans="1:9" s="45" customFormat="1" ht="14.25" x14ac:dyDescent="0.2">
      <c r="A12" s="47" t="s">
        <v>168</v>
      </c>
      <c r="E12" s="252">
        <f>'TSP HG-ISO Run1'!$E31</f>
        <v>108.45271540419591</v>
      </c>
      <c r="F12" s="252"/>
      <c r="G12" s="252">
        <f>'TSP HG-ISO Run2'!$E31</f>
        <v>112.87362548733758</v>
      </c>
      <c r="H12" s="252"/>
      <c r="I12" s="252">
        <f>'TSP HG-ISO Run3'!$E31</f>
        <v>114.74256903799498</v>
      </c>
    </row>
    <row r="13" spans="1:9" s="45" customFormat="1" ht="14.25" x14ac:dyDescent="0.2">
      <c r="A13" s="47" t="s">
        <v>169</v>
      </c>
      <c r="E13" s="253">
        <f>'TSP HG-ISO Run1'!$E44</f>
        <v>26901.59499818835</v>
      </c>
      <c r="F13" s="247"/>
      <c r="G13" s="253">
        <f>'TSP HG-ISO Run2'!$E44</f>
        <v>27302.363699969515</v>
      </c>
      <c r="H13" s="247"/>
      <c r="I13" s="253">
        <f>'TSP HG-ISO Run3'!$E44</f>
        <v>27439.100790044729</v>
      </c>
    </row>
    <row r="14" spans="1:9" s="45" customFormat="1" ht="14.25" x14ac:dyDescent="0.2">
      <c r="A14" s="47" t="s">
        <v>170</v>
      </c>
      <c r="E14" s="254">
        <f>'TSP HG-ISO Run1'!$E20</f>
        <v>13.216702741702736</v>
      </c>
      <c r="F14" s="247"/>
      <c r="G14" s="254">
        <f>'TSP HG-ISO Run2'!$E20</f>
        <v>12.26253591954023</v>
      </c>
      <c r="H14" s="247"/>
      <c r="I14" s="254">
        <f>'TSP HG-ISO Run3'!$E20</f>
        <v>12.688997113997111</v>
      </c>
    </row>
    <row r="15" spans="1:9" s="45" customFormat="1" ht="14.25" x14ac:dyDescent="0.2">
      <c r="A15" s="47" t="s">
        <v>263</v>
      </c>
      <c r="E15" s="255">
        <v>9780</v>
      </c>
      <c r="F15" s="247"/>
      <c r="G15" s="255">
        <v>9780</v>
      </c>
      <c r="H15" s="247"/>
      <c r="I15" s="255">
        <v>9780</v>
      </c>
    </row>
    <row r="16" spans="1:9" s="45" customFormat="1" ht="14.25" x14ac:dyDescent="0.2">
      <c r="A16" s="47"/>
      <c r="E16" s="254"/>
      <c r="F16" s="247"/>
      <c r="G16" s="254"/>
      <c r="H16" s="247"/>
      <c r="I16" s="254"/>
    </row>
    <row r="17" spans="1:9" s="45" customFormat="1" x14ac:dyDescent="0.25">
      <c r="A17" s="256" t="s">
        <v>171</v>
      </c>
      <c r="B17" s="257"/>
      <c r="C17" s="257"/>
      <c r="D17" s="257"/>
      <c r="E17" s="258"/>
      <c r="F17" s="258"/>
      <c r="G17" s="258"/>
      <c r="H17" s="258"/>
      <c r="I17" s="259"/>
    </row>
    <row r="18" spans="1:9" s="45" customFormat="1" ht="14.25" x14ac:dyDescent="0.2">
      <c r="A18" s="47" t="s">
        <v>172</v>
      </c>
      <c r="D18" s="260"/>
      <c r="E18" s="252">
        <v>0</v>
      </c>
      <c r="F18" s="252"/>
      <c r="G18" s="252">
        <v>2.1999999999999999E-2</v>
      </c>
      <c r="H18" s="252"/>
      <c r="I18" s="252">
        <v>0.161</v>
      </c>
    </row>
    <row r="19" spans="1:9" s="45" customFormat="1" ht="14.25" x14ac:dyDescent="0.2">
      <c r="A19" s="47" t="s">
        <v>173</v>
      </c>
      <c r="E19" s="252">
        <v>0</v>
      </c>
      <c r="F19" s="252"/>
      <c r="G19" s="252">
        <v>0</v>
      </c>
      <c r="H19" s="252"/>
      <c r="I19" s="252">
        <v>0</v>
      </c>
    </row>
    <row r="20" spans="1:9" s="45" customFormat="1" ht="14.25" x14ac:dyDescent="0.2">
      <c r="A20" s="47" t="s">
        <v>174</v>
      </c>
      <c r="D20" s="260"/>
      <c r="E20" s="252">
        <f>(E18-E19)</f>
        <v>0</v>
      </c>
      <c r="F20" s="252"/>
      <c r="G20" s="252">
        <f>(G18-G19)</f>
        <v>2.1999999999999999E-2</v>
      </c>
      <c r="H20" s="252"/>
      <c r="I20" s="252">
        <f>(I18-I19)</f>
        <v>0.161</v>
      </c>
    </row>
    <row r="21" spans="1:9" s="45" customFormat="1" ht="14.25" x14ac:dyDescent="0.2">
      <c r="A21" s="47" t="s">
        <v>175</v>
      </c>
      <c r="D21" s="260"/>
      <c r="E21" s="261">
        <f>(E20/E12*E13/60000000)</f>
        <v>0</v>
      </c>
      <c r="F21" s="261"/>
      <c r="G21" s="261">
        <f>(G20/G12*G13/60000000)</f>
        <v>8.8690928875247866E-8</v>
      </c>
      <c r="H21" s="252"/>
      <c r="I21" s="261">
        <f>(I20/I12*I13/60000000)</f>
        <v>6.4168210982132818E-7</v>
      </c>
    </row>
    <row r="22" spans="1:9" s="45" customFormat="1" ht="14.25" x14ac:dyDescent="0.2">
      <c r="A22" s="47" t="s">
        <v>176</v>
      </c>
      <c r="D22" s="260"/>
      <c r="E22" s="261">
        <f>(E21*7.938)</f>
        <v>0</v>
      </c>
      <c r="F22" s="247"/>
      <c r="G22" s="261">
        <f>(G21*7.938)</f>
        <v>7.0402859341171753E-7</v>
      </c>
      <c r="H22" s="47"/>
      <c r="I22" s="261">
        <f>(I21*7.938)</f>
        <v>5.0936725877617027E-6</v>
      </c>
    </row>
    <row r="23" spans="1:9" s="45" customFormat="1" ht="14.25" x14ac:dyDescent="0.2">
      <c r="E23" s="247"/>
      <c r="F23" s="247"/>
      <c r="G23" s="247"/>
      <c r="H23" s="247"/>
      <c r="I23" s="247"/>
    </row>
    <row r="24" spans="1:9" s="45" customFormat="1" x14ac:dyDescent="0.25">
      <c r="A24" s="256" t="s">
        <v>177</v>
      </c>
      <c r="B24" s="257"/>
      <c r="C24" s="257"/>
      <c r="D24" s="257"/>
      <c r="E24" s="258"/>
      <c r="F24" s="258"/>
      <c r="G24" s="258"/>
      <c r="H24" s="258"/>
      <c r="I24" s="259"/>
    </row>
    <row r="25" spans="1:9" s="45" customFormat="1" ht="14.25" x14ac:dyDescent="0.2">
      <c r="A25" s="47" t="s">
        <v>178</v>
      </c>
      <c r="E25" s="252">
        <v>1.71</v>
      </c>
      <c r="F25" s="252"/>
      <c r="G25" s="252">
        <v>3.17</v>
      </c>
      <c r="H25" s="252"/>
      <c r="I25" s="252">
        <v>2.58</v>
      </c>
    </row>
    <row r="26" spans="1:9" s="45" customFormat="1" ht="14.25" x14ac:dyDescent="0.2">
      <c r="A26" s="47" t="s">
        <v>179</v>
      </c>
      <c r="E26" s="252">
        <v>0</v>
      </c>
      <c r="F26" s="252"/>
      <c r="G26" s="252">
        <f>E26</f>
        <v>0</v>
      </c>
      <c r="H26" s="252"/>
      <c r="I26" s="252">
        <f>G26</f>
        <v>0</v>
      </c>
    </row>
    <row r="27" spans="1:9" s="45" customFormat="1" ht="14.25" x14ac:dyDescent="0.2">
      <c r="A27" s="47" t="s">
        <v>180</v>
      </c>
      <c r="E27" s="252">
        <f>(E25-E26)</f>
        <v>1.71</v>
      </c>
      <c r="F27" s="252"/>
      <c r="G27" s="252">
        <f>(G25-G26)</f>
        <v>3.17</v>
      </c>
      <c r="H27" s="252"/>
      <c r="I27" s="252">
        <f>(I25-I26)</f>
        <v>2.58</v>
      </c>
    </row>
    <row r="28" spans="1:9" s="45" customFormat="1" ht="14.25" x14ac:dyDescent="0.2">
      <c r="A28" s="47" t="s">
        <v>181</v>
      </c>
      <c r="E28" s="261">
        <f>(E27/E12*E13/60000000)</f>
        <v>7.0693984432842083E-6</v>
      </c>
      <c r="F28" s="261"/>
      <c r="G28" s="261">
        <f>(G27/G12*G13/60000000)</f>
        <v>1.2779556569751625E-5</v>
      </c>
      <c r="H28" s="252"/>
      <c r="I28" s="261">
        <f>(I27/I12*I13/60000000)</f>
        <v>1.028285616980762E-5</v>
      </c>
    </row>
    <row r="29" spans="1:9" s="45" customFormat="1" ht="14.25" x14ac:dyDescent="0.2">
      <c r="A29" s="47" t="s">
        <v>182</v>
      </c>
      <c r="E29" s="261">
        <f>(E28*7.938)</f>
        <v>5.6116884842790045E-5</v>
      </c>
      <c r="F29" s="247"/>
      <c r="G29" s="261">
        <f>(G28*7.938)</f>
        <v>1.014441200506884E-4</v>
      </c>
      <c r="H29" s="47"/>
      <c r="I29" s="261">
        <f>(I28*7.938)</f>
        <v>8.1625312275932887E-5</v>
      </c>
    </row>
    <row r="30" spans="1:9" s="45" customFormat="1" ht="14.25" x14ac:dyDescent="0.2">
      <c r="E30" s="247"/>
      <c r="F30" s="247"/>
      <c r="G30" s="247"/>
      <c r="H30" s="247"/>
      <c r="I30" s="247"/>
    </row>
    <row r="31" spans="1:9" s="45" customFormat="1" x14ac:dyDescent="0.25">
      <c r="A31" s="256" t="s">
        <v>183</v>
      </c>
      <c r="B31" s="257"/>
      <c r="C31" s="257"/>
      <c r="D31" s="257"/>
      <c r="E31" s="258"/>
      <c r="F31" s="258"/>
      <c r="G31" s="258"/>
      <c r="H31" s="258"/>
      <c r="I31" s="259"/>
    </row>
    <row r="32" spans="1:9" s="45" customFormat="1" ht="14.25" x14ac:dyDescent="0.2">
      <c r="A32" s="47" t="s">
        <v>184</v>
      </c>
      <c r="D32" s="260"/>
      <c r="E32" s="283">
        <v>5.3E-3</v>
      </c>
      <c r="F32" s="252"/>
      <c r="G32" s="283">
        <v>7.0000000000000001E-3</v>
      </c>
      <c r="H32" s="283"/>
      <c r="I32" s="283">
        <v>7.0000000000000001E-3</v>
      </c>
    </row>
    <row r="33" spans="1:9" s="45" customFormat="1" ht="14.25" x14ac:dyDescent="0.2">
      <c r="A33" s="47" t="s">
        <v>185</v>
      </c>
      <c r="E33" s="252">
        <v>0</v>
      </c>
      <c r="F33" s="252"/>
      <c r="G33" s="252">
        <f>E33</f>
        <v>0</v>
      </c>
      <c r="H33" s="252"/>
      <c r="I33" s="252">
        <f>G33</f>
        <v>0</v>
      </c>
    </row>
    <row r="34" spans="1:9" s="45" customFormat="1" ht="14.25" x14ac:dyDescent="0.2">
      <c r="A34" s="47" t="s">
        <v>186</v>
      </c>
      <c r="D34" s="260"/>
      <c r="E34" s="252">
        <f>(E32-E33)</f>
        <v>5.3E-3</v>
      </c>
      <c r="F34" s="252"/>
      <c r="G34" s="252">
        <f>(G32-G33)</f>
        <v>7.0000000000000001E-3</v>
      </c>
      <c r="H34" s="252"/>
      <c r="I34" s="252">
        <f>(I32-I33)</f>
        <v>7.0000000000000001E-3</v>
      </c>
    </row>
    <row r="35" spans="1:9" s="45" customFormat="1" ht="14.25" x14ac:dyDescent="0.2">
      <c r="A35" s="47" t="s">
        <v>187</v>
      </c>
      <c r="D35" s="260"/>
      <c r="E35" s="261">
        <f>(E34/E12*E13/60000000)</f>
        <v>2.1911001023044627E-8</v>
      </c>
      <c r="F35" s="252"/>
      <c r="G35" s="261">
        <f>(G34/G12*G13/60000000)</f>
        <v>2.821984100576069E-8</v>
      </c>
      <c r="H35" s="252"/>
      <c r="I35" s="261">
        <f>(I34/I12*I13/60000000)</f>
        <v>2.7899222166144704E-8</v>
      </c>
    </row>
    <row r="36" spans="1:9" s="45" customFormat="1" ht="14.25" x14ac:dyDescent="0.2">
      <c r="A36" s="47" t="s">
        <v>188</v>
      </c>
      <c r="D36" s="260"/>
      <c r="E36" s="261">
        <f>(E35*7.938)</f>
        <v>1.7392952612092824E-7</v>
      </c>
      <c r="F36" s="252"/>
      <c r="G36" s="261">
        <f>(G35*7.938)</f>
        <v>2.2400909790372834E-7</v>
      </c>
      <c r="H36" s="252"/>
      <c r="I36" s="261">
        <f>(I35*7.938)</f>
        <v>2.2146402555485665E-7</v>
      </c>
    </row>
    <row r="37" spans="1:9" s="45" customFormat="1" ht="14.25" x14ac:dyDescent="0.2">
      <c r="E37" s="247"/>
      <c r="F37" s="247"/>
      <c r="G37" s="247"/>
      <c r="H37" s="247"/>
      <c r="I37" s="247"/>
    </row>
    <row r="38" spans="1:9" s="45" customFormat="1" x14ac:dyDescent="0.25">
      <c r="A38" s="256" t="s">
        <v>189</v>
      </c>
      <c r="B38" s="257"/>
      <c r="C38" s="257"/>
      <c r="D38" s="257"/>
      <c r="E38" s="258"/>
      <c r="F38" s="258"/>
      <c r="G38" s="258"/>
      <c r="H38" s="258"/>
      <c r="I38" s="259"/>
    </row>
    <row r="39" spans="1:9" s="45" customFormat="1" ht="14.25" x14ac:dyDescent="0.2">
      <c r="A39" s="47" t="s">
        <v>190</v>
      </c>
      <c r="D39" s="47"/>
      <c r="E39" s="252">
        <v>0</v>
      </c>
      <c r="F39" s="252"/>
      <c r="G39" s="252">
        <v>0</v>
      </c>
      <c r="H39" s="252"/>
      <c r="I39" s="252">
        <v>0</v>
      </c>
    </row>
    <row r="40" spans="1:9" s="45" customFormat="1" ht="14.25" x14ac:dyDescent="0.2">
      <c r="A40" s="47" t="s">
        <v>191</v>
      </c>
      <c r="E40" s="252">
        <v>0</v>
      </c>
      <c r="F40" s="252"/>
      <c r="G40" s="252">
        <f>E40</f>
        <v>0</v>
      </c>
      <c r="H40" s="252"/>
      <c r="I40" s="252">
        <f>G40</f>
        <v>0</v>
      </c>
    </row>
    <row r="41" spans="1:9" s="45" customFormat="1" ht="14.25" x14ac:dyDescent="0.2">
      <c r="A41" s="47" t="s">
        <v>192</v>
      </c>
      <c r="D41" s="47"/>
      <c r="E41" s="252">
        <f>(E39-E40)</f>
        <v>0</v>
      </c>
      <c r="F41" s="252"/>
      <c r="G41" s="252">
        <f>(G39-G40)</f>
        <v>0</v>
      </c>
      <c r="H41" s="252"/>
      <c r="I41" s="252">
        <f>(I39-I40)</f>
        <v>0</v>
      </c>
    </row>
    <row r="42" spans="1:9" s="45" customFormat="1" ht="14.25" x14ac:dyDescent="0.2">
      <c r="A42" s="47" t="s">
        <v>193</v>
      </c>
      <c r="D42" s="47"/>
      <c r="E42" s="261">
        <f>(E41/E12*E13/60000000)</f>
        <v>0</v>
      </c>
      <c r="F42" s="47"/>
      <c r="G42" s="261">
        <f>(G41/G12*G13/60000000)</f>
        <v>0</v>
      </c>
      <c r="H42" s="47"/>
      <c r="I42" s="261">
        <f>(I41/I12*I13/60000000)</f>
        <v>0</v>
      </c>
    </row>
    <row r="43" spans="1:9" s="45" customFormat="1" ht="14.25" x14ac:dyDescent="0.2">
      <c r="A43" s="47" t="s">
        <v>194</v>
      </c>
      <c r="D43" s="47"/>
      <c r="E43" s="261">
        <f>(E42*7.938)</f>
        <v>0</v>
      </c>
      <c r="F43" s="47"/>
      <c r="G43" s="261">
        <f>(G42*7.938)</f>
        <v>0</v>
      </c>
      <c r="H43" s="47"/>
      <c r="I43" s="261">
        <f>(I42*7.938)</f>
        <v>0</v>
      </c>
    </row>
    <row r="44" spans="1:9" s="45" customFormat="1" ht="14.25" x14ac:dyDescent="0.2">
      <c r="E44" s="247"/>
      <c r="F44" s="247"/>
      <c r="G44" s="247"/>
      <c r="H44" s="247"/>
      <c r="I44" s="247"/>
    </row>
    <row r="45" spans="1:9" s="45" customFormat="1" x14ac:dyDescent="0.25">
      <c r="A45" s="256" t="s">
        <v>195</v>
      </c>
      <c r="B45" s="257"/>
      <c r="C45" s="257"/>
      <c r="D45" s="257"/>
      <c r="E45" s="258"/>
      <c r="F45" s="258"/>
      <c r="G45" s="258"/>
      <c r="H45" s="258"/>
      <c r="I45" s="259"/>
    </row>
    <row r="46" spans="1:9" s="45" customFormat="1" ht="14.25" x14ac:dyDescent="0.2">
      <c r="A46" s="47" t="s">
        <v>196</v>
      </c>
      <c r="D46" s="47"/>
      <c r="E46" s="252">
        <v>0.59199999999999997</v>
      </c>
      <c r="F46" s="252"/>
      <c r="G46" s="252">
        <v>0.24099999999999999</v>
      </c>
      <c r="H46" s="252"/>
      <c r="I46" s="252">
        <v>0.186</v>
      </c>
    </row>
    <row r="47" spans="1:9" s="45" customFormat="1" ht="14.25" x14ac:dyDescent="0.2">
      <c r="A47" s="47" t="s">
        <v>197</v>
      </c>
      <c r="E47" s="252">
        <v>0</v>
      </c>
      <c r="F47" s="252"/>
      <c r="G47" s="252">
        <f>E47</f>
        <v>0</v>
      </c>
      <c r="H47" s="252"/>
      <c r="I47" s="252">
        <f>G47</f>
        <v>0</v>
      </c>
    </row>
    <row r="48" spans="1:9" s="45" customFormat="1" ht="14.25" x14ac:dyDescent="0.2">
      <c r="A48" s="47" t="s">
        <v>198</v>
      </c>
      <c r="D48" s="47"/>
      <c r="E48" s="252">
        <f>(E46-E47)</f>
        <v>0.59199999999999997</v>
      </c>
      <c r="F48" s="252"/>
      <c r="G48" s="252">
        <f>(G46-G47)</f>
        <v>0.24099999999999999</v>
      </c>
      <c r="H48" s="252"/>
      <c r="I48" s="252">
        <f>(I46-I47)</f>
        <v>0.186</v>
      </c>
    </row>
    <row r="49" spans="1:12" s="45" customFormat="1" ht="14.25" x14ac:dyDescent="0.2">
      <c r="A49" s="47" t="s">
        <v>199</v>
      </c>
      <c r="D49" s="47"/>
      <c r="E49" s="261">
        <f>(E48/E12*E13/60000000)</f>
        <v>2.4474174727627201E-6</v>
      </c>
      <c r="F49" s="247"/>
      <c r="G49" s="261">
        <f>(G48/G12*G13/60000000)</f>
        <v>9.7156881176976066E-7</v>
      </c>
      <c r="H49" s="247"/>
      <c r="I49" s="261">
        <f>(I48/I12*I13/60000000)</f>
        <v>7.4132218898613071E-7</v>
      </c>
    </row>
    <row r="50" spans="1:12" s="45" customFormat="1" ht="14.25" x14ac:dyDescent="0.2">
      <c r="A50" s="47" t="s">
        <v>200</v>
      </c>
      <c r="D50" s="47"/>
      <c r="E50" s="261">
        <f>(E49*7.938)</f>
        <v>1.9427599898790473E-5</v>
      </c>
      <c r="F50" s="247"/>
      <c r="G50" s="261">
        <f>(G49*7.938)</f>
        <v>7.7123132278283606E-6</v>
      </c>
      <c r="H50" s="247"/>
      <c r="I50" s="261">
        <f>(I49*7.938)</f>
        <v>5.8846155361719053E-6</v>
      </c>
    </row>
    <row r="51" spans="1:12" s="45" customFormat="1" ht="14.25" x14ac:dyDescent="0.2">
      <c r="E51" s="247"/>
      <c r="F51" s="247"/>
      <c r="G51" s="247"/>
      <c r="H51" s="247"/>
      <c r="I51" s="247"/>
    </row>
    <row r="52" spans="1:12" s="45" customFormat="1" ht="14.25" x14ac:dyDescent="0.2">
      <c r="E52" s="247"/>
      <c r="F52" s="247"/>
      <c r="G52" s="247"/>
      <c r="H52" s="247"/>
      <c r="I52" s="247"/>
    </row>
    <row r="53" spans="1:12" s="45" customFormat="1" x14ac:dyDescent="0.25">
      <c r="A53" s="262" t="s">
        <v>201</v>
      </c>
      <c r="E53" s="247"/>
      <c r="F53" s="247"/>
      <c r="G53" s="247"/>
      <c r="H53" s="247"/>
      <c r="I53" s="247"/>
      <c r="K53" s="249" t="s">
        <v>9</v>
      </c>
      <c r="L53" s="263" t="s">
        <v>165</v>
      </c>
    </row>
    <row r="54" spans="1:12" s="45" customFormat="1" ht="14.25" x14ac:dyDescent="0.2">
      <c r="A54" s="47" t="s">
        <v>202</v>
      </c>
      <c r="E54" s="261">
        <f>(E21+E28+E35+E42+E49)</f>
        <v>9.5387269170699733E-6</v>
      </c>
      <c r="F54" s="247"/>
      <c r="G54" s="261">
        <f>(G21+G28+G35+G42+G49)</f>
        <v>1.3868036151402394E-5</v>
      </c>
      <c r="H54" s="247"/>
      <c r="I54" s="261">
        <f>(I21+I28+I35+I42+I49)</f>
        <v>1.1693759690781224E-5</v>
      </c>
      <c r="K54" s="261">
        <f>(E54+G54+I54)/3</f>
        <v>1.1700174253084531E-5</v>
      </c>
    </row>
    <row r="55" spans="1:12" s="264" customFormat="1" x14ac:dyDescent="0.25">
      <c r="A55" s="47" t="s">
        <v>203</v>
      </c>
      <c r="B55" s="45"/>
      <c r="C55" s="45"/>
      <c r="D55" s="45"/>
      <c r="E55" s="261">
        <f>(E22+E29+E36+E43+E50)</f>
        <v>7.5718414267701451E-5</v>
      </c>
      <c r="F55" s="247"/>
      <c r="G55" s="261">
        <f>(G22+G29+G36+G43+G50)</f>
        <v>1.100844709698322E-4</v>
      </c>
      <c r="H55" s="247"/>
      <c r="I55" s="261">
        <f>(I22+I29+I36+I43+I50)</f>
        <v>9.2825064425421357E-5</v>
      </c>
      <c r="K55" s="261">
        <f>(E55+G55+I55)/3</f>
        <v>9.2875983220985011E-5</v>
      </c>
      <c r="L55" s="45"/>
    </row>
    <row r="56" spans="1:12" s="45" customFormat="1" ht="14.25" x14ac:dyDescent="0.2">
      <c r="A56" s="47" t="s">
        <v>204</v>
      </c>
      <c r="E56" s="252">
        <f>((E20+E27+E34+E41+E48)/E12)*35.31</f>
        <v>0.75120998765557867</v>
      </c>
      <c r="F56" s="247"/>
      <c r="G56" s="252">
        <f>((G20+G27+G34+G41+G48)/G12)*35.31</f>
        <v>1.0761273900396366</v>
      </c>
      <c r="H56" s="247"/>
      <c r="I56" s="252">
        <f>((I20+I27+I34+I41+I48)/I12)*35.31</f>
        <v>0.90288670428578988</v>
      </c>
      <c r="K56" s="252">
        <f>(E56+G56+I56)/3</f>
        <v>0.91007469399366847</v>
      </c>
    </row>
    <row r="57" spans="1:12" s="45" customFormat="1" ht="14.25" x14ac:dyDescent="0.2">
      <c r="A57" s="278" t="s">
        <v>205</v>
      </c>
      <c r="B57" s="248"/>
      <c r="C57" s="248"/>
      <c r="D57" s="278"/>
      <c r="E57" s="279">
        <f>(E$56)*(13.9/(20.9-E14))</f>
        <v>1.3590283542832251</v>
      </c>
      <c r="F57" s="279"/>
      <c r="G57" s="279">
        <f>(G$56)*(13.9/(20.9-G14))</f>
        <v>1.7317780522399271</v>
      </c>
      <c r="H57" s="279"/>
      <c r="I57" s="279">
        <f>(I$56)*(13.9/(20.9-I14))</f>
        <v>1.5284521712891366</v>
      </c>
      <c r="K57" s="279">
        <f>(E57+G57+I57)/3</f>
        <v>1.539752859270763</v>
      </c>
    </row>
    <row r="58" spans="1:12" s="45" customFormat="1" x14ac:dyDescent="0.25">
      <c r="A58" s="250" t="s">
        <v>241</v>
      </c>
      <c r="B58" s="265"/>
      <c r="C58" s="265"/>
      <c r="D58" s="250"/>
      <c r="E58" s="266">
        <f>(20.9/(20.9-E14))*(E15*((E20+E27+E34+E41+E48)/1000000)/(E12*453.59))</f>
        <v>1.2477789921452244E-6</v>
      </c>
      <c r="F58" s="267"/>
      <c r="G58" s="266">
        <f>(20.9/(20.9-G14))*(G15*((G20+G27+G34+G41+G48)/1000000)/(G12*453.59))</f>
        <v>1.5900155915310826E-6</v>
      </c>
      <c r="H58" s="267"/>
      <c r="I58" s="266">
        <f>(20.9/(20.9-I14))*(I15*((I20+I27+I34+I41+I48)/1000000)/(I12*453.59))</f>
        <v>1.40333386262512E-6</v>
      </c>
      <c r="J58" s="267"/>
      <c r="K58" s="277">
        <f>AVERAGE(E58:J58)</f>
        <v>1.4137094821004757E-6</v>
      </c>
      <c r="L58" s="285">
        <v>2.1999999999999999E-5</v>
      </c>
    </row>
    <row r="59" spans="1:12" ht="15.75" x14ac:dyDescent="0.25">
      <c r="A59" s="27"/>
    </row>
    <row r="60" spans="1:12" ht="15.75" x14ac:dyDescent="0.25">
      <c r="A60" s="268" t="s">
        <v>12</v>
      </c>
      <c r="B60" s="45"/>
      <c r="C60" s="45"/>
      <c r="D60" s="45"/>
      <c r="E60" s="247"/>
      <c r="F60" s="247"/>
      <c r="G60" s="247"/>
    </row>
    <row r="61" spans="1:12" x14ac:dyDescent="0.2">
      <c r="A61" s="269" t="s">
        <v>206</v>
      </c>
      <c r="B61" s="270"/>
      <c r="C61" s="270"/>
      <c r="D61" s="270"/>
      <c r="E61" s="271"/>
      <c r="F61" s="271"/>
      <c r="G61" s="272"/>
    </row>
    <row r="62" spans="1:12" x14ac:dyDescent="0.2">
      <c r="A62" s="273" t="s">
        <v>207</v>
      </c>
      <c r="B62" s="248"/>
      <c r="C62" s="248"/>
      <c r="D62" s="248"/>
      <c r="E62" s="274"/>
      <c r="F62" s="274"/>
      <c r="G62" s="275"/>
    </row>
    <row r="63" spans="1:12" x14ac:dyDescent="0.2">
      <c r="A63" s="273" t="s">
        <v>208</v>
      </c>
      <c r="B63" s="248"/>
      <c r="C63" s="248"/>
      <c r="D63" s="248"/>
      <c r="E63" s="274"/>
      <c r="F63" s="274"/>
      <c r="G63" s="275"/>
    </row>
    <row r="64" spans="1:12" x14ac:dyDescent="0.2">
      <c r="A64" s="276" t="s">
        <v>209</v>
      </c>
      <c r="B64" s="248"/>
      <c r="C64" s="248"/>
      <c r="D64" s="248"/>
      <c r="E64" s="274"/>
      <c r="F64" s="274"/>
      <c r="G64" s="275"/>
    </row>
    <row r="65" spans="1:7" x14ac:dyDescent="0.2">
      <c r="A65" s="273" t="s">
        <v>210</v>
      </c>
      <c r="B65" s="248"/>
      <c r="C65" s="248"/>
      <c r="D65" s="248"/>
      <c r="E65" s="274"/>
      <c r="F65" s="274"/>
      <c r="G65" s="275"/>
    </row>
    <row r="66" spans="1:7" x14ac:dyDescent="0.2">
      <c r="A66" s="280" t="s">
        <v>264</v>
      </c>
      <c r="B66" s="23"/>
      <c r="C66" s="23"/>
      <c r="D66" s="23"/>
      <c r="E66" s="26"/>
      <c r="F66" s="26"/>
      <c r="G66" s="29"/>
    </row>
    <row r="67" spans="1:7" x14ac:dyDescent="0.2">
      <c r="A67" s="16"/>
    </row>
  </sheetData>
  <mergeCells count="1">
    <mergeCell ref="A1:I1"/>
  </mergeCells>
  <pageMargins left="0.95" right="0.7" top="0.75" bottom="0.75" header="0.3" footer="0.3"/>
  <pageSetup scale="7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topLeftCell="A5" zoomScale="75" zoomScaleNormal="75" workbookViewId="0">
      <selection activeCell="D36" sqref="D36"/>
    </sheetView>
  </sheetViews>
  <sheetFormatPr defaultRowHeight="15.75" x14ac:dyDescent="0.25"/>
  <cols>
    <col min="1" max="1" width="13.77734375" style="17" customWidth="1"/>
    <col min="2" max="2" width="9" style="17" customWidth="1"/>
    <col min="3" max="3" width="16.77734375" style="17" customWidth="1"/>
    <col min="4" max="4" width="13.5546875" style="17" customWidth="1"/>
    <col min="5" max="5" width="15.6640625" style="17" customWidth="1"/>
    <col min="6" max="7" width="13.33203125" style="17" customWidth="1"/>
    <col min="8" max="8" width="9.88671875" style="17" customWidth="1"/>
    <col min="9" max="9" width="9.88671875" style="35" customWidth="1"/>
    <col min="10" max="12" width="12.6640625" style="17" customWidth="1"/>
    <col min="13" max="16384" width="8.88671875" style="17"/>
  </cols>
  <sheetData>
    <row r="1" spans="1:10" ht="27" thickBot="1" x14ac:dyDescent="0.45">
      <c r="A1" s="437" t="s">
        <v>26</v>
      </c>
      <c r="B1" s="438"/>
      <c r="C1" s="438"/>
      <c r="D1" s="438"/>
      <c r="E1" s="438"/>
      <c r="F1" s="438"/>
      <c r="G1" s="438"/>
      <c r="H1" s="438"/>
      <c r="I1" s="439"/>
    </row>
    <row r="3" spans="1:10" x14ac:dyDescent="0.25">
      <c r="A3" s="5" t="str">
        <f>'TSP HG-ISO Run1'!C3</f>
        <v>NoSouth Sway</v>
      </c>
      <c r="B3" s="2"/>
      <c r="C3" s="32"/>
      <c r="D3" s="33"/>
      <c r="E3" s="34"/>
    </row>
    <row r="4" spans="1:10" x14ac:dyDescent="0.25">
      <c r="A4" s="6" t="s">
        <v>225</v>
      </c>
      <c r="B4" s="2" t="str">
        <f>'TSP HG-ISO Run1'!C6</f>
        <v>BB019012.0000</v>
      </c>
      <c r="D4" s="30"/>
      <c r="E4" s="20"/>
      <c r="F4" s="30"/>
      <c r="G4" s="30"/>
    </row>
    <row r="5" spans="1:10" x14ac:dyDescent="0.25">
      <c r="A5" s="7" t="str">
        <f>'TSP HG-ISO Run1'!C5</f>
        <v>Scrubber (Boiler 7)</v>
      </c>
      <c r="B5" s="8"/>
      <c r="D5" s="30"/>
      <c r="E5" s="20"/>
      <c r="F5" s="30"/>
      <c r="G5" s="30"/>
    </row>
    <row r="6" spans="1:10" x14ac:dyDescent="0.25">
      <c r="A6" s="27"/>
      <c r="B6" s="22"/>
      <c r="C6" s="16" t="s">
        <v>0</v>
      </c>
      <c r="D6" s="36" t="s">
        <v>1</v>
      </c>
      <c r="E6" s="36" t="s">
        <v>2</v>
      </c>
      <c r="F6" s="36" t="s">
        <v>58</v>
      </c>
      <c r="G6" s="36"/>
      <c r="J6" s="16"/>
    </row>
    <row r="7" spans="1:10" x14ac:dyDescent="0.25">
      <c r="A7" s="25"/>
      <c r="C7" s="16" t="s">
        <v>3</v>
      </c>
      <c r="D7" s="214">
        <v>41612</v>
      </c>
      <c r="E7" s="215">
        <f>D7</f>
        <v>41612</v>
      </c>
      <c r="F7" s="215">
        <v>41612</v>
      </c>
      <c r="G7" s="215"/>
    </row>
    <row r="8" spans="1:10" x14ac:dyDescent="0.25">
      <c r="C8" s="16" t="s">
        <v>4</v>
      </c>
      <c r="D8" s="20" t="s">
        <v>246</v>
      </c>
      <c r="E8" s="20" t="s">
        <v>250</v>
      </c>
      <c r="F8" s="20" t="s">
        <v>267</v>
      </c>
      <c r="G8" s="20"/>
    </row>
    <row r="9" spans="1:10" x14ac:dyDescent="0.25">
      <c r="C9" s="16"/>
      <c r="D9" s="20"/>
      <c r="E9" s="31"/>
      <c r="F9" s="31"/>
      <c r="G9" s="31"/>
    </row>
    <row r="10" spans="1:10" x14ac:dyDescent="0.25">
      <c r="A10" s="16" t="s">
        <v>5</v>
      </c>
      <c r="D10" s="19">
        <f>'TSP HG-ISO Run1'!E44</f>
        <v>26901.59499818835</v>
      </c>
      <c r="E10" s="19">
        <f>'TSP HG-ISO Run2'!E44</f>
        <v>27302.363699969515</v>
      </c>
      <c r="F10" s="19">
        <f>'TSP HG-ISO Run3'!$E44</f>
        <v>27439.100790044729</v>
      </c>
      <c r="G10" s="19"/>
    </row>
    <row r="11" spans="1:10" x14ac:dyDescent="0.25">
      <c r="A11" s="16" t="s">
        <v>6</v>
      </c>
      <c r="D11" s="37">
        <f>'TSP HG-ISO Run1'!E33</f>
        <v>9.3697121686107074</v>
      </c>
      <c r="E11" s="37">
        <f>'TSP HG-ISO Run2'!E33</f>
        <v>9.8413001421258048</v>
      </c>
      <c r="F11" s="37">
        <f>'TSP HG-ISO Run3'!$E33</f>
        <v>9.585783880855983</v>
      </c>
      <c r="G11" s="37"/>
    </row>
    <row r="12" spans="1:10" x14ac:dyDescent="0.25">
      <c r="A12" s="16" t="s">
        <v>7</v>
      </c>
      <c r="B12" s="34">
        <v>3</v>
      </c>
      <c r="C12" s="16" t="s">
        <v>14</v>
      </c>
    </row>
    <row r="13" spans="1:10" x14ac:dyDescent="0.25">
      <c r="A13" s="16" t="s">
        <v>238</v>
      </c>
      <c r="B13" s="34"/>
      <c r="C13" s="16"/>
      <c r="D13" s="20">
        <v>9780</v>
      </c>
      <c r="E13" s="20">
        <v>9780</v>
      </c>
      <c r="F13" s="20">
        <v>9780</v>
      </c>
      <c r="G13" s="20"/>
    </row>
    <row r="14" spans="1:10" x14ac:dyDescent="0.25">
      <c r="A14" s="49"/>
      <c r="B14" s="231"/>
      <c r="C14" s="231"/>
      <c r="D14" s="232"/>
      <c r="E14" s="233"/>
      <c r="H14" s="209"/>
    </row>
    <row r="15" spans="1:10" ht="16.5" thickBot="1" x14ac:dyDescent="0.3">
      <c r="G15" s="209" t="s">
        <v>9</v>
      </c>
      <c r="H15" s="35" t="s">
        <v>10</v>
      </c>
      <c r="I15" s="17"/>
    </row>
    <row r="16" spans="1:10" ht="16.5" thickBot="1" x14ac:dyDescent="0.3">
      <c r="B16" s="179" t="s">
        <v>8</v>
      </c>
      <c r="C16" s="22"/>
      <c r="H16" s="35"/>
      <c r="I16" s="17"/>
    </row>
    <row r="17" spans="1:11" x14ac:dyDescent="0.25">
      <c r="A17" s="16" t="s">
        <v>251</v>
      </c>
      <c r="D17" s="38">
        <v>0</v>
      </c>
      <c r="E17" s="38">
        <v>0</v>
      </c>
      <c r="F17" s="38">
        <v>0</v>
      </c>
      <c r="H17" s="35"/>
      <c r="I17" s="17"/>
    </row>
    <row r="18" spans="1:11" x14ac:dyDescent="0.25">
      <c r="A18" s="16" t="s">
        <v>252</v>
      </c>
      <c r="D18" s="38">
        <v>11.55</v>
      </c>
      <c r="E18" s="38">
        <v>11.6</v>
      </c>
      <c r="F18" s="38">
        <v>11.55</v>
      </c>
      <c r="H18" s="35"/>
      <c r="I18" s="17"/>
    </row>
    <row r="19" spans="1:11" x14ac:dyDescent="0.25">
      <c r="A19" s="16" t="s">
        <v>253</v>
      </c>
      <c r="D19" s="38">
        <v>11.5</v>
      </c>
      <c r="E19" s="38">
        <f>D19</f>
        <v>11.5</v>
      </c>
      <c r="F19" s="38">
        <f>E19</f>
        <v>11.5</v>
      </c>
      <c r="H19" s="35"/>
      <c r="I19" s="17"/>
    </row>
    <row r="20" spans="1:11" x14ac:dyDescent="0.25">
      <c r="A20" s="16" t="s">
        <v>15</v>
      </c>
      <c r="D20" s="38">
        <f>'CEMS Run 001'!C129</f>
        <v>13.274166666666662</v>
      </c>
      <c r="E20" s="38">
        <f>'CEMS Run 002'!C129</f>
        <v>12.369166666666667</v>
      </c>
      <c r="F20" s="38">
        <f>'CEMS Run 003'!C129</f>
        <v>12.744166666666665</v>
      </c>
      <c r="H20" s="35"/>
      <c r="I20" s="17"/>
    </row>
    <row r="21" spans="1:11" x14ac:dyDescent="0.25">
      <c r="A21" s="18" t="s">
        <v>254</v>
      </c>
      <c r="B21" s="25"/>
      <c r="C21" s="25"/>
      <c r="D21" s="39">
        <f>(D20-D17)*D19/(D18-D17)</f>
        <v>13.216702741702736</v>
      </c>
      <c r="E21" s="39">
        <f>(E20-E17)*E19/(E18-E17)</f>
        <v>12.26253591954023</v>
      </c>
      <c r="F21" s="39">
        <f>(F20-F17)*F19/(F18-F17)</f>
        <v>12.688997113997111</v>
      </c>
      <c r="G21" s="41">
        <f>AVERAGEA(D21,E21,F21)</f>
        <v>12.72274525841336</v>
      </c>
      <c r="H21" s="35"/>
      <c r="I21" s="25"/>
      <c r="J21" s="25"/>
      <c r="K21" s="25"/>
    </row>
    <row r="22" spans="1:11" ht="16.5" thickBot="1" x14ac:dyDescent="0.3">
      <c r="H22" s="35"/>
      <c r="I22" s="17"/>
    </row>
    <row r="23" spans="1:11" ht="16.5" thickBot="1" x14ac:dyDescent="0.3">
      <c r="B23" s="180" t="s">
        <v>255</v>
      </c>
      <c r="C23" s="234"/>
      <c r="H23" s="35"/>
      <c r="I23" s="17"/>
    </row>
    <row r="24" spans="1:11" x14ac:dyDescent="0.25">
      <c r="A24" s="16" t="s">
        <v>251</v>
      </c>
      <c r="D24" s="38">
        <v>0.1</v>
      </c>
      <c r="E24" s="38">
        <v>0.1</v>
      </c>
      <c r="F24" s="38">
        <v>0.1</v>
      </c>
      <c r="H24" s="35"/>
      <c r="I24" s="17"/>
    </row>
    <row r="25" spans="1:11" x14ac:dyDescent="0.25">
      <c r="A25" s="16" t="s">
        <v>252</v>
      </c>
      <c r="D25" s="38">
        <v>9</v>
      </c>
      <c r="E25" s="38">
        <v>8.9499999999999993</v>
      </c>
      <c r="F25" s="38">
        <v>8.85</v>
      </c>
      <c r="H25" s="35"/>
      <c r="I25" s="17"/>
    </row>
    <row r="26" spans="1:11" x14ac:dyDescent="0.25">
      <c r="A26" s="16" t="s">
        <v>253</v>
      </c>
      <c r="D26" s="38">
        <v>9.06</v>
      </c>
      <c r="E26" s="38">
        <f>D26</f>
        <v>9.06</v>
      </c>
      <c r="F26" s="38">
        <f>E26</f>
        <v>9.06</v>
      </c>
      <c r="H26" s="35"/>
      <c r="I26" s="17"/>
    </row>
    <row r="27" spans="1:11" x14ac:dyDescent="0.25">
      <c r="A27" s="16" t="s">
        <v>15</v>
      </c>
      <c r="D27" s="38">
        <f>'CEMS Run 001'!D129</f>
        <v>7.4591666666666709</v>
      </c>
      <c r="E27" s="38">
        <f>'CEMS Run 002'!D129</f>
        <v>7.4291666666666742</v>
      </c>
      <c r="F27" s="38">
        <f>'CEMS Run 003'!D129</f>
        <v>7.2433333333333332</v>
      </c>
      <c r="H27" s="35"/>
      <c r="I27" s="17"/>
    </row>
    <row r="28" spans="1:11" x14ac:dyDescent="0.25">
      <c r="A28" s="18" t="s">
        <v>254</v>
      </c>
      <c r="B28" s="25"/>
      <c r="C28" s="25"/>
      <c r="D28" s="39">
        <f>(D27-D24)*D26/(D25-D24)</f>
        <v>7.4914662921348372</v>
      </c>
      <c r="E28" s="39">
        <f>(E27-E24)*E26/(E25-E24)</f>
        <v>7.503079096045207</v>
      </c>
      <c r="F28" s="39">
        <f>(F27-F24)*F26/(F25-F24)</f>
        <v>7.3964114285714295</v>
      </c>
      <c r="G28" s="41">
        <f>AVERAGEA(D28,E28,F28)</f>
        <v>7.4636522722504912</v>
      </c>
      <c r="H28" s="35"/>
      <c r="I28" s="25"/>
      <c r="J28" s="25"/>
      <c r="K28" s="25"/>
    </row>
    <row r="29" spans="1:11" ht="16.5" thickBot="1" x14ac:dyDescent="0.3"/>
    <row r="30" spans="1:11" ht="16.5" thickBot="1" x14ac:dyDescent="0.3">
      <c r="B30" s="180" t="s">
        <v>13</v>
      </c>
      <c r="C30" s="181"/>
      <c r="D30" s="181"/>
      <c r="E30" s="182">
        <v>28.01</v>
      </c>
      <c r="H30" s="20"/>
    </row>
    <row r="31" spans="1:11" x14ac:dyDescent="0.25">
      <c r="A31" s="16" t="s">
        <v>16</v>
      </c>
      <c r="D31" s="38">
        <v>1.05</v>
      </c>
      <c r="E31" s="38">
        <v>1.45</v>
      </c>
      <c r="F31" s="38">
        <v>1.5</v>
      </c>
      <c r="G31" s="38"/>
    </row>
    <row r="32" spans="1:11" x14ac:dyDescent="0.25">
      <c r="A32" s="16" t="s">
        <v>17</v>
      </c>
      <c r="D32" s="38">
        <v>47.15</v>
      </c>
      <c r="E32" s="38">
        <v>47.2</v>
      </c>
      <c r="F32" s="38">
        <v>47.4</v>
      </c>
      <c r="G32" s="38"/>
    </row>
    <row r="33" spans="1:12" x14ac:dyDescent="0.25">
      <c r="A33" s="16" t="s">
        <v>18</v>
      </c>
      <c r="D33" s="42">
        <v>48.1</v>
      </c>
      <c r="E33" s="42">
        <f>D33</f>
        <v>48.1</v>
      </c>
      <c r="F33" s="42">
        <f>E33</f>
        <v>48.1</v>
      </c>
      <c r="G33" s="42"/>
    </row>
    <row r="34" spans="1:12" x14ac:dyDescent="0.25">
      <c r="A34" s="16" t="s">
        <v>19</v>
      </c>
      <c r="D34" s="38">
        <f>'CEMS Run 001'!E129</f>
        <v>24.579166666666641</v>
      </c>
      <c r="E34" s="38">
        <f>'CEMS Run 002'!E129</f>
        <v>24.458333333333329</v>
      </c>
      <c r="F34" s="38">
        <f>'CEMS Run 003'!E129</f>
        <v>44.532500000000034</v>
      </c>
      <c r="G34" s="38"/>
    </row>
    <row r="35" spans="1:12" x14ac:dyDescent="0.25">
      <c r="A35" s="18" t="s">
        <v>28</v>
      </c>
      <c r="D35" s="39">
        <f>(D34-D31)*D33/(D32-D31)</f>
        <v>24.549954808387536</v>
      </c>
      <c r="E35" s="39">
        <f t="shared" ref="E35:F35" si="0">(E34-E31)*E33/(E32-E31)</f>
        <v>24.190182149362471</v>
      </c>
      <c r="F35" s="39">
        <f t="shared" si="0"/>
        <v>45.095059912854069</v>
      </c>
      <c r="G35" s="41">
        <f t="shared" ref="G35:G38" si="1">AVERAGEA(D35,E35,F35)</f>
        <v>31.278398956868028</v>
      </c>
      <c r="H35" s="41"/>
      <c r="J35" s="25"/>
      <c r="K35" s="25"/>
      <c r="L35" s="25"/>
    </row>
    <row r="36" spans="1:12" x14ac:dyDescent="0.25">
      <c r="A36" s="16" t="s">
        <v>29</v>
      </c>
      <c r="D36" s="44">
        <f>(D$10*60/386.8*10^-6*D35*$E30)</f>
        <v>2.8695025890633965</v>
      </c>
      <c r="E36" s="44">
        <f t="shared" ref="E36:F36" si="2">(E$10*60/386.8*10^-6*E35*$E30)</f>
        <v>2.8695730175493428</v>
      </c>
      <c r="F36" s="44">
        <f t="shared" si="2"/>
        <v>5.3762163464168964</v>
      </c>
      <c r="G36" s="41">
        <f t="shared" si="1"/>
        <v>3.7050973176765454</v>
      </c>
      <c r="H36" s="40"/>
      <c r="I36" s="43"/>
      <c r="J36" s="25"/>
      <c r="K36" s="25"/>
      <c r="L36" s="25"/>
    </row>
    <row r="37" spans="1:12" x14ac:dyDescent="0.25">
      <c r="A37" s="18" t="s">
        <v>11</v>
      </c>
      <c r="B37" s="33">
        <f>$B$12</f>
        <v>3</v>
      </c>
      <c r="C37" s="18" t="s">
        <v>30</v>
      </c>
      <c r="D37" s="39">
        <f>((20.9-$B$12)/(20.9-D21))*D35</f>
        <v>57.194740265395446</v>
      </c>
      <c r="E37" s="39">
        <f t="shared" ref="E37:F37" si="3">((20.9-$B$12)/(20.9-E21))*E35</f>
        <v>50.130947745780908</v>
      </c>
      <c r="F37" s="39">
        <f t="shared" si="3"/>
        <v>98.307305897566565</v>
      </c>
      <c r="G37" s="41">
        <f t="shared" si="1"/>
        <v>68.544331302914301</v>
      </c>
      <c r="H37" s="284">
        <v>420</v>
      </c>
      <c r="I37" s="43"/>
    </row>
    <row r="38" spans="1:12" x14ac:dyDescent="0.25">
      <c r="A38" s="227" t="s">
        <v>240</v>
      </c>
      <c r="B38" s="228"/>
      <c r="C38" s="229"/>
      <c r="D38" s="230">
        <f>((20.9/(20.9-D21))*(0.000000002585*$E$30*D13))*D35</f>
        <v>4.7289188156880692E-2</v>
      </c>
      <c r="E38" s="230">
        <f t="shared" ref="E38" si="4">((20.9/(20.9-E21))*(0.000000002585*$E$30*E13))*E35</f>
        <v>4.1448773251398147E-2</v>
      </c>
      <c r="F38" s="230">
        <f>((20.9/(20.9-F21))*(0.000000002585*$E$30*F13))*F35</f>
        <v>8.1281472111147279E-2</v>
      </c>
      <c r="G38" s="220">
        <f t="shared" si="1"/>
        <v>5.667314450647537E-2</v>
      </c>
      <c r="H38" s="220"/>
      <c r="I38" s="43"/>
    </row>
    <row r="41" spans="1:12" x14ac:dyDescent="0.25">
      <c r="A41" s="183" t="s">
        <v>12</v>
      </c>
      <c r="B41" s="45"/>
      <c r="C41" s="45"/>
      <c r="D41" s="45"/>
      <c r="E41" s="184" t="s">
        <v>22</v>
      </c>
      <c r="F41" s="45"/>
      <c r="G41" s="45"/>
      <c r="H41" s="45"/>
      <c r="I41" s="46"/>
    </row>
    <row r="42" spans="1:12" ht="30.6" customHeight="1" x14ac:dyDescent="0.2">
      <c r="A42" s="47" t="s">
        <v>31</v>
      </c>
      <c r="B42" s="45"/>
      <c r="C42" s="45"/>
      <c r="D42" s="45"/>
      <c r="E42" s="440" t="s">
        <v>20</v>
      </c>
      <c r="F42" s="441"/>
      <c r="G42" s="441"/>
      <c r="H42" s="441"/>
      <c r="I42" s="441"/>
    </row>
    <row r="43" spans="1:12" ht="31.9" customHeight="1" x14ac:dyDescent="0.2">
      <c r="A43" s="48" t="s">
        <v>32</v>
      </c>
      <c r="B43" s="45"/>
      <c r="C43" s="45"/>
      <c r="D43" s="45"/>
      <c r="E43" s="440" t="s">
        <v>21</v>
      </c>
      <c r="F43" s="441"/>
      <c r="G43" s="441"/>
      <c r="H43" s="441"/>
      <c r="I43" s="441"/>
    </row>
    <row r="44" spans="1:12" ht="18.75" x14ac:dyDescent="0.35">
      <c r="A44" s="47" t="s">
        <v>211</v>
      </c>
      <c r="B44" s="45"/>
      <c r="C44" s="45"/>
      <c r="D44" s="45"/>
      <c r="E44" s="45" t="s">
        <v>27</v>
      </c>
      <c r="F44" s="45"/>
      <c r="G44" s="45"/>
      <c r="H44" s="45"/>
      <c r="I44" s="46"/>
    </row>
    <row r="45" spans="1:12" ht="18.75" x14ac:dyDescent="0.35">
      <c r="A45" s="49" t="s">
        <v>239</v>
      </c>
      <c r="B45" s="45"/>
      <c r="C45" s="45"/>
      <c r="D45" s="45"/>
      <c r="E45" s="45" t="s">
        <v>164</v>
      </c>
      <c r="F45" s="45"/>
      <c r="G45" s="45"/>
      <c r="H45" s="45"/>
      <c r="I45" s="46"/>
    </row>
    <row r="46" spans="1:12" x14ac:dyDescent="0.25">
      <c r="A46" s="49"/>
      <c r="B46" s="50"/>
      <c r="C46" s="45"/>
      <c r="D46" s="45"/>
      <c r="E46" s="51" t="s">
        <v>23</v>
      </c>
      <c r="F46" s="45"/>
      <c r="G46" s="45"/>
      <c r="H46" s="45"/>
      <c r="I46" s="46"/>
    </row>
    <row r="47" spans="1:12" x14ac:dyDescent="0.25">
      <c r="A47" s="49"/>
      <c r="B47" s="45"/>
      <c r="C47" s="45"/>
      <c r="D47" s="45"/>
      <c r="E47" s="51" t="s">
        <v>24</v>
      </c>
      <c r="F47" s="45"/>
      <c r="G47" s="45"/>
      <c r="H47" s="45"/>
      <c r="I47" s="46"/>
    </row>
    <row r="48" spans="1:12" x14ac:dyDescent="0.25">
      <c r="A48" s="49"/>
      <c r="B48" s="49"/>
      <c r="C48" s="45"/>
      <c r="D48" s="45"/>
      <c r="E48" s="51" t="s">
        <v>25</v>
      </c>
      <c r="F48" s="45"/>
      <c r="G48" s="45"/>
      <c r="H48" s="45"/>
      <c r="I48" s="46"/>
    </row>
    <row r="49" spans="1:9" ht="15" x14ac:dyDescent="0.2">
      <c r="B49" s="45"/>
      <c r="C49" s="45"/>
      <c r="D49" s="52"/>
      <c r="E49" s="440" t="s">
        <v>222</v>
      </c>
      <c r="F49" s="441"/>
      <c r="G49" s="441"/>
      <c r="H49" s="441"/>
      <c r="I49" s="441"/>
    </row>
    <row r="51" spans="1:9" x14ac:dyDescent="0.25">
      <c r="A51" s="18"/>
    </row>
  </sheetData>
  <mergeCells count="4">
    <mergeCell ref="A1:I1"/>
    <mergeCell ref="E42:I42"/>
    <mergeCell ref="E43:I43"/>
    <mergeCell ref="E49:I49"/>
  </mergeCells>
  <phoneticPr fontId="6" type="noConversion"/>
  <printOptions horizontalCentered="1"/>
  <pageMargins left="0.95" right="0.7" top="0.75" bottom="0.75" header="0.3" footer="0.3"/>
  <pageSetup scale="63" orientation="portrait" horizontalDpi="204" verticalDpi="196"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zoomScale="80" zoomScaleNormal="80" workbookViewId="0">
      <selection activeCell="A7" sqref="A7:XFD7"/>
    </sheetView>
  </sheetViews>
  <sheetFormatPr defaultColWidth="10.77734375" defaultRowHeight="12.75" x14ac:dyDescent="0.2"/>
  <cols>
    <col min="1" max="16384" width="10.77734375" style="210"/>
  </cols>
  <sheetData>
    <row r="1" spans="1:5" ht="15" x14ac:dyDescent="0.2">
      <c r="A1" s="17" t="s">
        <v>33</v>
      </c>
      <c r="B1" s="17"/>
      <c r="C1" s="17"/>
      <c r="D1" s="17"/>
      <c r="E1" s="17"/>
    </row>
    <row r="2" spans="1:5" ht="15" x14ac:dyDescent="0.2">
      <c r="A2" s="17" t="s">
        <v>244</v>
      </c>
      <c r="B2" s="17"/>
      <c r="C2" s="17"/>
      <c r="D2" s="17"/>
      <c r="E2" s="17"/>
    </row>
    <row r="3" spans="1:5" ht="15" x14ac:dyDescent="0.2">
      <c r="A3" s="17" t="s">
        <v>245</v>
      </c>
      <c r="B3" s="17"/>
      <c r="C3" s="17"/>
      <c r="D3" s="17"/>
      <c r="E3" s="17"/>
    </row>
    <row r="4" spans="1:5" ht="15" x14ac:dyDescent="0.2">
      <c r="A4" s="17" t="s">
        <v>34</v>
      </c>
      <c r="B4" s="17"/>
      <c r="C4" s="17"/>
      <c r="D4" s="17"/>
      <c r="E4" s="17"/>
    </row>
    <row r="5" spans="1:5" ht="15" x14ac:dyDescent="0.2">
      <c r="A5" s="17" t="s">
        <v>35</v>
      </c>
      <c r="B5" s="17"/>
      <c r="C5" s="17"/>
      <c r="D5" s="17"/>
      <c r="E5" s="17"/>
    </row>
    <row r="6" spans="1:5" ht="15" x14ac:dyDescent="0.2">
      <c r="A6" s="17" t="s">
        <v>223</v>
      </c>
      <c r="B6" s="17"/>
      <c r="C6" s="17"/>
      <c r="D6" s="17"/>
      <c r="E6" s="17"/>
    </row>
    <row r="7" spans="1:5" s="211" customFormat="1" ht="15" x14ac:dyDescent="0.2">
      <c r="A7" s="30" t="s">
        <v>3</v>
      </c>
      <c r="B7" s="30" t="s">
        <v>4</v>
      </c>
      <c r="C7" s="30" t="s">
        <v>259</v>
      </c>
      <c r="D7" s="30" t="s">
        <v>260</v>
      </c>
      <c r="E7" s="30" t="s">
        <v>261</v>
      </c>
    </row>
    <row r="8" spans="1:5" ht="15" x14ac:dyDescent="0.2">
      <c r="A8" s="235">
        <v>41612</v>
      </c>
      <c r="B8" s="236">
        <v>0.44116898148148148</v>
      </c>
      <c r="C8" s="17">
        <v>14.1</v>
      </c>
      <c r="D8" s="17">
        <v>6.8</v>
      </c>
      <c r="E8" s="17">
        <v>20.2</v>
      </c>
    </row>
    <row r="9" spans="1:5" ht="15" x14ac:dyDescent="0.2">
      <c r="A9" s="235">
        <v>41612</v>
      </c>
      <c r="B9" s="236">
        <v>0.4415162037037037</v>
      </c>
      <c r="C9" s="17">
        <v>14.1</v>
      </c>
      <c r="D9" s="17">
        <v>6.8</v>
      </c>
      <c r="E9" s="17">
        <v>20.3</v>
      </c>
    </row>
    <row r="10" spans="1:5" ht="15" x14ac:dyDescent="0.2">
      <c r="A10" s="235">
        <v>41612</v>
      </c>
      <c r="B10" s="236">
        <v>0.44186342592592592</v>
      </c>
      <c r="C10" s="17">
        <v>14.2</v>
      </c>
      <c r="D10" s="17">
        <v>6.7</v>
      </c>
      <c r="E10" s="17">
        <v>20.7</v>
      </c>
    </row>
    <row r="11" spans="1:5" ht="15" x14ac:dyDescent="0.2">
      <c r="A11" s="235">
        <v>41612</v>
      </c>
      <c r="B11" s="236">
        <v>0.4422106481481482</v>
      </c>
      <c r="C11" s="17">
        <v>14.2</v>
      </c>
      <c r="D11" s="17">
        <v>6.7</v>
      </c>
      <c r="E11" s="17">
        <v>21.2</v>
      </c>
    </row>
    <row r="12" spans="1:5" ht="15" x14ac:dyDescent="0.2">
      <c r="A12" s="235">
        <v>41612</v>
      </c>
      <c r="B12" s="236">
        <v>0.44255787037037037</v>
      </c>
      <c r="C12" s="17">
        <v>14.4</v>
      </c>
      <c r="D12" s="17">
        <v>6.6</v>
      </c>
      <c r="E12" s="17">
        <v>21.2</v>
      </c>
    </row>
    <row r="13" spans="1:5" ht="15" x14ac:dyDescent="0.2">
      <c r="A13" s="235">
        <v>41612</v>
      </c>
      <c r="B13" s="236">
        <v>0.44290509259259259</v>
      </c>
      <c r="C13" s="17">
        <v>14.5</v>
      </c>
      <c r="D13" s="17">
        <v>6.5</v>
      </c>
      <c r="E13" s="17">
        <v>21.7</v>
      </c>
    </row>
    <row r="14" spans="1:5" ht="15" x14ac:dyDescent="0.2">
      <c r="A14" s="235">
        <v>41612</v>
      </c>
      <c r="B14" s="236">
        <v>0.44325231481481481</v>
      </c>
      <c r="C14" s="17">
        <v>14.3</v>
      </c>
      <c r="D14" s="17">
        <v>6.6</v>
      </c>
      <c r="E14" s="17">
        <v>22.4</v>
      </c>
    </row>
    <row r="15" spans="1:5" ht="15" x14ac:dyDescent="0.2">
      <c r="A15" s="235">
        <v>41612</v>
      </c>
      <c r="B15" s="236">
        <v>0.44359953703703708</v>
      </c>
      <c r="C15" s="17">
        <v>14.2</v>
      </c>
      <c r="D15" s="17">
        <v>6.7</v>
      </c>
      <c r="E15" s="17">
        <v>22.6</v>
      </c>
    </row>
    <row r="16" spans="1:5" ht="15" x14ac:dyDescent="0.2">
      <c r="A16" s="235">
        <v>41612</v>
      </c>
      <c r="B16" s="236">
        <v>0.44394675925925925</v>
      </c>
      <c r="C16" s="17">
        <v>14.2</v>
      </c>
      <c r="D16" s="17">
        <v>6.7</v>
      </c>
      <c r="E16" s="17">
        <v>22.2</v>
      </c>
    </row>
    <row r="17" spans="1:5" ht="15" x14ac:dyDescent="0.2">
      <c r="A17" s="235">
        <v>41612</v>
      </c>
      <c r="B17" s="236">
        <v>0.44429398148148147</v>
      </c>
      <c r="C17" s="17">
        <v>14.3</v>
      </c>
      <c r="D17" s="17">
        <v>6.7</v>
      </c>
      <c r="E17" s="17">
        <v>21.7</v>
      </c>
    </row>
    <row r="18" spans="1:5" ht="15" x14ac:dyDescent="0.2">
      <c r="A18" s="235">
        <v>41612</v>
      </c>
      <c r="B18" s="236">
        <v>0.44464120370370369</v>
      </c>
      <c r="C18" s="17">
        <v>14.2</v>
      </c>
      <c r="D18" s="17">
        <v>6.7</v>
      </c>
      <c r="E18" s="17">
        <v>22.1</v>
      </c>
    </row>
    <row r="19" spans="1:5" ht="15" x14ac:dyDescent="0.2">
      <c r="A19" s="235">
        <v>41612</v>
      </c>
      <c r="B19" s="236">
        <v>0.44498842592592597</v>
      </c>
      <c r="C19" s="17">
        <v>14.2</v>
      </c>
      <c r="D19" s="17">
        <v>6.7</v>
      </c>
      <c r="E19" s="17">
        <v>22.2</v>
      </c>
    </row>
    <row r="20" spans="1:5" ht="15" x14ac:dyDescent="0.2">
      <c r="A20" s="235">
        <v>41612</v>
      </c>
      <c r="B20" s="236">
        <v>0.44533564814814813</v>
      </c>
      <c r="C20" s="17">
        <v>14</v>
      </c>
      <c r="D20" s="17">
        <v>6.8</v>
      </c>
      <c r="E20" s="17">
        <v>22.1</v>
      </c>
    </row>
    <row r="21" spans="1:5" ht="15" x14ac:dyDescent="0.2">
      <c r="A21" s="235">
        <v>41612</v>
      </c>
      <c r="B21" s="236">
        <v>0.44568287037037035</v>
      </c>
      <c r="C21" s="17">
        <v>13.9</v>
      </c>
      <c r="D21" s="17">
        <v>6.9</v>
      </c>
      <c r="E21" s="17">
        <v>21.7</v>
      </c>
    </row>
    <row r="22" spans="1:5" ht="15" x14ac:dyDescent="0.2">
      <c r="A22" s="235">
        <v>41612</v>
      </c>
      <c r="B22" s="236">
        <v>0.44603009259259258</v>
      </c>
      <c r="C22" s="17">
        <v>13.9</v>
      </c>
      <c r="D22" s="17">
        <v>6.9</v>
      </c>
      <c r="E22" s="17">
        <v>21.7</v>
      </c>
    </row>
    <row r="23" spans="1:5" ht="15" x14ac:dyDescent="0.2">
      <c r="A23" s="235">
        <v>41612</v>
      </c>
      <c r="B23" s="236">
        <v>0.44637731481481485</v>
      </c>
      <c r="C23" s="17">
        <v>14</v>
      </c>
      <c r="D23" s="17">
        <v>6.9</v>
      </c>
      <c r="E23" s="17">
        <v>21.7</v>
      </c>
    </row>
    <row r="24" spans="1:5" ht="15" x14ac:dyDescent="0.2">
      <c r="A24" s="235">
        <v>41612</v>
      </c>
      <c r="B24" s="236">
        <v>0.44672453703703702</v>
      </c>
      <c r="C24" s="17">
        <v>14</v>
      </c>
      <c r="D24" s="17">
        <v>6.9</v>
      </c>
      <c r="E24" s="17">
        <v>21.6</v>
      </c>
    </row>
    <row r="25" spans="1:5" ht="15" x14ac:dyDescent="0.2">
      <c r="A25" s="235">
        <v>41612</v>
      </c>
      <c r="B25" s="236">
        <v>0.44707175925925924</v>
      </c>
      <c r="C25" s="17">
        <v>13.8</v>
      </c>
      <c r="D25" s="17">
        <v>7.1</v>
      </c>
      <c r="E25" s="17">
        <v>20.6</v>
      </c>
    </row>
    <row r="26" spans="1:5" ht="15" x14ac:dyDescent="0.2">
      <c r="A26" s="235">
        <v>41612</v>
      </c>
      <c r="B26" s="236">
        <v>0.44741898148148151</v>
      </c>
      <c r="C26" s="17">
        <v>13.7</v>
      </c>
      <c r="D26" s="17">
        <v>7.1</v>
      </c>
      <c r="E26" s="17">
        <v>20.100000000000001</v>
      </c>
    </row>
    <row r="27" spans="1:5" ht="15" x14ac:dyDescent="0.2">
      <c r="A27" s="235">
        <v>41612</v>
      </c>
      <c r="B27" s="236">
        <v>0.44776620370370374</v>
      </c>
      <c r="C27" s="17">
        <v>13.6</v>
      </c>
      <c r="D27" s="17">
        <v>7.2</v>
      </c>
      <c r="E27" s="17">
        <v>19.7</v>
      </c>
    </row>
    <row r="28" spans="1:5" ht="15" x14ac:dyDescent="0.2">
      <c r="A28" s="235">
        <v>41612</v>
      </c>
      <c r="B28" s="236">
        <v>0.4481134259259259</v>
      </c>
      <c r="C28" s="17">
        <v>13.6</v>
      </c>
      <c r="D28" s="17">
        <v>7.2</v>
      </c>
      <c r="E28" s="17">
        <v>19.600000000000001</v>
      </c>
    </row>
    <row r="29" spans="1:5" ht="15" x14ac:dyDescent="0.2">
      <c r="A29" s="235">
        <v>41612</v>
      </c>
      <c r="B29" s="236">
        <v>0.44846064814814812</v>
      </c>
      <c r="C29" s="17">
        <v>13.6</v>
      </c>
      <c r="D29" s="17">
        <v>7.2</v>
      </c>
      <c r="E29" s="17">
        <v>19.2</v>
      </c>
    </row>
    <row r="30" spans="1:5" ht="15" x14ac:dyDescent="0.2">
      <c r="A30" s="235">
        <v>41612</v>
      </c>
      <c r="B30" s="236">
        <v>0.4488078703703704</v>
      </c>
      <c r="C30" s="17">
        <v>13.7</v>
      </c>
      <c r="D30" s="17">
        <v>7.2</v>
      </c>
      <c r="E30" s="17">
        <v>19.2</v>
      </c>
    </row>
    <row r="31" spans="1:5" ht="15" x14ac:dyDescent="0.2">
      <c r="A31" s="235">
        <v>41612</v>
      </c>
      <c r="B31" s="236">
        <v>0.44915509259259262</v>
      </c>
      <c r="C31" s="17">
        <v>13.7</v>
      </c>
      <c r="D31" s="17">
        <v>7.2</v>
      </c>
      <c r="E31" s="17">
        <v>19.2</v>
      </c>
    </row>
    <row r="32" spans="1:5" ht="15" x14ac:dyDescent="0.2">
      <c r="A32" s="235">
        <v>41612</v>
      </c>
      <c r="B32" s="236">
        <v>0.44950231481481479</v>
      </c>
      <c r="C32" s="17">
        <v>13.6</v>
      </c>
      <c r="D32" s="17">
        <v>7.2</v>
      </c>
      <c r="E32" s="17">
        <v>19.3</v>
      </c>
    </row>
    <row r="33" spans="1:5" ht="15" x14ac:dyDescent="0.2">
      <c r="A33" s="235">
        <v>41612</v>
      </c>
      <c r="B33" s="236">
        <v>0.44984953703703701</v>
      </c>
      <c r="C33" s="17">
        <v>13.5</v>
      </c>
      <c r="D33" s="17">
        <v>7.3</v>
      </c>
      <c r="E33" s="17">
        <v>19.2</v>
      </c>
    </row>
    <row r="34" spans="1:5" ht="15" x14ac:dyDescent="0.2">
      <c r="A34" s="235">
        <v>41612</v>
      </c>
      <c r="B34" s="236">
        <v>0.45019675925925928</v>
      </c>
      <c r="C34" s="17">
        <v>13.3</v>
      </c>
      <c r="D34" s="17">
        <v>7.4</v>
      </c>
      <c r="E34" s="17">
        <v>19.2</v>
      </c>
    </row>
    <row r="35" spans="1:5" ht="15" x14ac:dyDescent="0.2">
      <c r="A35" s="235">
        <v>41612</v>
      </c>
      <c r="B35" s="236">
        <v>0.4505439814814815</v>
      </c>
      <c r="C35" s="17">
        <v>13.3</v>
      </c>
      <c r="D35" s="17">
        <v>7.4</v>
      </c>
      <c r="E35" s="17">
        <v>19.2</v>
      </c>
    </row>
    <row r="36" spans="1:5" ht="15" x14ac:dyDescent="0.2">
      <c r="A36" s="235">
        <v>41612</v>
      </c>
      <c r="B36" s="236">
        <v>0.45089120370370367</v>
      </c>
      <c r="C36" s="17">
        <v>13.2</v>
      </c>
      <c r="D36" s="17">
        <v>7.5</v>
      </c>
      <c r="E36" s="17">
        <v>19.2</v>
      </c>
    </row>
    <row r="37" spans="1:5" ht="15" x14ac:dyDescent="0.2">
      <c r="A37" s="235">
        <v>41612</v>
      </c>
      <c r="B37" s="236">
        <v>0.45123842592592589</v>
      </c>
      <c r="C37" s="17">
        <v>13.2</v>
      </c>
      <c r="D37" s="17">
        <v>7.5</v>
      </c>
      <c r="E37" s="17">
        <v>19.2</v>
      </c>
    </row>
    <row r="38" spans="1:5" ht="15" x14ac:dyDescent="0.2">
      <c r="A38" s="235">
        <v>41612</v>
      </c>
      <c r="B38" s="236">
        <v>0.45158564814814817</v>
      </c>
      <c r="C38" s="17">
        <v>13.1</v>
      </c>
      <c r="D38" s="17">
        <v>7.6</v>
      </c>
      <c r="E38" s="17">
        <v>19.3</v>
      </c>
    </row>
    <row r="39" spans="1:5" ht="15" x14ac:dyDescent="0.2">
      <c r="A39" s="235">
        <v>41612</v>
      </c>
      <c r="B39" s="236">
        <v>0.45193287037037039</v>
      </c>
      <c r="C39" s="17">
        <v>13</v>
      </c>
      <c r="D39" s="17">
        <v>7.7</v>
      </c>
      <c r="E39" s="17">
        <v>19.8</v>
      </c>
    </row>
    <row r="40" spans="1:5" ht="15" x14ac:dyDescent="0.2">
      <c r="A40" s="235">
        <v>41612</v>
      </c>
      <c r="B40" s="236">
        <v>0.45228009259259255</v>
      </c>
      <c r="C40" s="17">
        <v>12.9</v>
      </c>
      <c r="D40" s="17">
        <v>7.8</v>
      </c>
      <c r="E40" s="17">
        <v>20.2</v>
      </c>
    </row>
    <row r="41" spans="1:5" ht="15" x14ac:dyDescent="0.2">
      <c r="A41" s="235">
        <v>41612</v>
      </c>
      <c r="B41" s="236">
        <v>0.45262731481481483</v>
      </c>
      <c r="C41" s="17">
        <v>12.8</v>
      </c>
      <c r="D41" s="17">
        <v>7.8</v>
      </c>
      <c r="E41" s="17">
        <v>20.3</v>
      </c>
    </row>
    <row r="42" spans="1:5" ht="15" x14ac:dyDescent="0.2">
      <c r="A42" s="235">
        <v>41612</v>
      </c>
      <c r="B42" s="236">
        <v>0.45297453703703705</v>
      </c>
      <c r="C42" s="17">
        <v>12.7</v>
      </c>
      <c r="D42" s="17">
        <v>7.9</v>
      </c>
      <c r="E42" s="17">
        <v>21</v>
      </c>
    </row>
    <row r="43" spans="1:5" ht="15" x14ac:dyDescent="0.2">
      <c r="A43" s="235">
        <v>41612</v>
      </c>
      <c r="B43" s="236">
        <v>0.45332175925925927</v>
      </c>
      <c r="C43" s="17">
        <v>12.7</v>
      </c>
      <c r="D43" s="17">
        <v>7.9</v>
      </c>
      <c r="E43" s="17">
        <v>21.6</v>
      </c>
    </row>
    <row r="44" spans="1:5" ht="15" x14ac:dyDescent="0.2">
      <c r="A44" s="235">
        <v>41612</v>
      </c>
      <c r="B44" s="236">
        <v>0.45366898148148144</v>
      </c>
      <c r="C44" s="17">
        <v>12.6</v>
      </c>
      <c r="D44" s="17">
        <v>8</v>
      </c>
      <c r="E44" s="17">
        <v>22.1</v>
      </c>
    </row>
    <row r="45" spans="1:5" ht="15" x14ac:dyDescent="0.2">
      <c r="A45" s="235">
        <v>41612</v>
      </c>
      <c r="B45" s="236">
        <v>0.45401620370370371</v>
      </c>
      <c r="C45" s="17">
        <v>12.5</v>
      </c>
      <c r="D45" s="17">
        <v>8</v>
      </c>
      <c r="E45" s="17">
        <v>22.9</v>
      </c>
    </row>
    <row r="46" spans="1:5" ht="15" x14ac:dyDescent="0.2">
      <c r="A46" s="235">
        <v>41612</v>
      </c>
      <c r="B46" s="236">
        <v>0.45436342592592593</v>
      </c>
      <c r="C46" s="17">
        <v>12.5</v>
      </c>
      <c r="D46" s="17">
        <v>8</v>
      </c>
      <c r="E46" s="17">
        <v>23.3</v>
      </c>
    </row>
    <row r="47" spans="1:5" ht="15" x14ac:dyDescent="0.2">
      <c r="A47" s="235">
        <v>41612</v>
      </c>
      <c r="B47" s="236">
        <v>0.45471064814814816</v>
      </c>
      <c r="C47" s="17">
        <v>12.4</v>
      </c>
      <c r="D47" s="17">
        <v>8.1999999999999993</v>
      </c>
      <c r="E47" s="17">
        <v>24.6</v>
      </c>
    </row>
    <row r="48" spans="1:5" ht="15" x14ac:dyDescent="0.2">
      <c r="A48" s="235">
        <v>41612</v>
      </c>
      <c r="B48" s="236">
        <v>0.45505787037037032</v>
      </c>
      <c r="C48" s="17">
        <v>12.3</v>
      </c>
      <c r="D48" s="17">
        <v>8.1999999999999993</v>
      </c>
      <c r="E48" s="17">
        <v>27.5</v>
      </c>
    </row>
    <row r="49" spans="1:5" ht="15" x14ac:dyDescent="0.2">
      <c r="A49" s="235">
        <v>41612</v>
      </c>
      <c r="B49" s="236">
        <v>0.4554050925925926</v>
      </c>
      <c r="C49" s="17">
        <v>12.4</v>
      </c>
      <c r="D49" s="17">
        <v>8.1</v>
      </c>
      <c r="E49" s="17">
        <v>29.9</v>
      </c>
    </row>
    <row r="50" spans="1:5" ht="15" x14ac:dyDescent="0.2">
      <c r="A50" s="235">
        <v>41612</v>
      </c>
      <c r="B50" s="236">
        <v>0.45575231481481482</v>
      </c>
      <c r="C50" s="17">
        <v>12.4</v>
      </c>
      <c r="D50" s="17">
        <v>8.1</v>
      </c>
      <c r="E50" s="17">
        <v>30.6</v>
      </c>
    </row>
    <row r="51" spans="1:5" ht="15" x14ac:dyDescent="0.2">
      <c r="A51" s="235">
        <v>41612</v>
      </c>
      <c r="B51" s="236">
        <v>0.45609953703703704</v>
      </c>
      <c r="C51" s="17">
        <v>12.4</v>
      </c>
      <c r="D51" s="17">
        <v>8.1</v>
      </c>
      <c r="E51" s="17">
        <v>30.6</v>
      </c>
    </row>
    <row r="52" spans="1:5" ht="15" x14ac:dyDescent="0.2">
      <c r="A52" s="235">
        <v>41612</v>
      </c>
      <c r="B52" s="236">
        <v>0.4564467592592592</v>
      </c>
      <c r="C52" s="17">
        <v>12.6</v>
      </c>
      <c r="D52" s="17">
        <v>8</v>
      </c>
      <c r="E52" s="17">
        <v>29</v>
      </c>
    </row>
    <row r="53" spans="1:5" ht="15" x14ac:dyDescent="0.2">
      <c r="A53" s="235">
        <v>41612</v>
      </c>
      <c r="B53" s="236">
        <v>0.45679398148148148</v>
      </c>
      <c r="C53" s="17">
        <v>12.7</v>
      </c>
      <c r="D53" s="17">
        <v>7.9</v>
      </c>
      <c r="E53" s="17">
        <v>26.8</v>
      </c>
    </row>
    <row r="54" spans="1:5" ht="15" x14ac:dyDescent="0.2">
      <c r="A54" s="235">
        <v>41612</v>
      </c>
      <c r="B54" s="236">
        <v>0.4571412037037037</v>
      </c>
      <c r="C54" s="17">
        <v>12.9</v>
      </c>
      <c r="D54" s="17">
        <v>7.8</v>
      </c>
      <c r="E54" s="17">
        <v>24.5</v>
      </c>
    </row>
    <row r="55" spans="1:5" ht="15" x14ac:dyDescent="0.2">
      <c r="A55" s="235">
        <v>41612</v>
      </c>
      <c r="B55" s="236">
        <v>0.45748842592592592</v>
      </c>
      <c r="C55" s="17">
        <v>13.1</v>
      </c>
      <c r="D55" s="17">
        <v>7.7</v>
      </c>
      <c r="E55" s="17">
        <v>23.1</v>
      </c>
    </row>
    <row r="56" spans="1:5" ht="15" x14ac:dyDescent="0.2">
      <c r="A56" s="235">
        <v>41612</v>
      </c>
      <c r="B56" s="236">
        <v>0.4578356481481482</v>
      </c>
      <c r="C56" s="17">
        <v>13.2</v>
      </c>
      <c r="D56" s="17">
        <v>7.6</v>
      </c>
      <c r="E56" s="17">
        <v>22.2</v>
      </c>
    </row>
    <row r="57" spans="1:5" ht="15" x14ac:dyDescent="0.2">
      <c r="A57" s="235">
        <v>41612</v>
      </c>
      <c r="B57" s="236">
        <v>0.45818287037037037</v>
      </c>
      <c r="C57" s="17">
        <v>13.2</v>
      </c>
      <c r="D57" s="17">
        <v>7.6</v>
      </c>
      <c r="E57" s="17">
        <v>22.2</v>
      </c>
    </row>
    <row r="58" spans="1:5" ht="15" x14ac:dyDescent="0.2">
      <c r="A58" s="235">
        <v>41612</v>
      </c>
      <c r="B58" s="236">
        <v>0.45853009259259259</v>
      </c>
      <c r="C58" s="17">
        <v>13.2</v>
      </c>
      <c r="D58" s="17">
        <v>7.5</v>
      </c>
      <c r="E58" s="17">
        <v>22.2</v>
      </c>
    </row>
    <row r="59" spans="1:5" ht="15" x14ac:dyDescent="0.2">
      <c r="A59" s="235">
        <v>41612</v>
      </c>
      <c r="B59" s="236">
        <v>0.45887731481481481</v>
      </c>
      <c r="C59" s="17">
        <v>13.1</v>
      </c>
      <c r="D59" s="17">
        <v>7.6</v>
      </c>
      <c r="E59" s="17">
        <v>22.2</v>
      </c>
    </row>
    <row r="60" spans="1:5" ht="15" x14ac:dyDescent="0.2">
      <c r="A60" s="235">
        <v>41612</v>
      </c>
      <c r="B60" s="236">
        <v>0.45922453703703708</v>
      </c>
      <c r="C60" s="17">
        <v>13</v>
      </c>
      <c r="D60" s="17">
        <v>7.7</v>
      </c>
      <c r="E60" s="17">
        <v>22.3</v>
      </c>
    </row>
    <row r="61" spans="1:5" ht="15" x14ac:dyDescent="0.2">
      <c r="A61" s="235">
        <v>41612</v>
      </c>
      <c r="B61" s="236">
        <v>0.45957175925925925</v>
      </c>
      <c r="C61" s="17">
        <v>12.8</v>
      </c>
      <c r="D61" s="17">
        <v>7.8</v>
      </c>
      <c r="E61" s="17">
        <v>23.1</v>
      </c>
    </row>
    <row r="62" spans="1:5" ht="15" x14ac:dyDescent="0.2">
      <c r="A62" s="235">
        <v>41612</v>
      </c>
      <c r="B62" s="236">
        <v>0.45991898148148147</v>
      </c>
      <c r="C62" s="17">
        <v>12.8</v>
      </c>
      <c r="D62" s="17">
        <v>7.9</v>
      </c>
      <c r="E62" s="17">
        <v>24.6</v>
      </c>
    </row>
    <row r="63" spans="1:5" ht="15" x14ac:dyDescent="0.2">
      <c r="A63" s="235">
        <v>41612</v>
      </c>
      <c r="B63" s="236">
        <v>0.46026620370370369</v>
      </c>
      <c r="C63" s="17">
        <v>12.8</v>
      </c>
      <c r="D63" s="17">
        <v>7.8</v>
      </c>
      <c r="E63" s="17">
        <v>26.4</v>
      </c>
    </row>
    <row r="64" spans="1:5" ht="15" x14ac:dyDescent="0.2">
      <c r="A64" s="235">
        <v>41612</v>
      </c>
      <c r="B64" s="236">
        <v>0.46061342592592597</v>
      </c>
      <c r="C64" s="17">
        <v>12.8</v>
      </c>
      <c r="D64" s="17">
        <v>7.8</v>
      </c>
      <c r="E64" s="17">
        <v>27.1</v>
      </c>
    </row>
    <row r="65" spans="1:5" ht="15" x14ac:dyDescent="0.2">
      <c r="A65" s="235">
        <v>41612</v>
      </c>
      <c r="B65" s="236">
        <v>0.46096064814814813</v>
      </c>
      <c r="C65" s="17">
        <v>12.8</v>
      </c>
      <c r="D65" s="17">
        <v>7.8</v>
      </c>
      <c r="E65" s="17">
        <v>27.7</v>
      </c>
    </row>
    <row r="66" spans="1:5" ht="15" x14ac:dyDescent="0.2">
      <c r="A66" s="235">
        <v>41612</v>
      </c>
      <c r="B66" s="236">
        <v>0.46130787037037035</v>
      </c>
      <c r="C66" s="17">
        <v>12.8</v>
      </c>
      <c r="D66" s="17">
        <v>7.8</v>
      </c>
      <c r="E66" s="17">
        <v>27.2</v>
      </c>
    </row>
    <row r="67" spans="1:5" ht="15" x14ac:dyDescent="0.2">
      <c r="A67" s="235">
        <v>41612</v>
      </c>
      <c r="B67" s="236">
        <v>0.46165509259259258</v>
      </c>
      <c r="C67" s="17">
        <v>12.8</v>
      </c>
      <c r="D67" s="17">
        <v>7.8</v>
      </c>
      <c r="E67" s="17">
        <v>27.2</v>
      </c>
    </row>
    <row r="68" spans="1:5" ht="15" x14ac:dyDescent="0.2">
      <c r="A68" s="235">
        <v>41612</v>
      </c>
      <c r="B68" s="236">
        <v>0.46200231481481485</v>
      </c>
      <c r="C68" s="17">
        <v>12.8</v>
      </c>
      <c r="D68" s="17">
        <v>7.9</v>
      </c>
      <c r="E68" s="17">
        <v>27.3</v>
      </c>
    </row>
    <row r="69" spans="1:5" ht="15" x14ac:dyDescent="0.2">
      <c r="A69" s="235">
        <v>41612</v>
      </c>
      <c r="B69" s="236">
        <v>0.46234953703703702</v>
      </c>
      <c r="C69" s="17">
        <v>12.8</v>
      </c>
      <c r="D69" s="17">
        <v>7.9</v>
      </c>
      <c r="E69" s="17">
        <v>28</v>
      </c>
    </row>
    <row r="70" spans="1:5" ht="15" x14ac:dyDescent="0.2">
      <c r="A70" s="235">
        <v>41612</v>
      </c>
      <c r="B70" s="236">
        <v>0.46269675925925924</v>
      </c>
      <c r="C70" s="17">
        <v>12.6</v>
      </c>
      <c r="D70" s="17">
        <v>8</v>
      </c>
      <c r="E70" s="17">
        <v>29.1</v>
      </c>
    </row>
    <row r="71" spans="1:5" ht="15" x14ac:dyDescent="0.2">
      <c r="A71" s="235">
        <v>41612</v>
      </c>
      <c r="B71" s="236">
        <v>0.46304398148148151</v>
      </c>
      <c r="C71" s="17">
        <v>12.5</v>
      </c>
      <c r="D71" s="17">
        <v>8</v>
      </c>
      <c r="E71" s="17">
        <v>31.5</v>
      </c>
    </row>
    <row r="72" spans="1:5" ht="15" x14ac:dyDescent="0.2">
      <c r="A72" s="235">
        <v>41612</v>
      </c>
      <c r="B72" s="236">
        <v>0.46339120370370374</v>
      </c>
      <c r="C72" s="17">
        <v>12.5</v>
      </c>
      <c r="D72" s="17">
        <v>8</v>
      </c>
      <c r="E72" s="17">
        <v>34.6</v>
      </c>
    </row>
    <row r="73" spans="1:5" ht="15" x14ac:dyDescent="0.2">
      <c r="A73" s="235">
        <v>41612</v>
      </c>
      <c r="B73" s="236">
        <v>0.4637384259259259</v>
      </c>
      <c r="C73" s="17">
        <v>12.7</v>
      </c>
      <c r="D73" s="17">
        <v>7.9</v>
      </c>
      <c r="E73" s="17">
        <v>36</v>
      </c>
    </row>
    <row r="74" spans="1:5" ht="15" x14ac:dyDescent="0.2">
      <c r="A74" s="235">
        <v>41612</v>
      </c>
      <c r="B74" s="236">
        <v>0.46408564814814812</v>
      </c>
      <c r="C74" s="17">
        <v>12.8</v>
      </c>
      <c r="D74" s="17">
        <v>7.9</v>
      </c>
      <c r="E74" s="17">
        <v>35.700000000000003</v>
      </c>
    </row>
    <row r="75" spans="1:5" ht="15" x14ac:dyDescent="0.2">
      <c r="A75" s="235">
        <v>41612</v>
      </c>
      <c r="B75" s="236">
        <v>0.4644328703703704</v>
      </c>
      <c r="C75" s="17">
        <v>12.8</v>
      </c>
      <c r="D75" s="17">
        <v>7.8</v>
      </c>
      <c r="E75" s="17">
        <v>34.9</v>
      </c>
    </row>
    <row r="76" spans="1:5" ht="15" x14ac:dyDescent="0.2">
      <c r="A76" s="235">
        <v>41612</v>
      </c>
      <c r="B76" s="236">
        <v>0.46478009259259262</v>
      </c>
      <c r="C76" s="17">
        <v>12.9</v>
      </c>
      <c r="D76" s="17">
        <v>7.8</v>
      </c>
      <c r="E76" s="17">
        <v>33.799999999999997</v>
      </c>
    </row>
    <row r="77" spans="1:5" ht="15" x14ac:dyDescent="0.2">
      <c r="A77" s="235">
        <v>41612</v>
      </c>
      <c r="B77" s="236">
        <v>0.46512731481481479</v>
      </c>
      <c r="C77" s="17">
        <v>12.9</v>
      </c>
      <c r="D77" s="17">
        <v>7.7</v>
      </c>
      <c r="E77" s="17">
        <v>31.7</v>
      </c>
    </row>
    <row r="78" spans="1:5" ht="15" x14ac:dyDescent="0.2">
      <c r="A78" s="235">
        <v>41612</v>
      </c>
      <c r="B78" s="236">
        <v>0.46547453703703701</v>
      </c>
      <c r="C78" s="17">
        <v>13</v>
      </c>
      <c r="D78" s="17">
        <v>7.7</v>
      </c>
      <c r="E78" s="17">
        <v>29.2</v>
      </c>
    </row>
    <row r="79" spans="1:5" ht="15" x14ac:dyDescent="0.2">
      <c r="A79" s="235">
        <v>41612</v>
      </c>
      <c r="B79" s="236">
        <v>0.46582175925925928</v>
      </c>
      <c r="C79" s="17">
        <v>13</v>
      </c>
      <c r="D79" s="17">
        <v>7.7</v>
      </c>
      <c r="E79" s="17">
        <v>26.8</v>
      </c>
    </row>
    <row r="80" spans="1:5" ht="15" x14ac:dyDescent="0.2">
      <c r="A80" s="235">
        <v>41612</v>
      </c>
      <c r="B80" s="236">
        <v>0.4661689814814815</v>
      </c>
      <c r="C80" s="17">
        <v>13.1</v>
      </c>
      <c r="D80" s="17">
        <v>7.7</v>
      </c>
      <c r="E80" s="17">
        <v>25.6</v>
      </c>
    </row>
    <row r="81" spans="1:5" ht="15" x14ac:dyDescent="0.2">
      <c r="A81" s="235">
        <v>41612</v>
      </c>
      <c r="B81" s="236">
        <v>0.46651620370370367</v>
      </c>
      <c r="C81" s="17">
        <v>13.1</v>
      </c>
      <c r="D81" s="17">
        <v>7.6</v>
      </c>
      <c r="E81" s="17">
        <v>25.2</v>
      </c>
    </row>
    <row r="82" spans="1:5" ht="15" x14ac:dyDescent="0.2">
      <c r="A82" s="235">
        <v>41612</v>
      </c>
      <c r="B82" s="236">
        <v>0.46686342592592589</v>
      </c>
      <c r="C82" s="17">
        <v>13.1</v>
      </c>
      <c r="D82" s="17">
        <v>7.6</v>
      </c>
      <c r="E82" s="17">
        <v>25.2</v>
      </c>
    </row>
    <row r="83" spans="1:5" ht="15" x14ac:dyDescent="0.2">
      <c r="A83" s="235">
        <v>41612</v>
      </c>
      <c r="B83" s="236">
        <v>0.46721064814814817</v>
      </c>
      <c r="C83" s="17">
        <v>13.1</v>
      </c>
      <c r="D83" s="17">
        <v>7.6</v>
      </c>
      <c r="E83" s="17">
        <v>25.2</v>
      </c>
    </row>
    <row r="84" spans="1:5" ht="15" x14ac:dyDescent="0.2">
      <c r="A84" s="235">
        <v>41612</v>
      </c>
      <c r="B84" s="236">
        <v>0.46755787037037039</v>
      </c>
      <c r="C84" s="17">
        <v>13.1</v>
      </c>
      <c r="D84" s="17">
        <v>7.6</v>
      </c>
      <c r="E84" s="17">
        <v>24.9</v>
      </c>
    </row>
    <row r="85" spans="1:5" ht="15" x14ac:dyDescent="0.2">
      <c r="A85" s="235">
        <v>41612</v>
      </c>
      <c r="B85" s="236">
        <v>0.46790509259259255</v>
      </c>
      <c r="C85" s="17">
        <v>13.2</v>
      </c>
      <c r="D85" s="17">
        <v>7.6</v>
      </c>
      <c r="E85" s="17">
        <v>24.1</v>
      </c>
    </row>
    <row r="86" spans="1:5" ht="15" x14ac:dyDescent="0.2">
      <c r="A86" s="235">
        <v>41612</v>
      </c>
      <c r="B86" s="236">
        <v>0.46825231481481483</v>
      </c>
      <c r="C86" s="17">
        <v>13.2</v>
      </c>
      <c r="D86" s="17">
        <v>7.5</v>
      </c>
      <c r="E86" s="17">
        <v>23.4</v>
      </c>
    </row>
    <row r="87" spans="1:5" ht="15" x14ac:dyDescent="0.2">
      <c r="A87" s="235">
        <v>41612</v>
      </c>
      <c r="B87" s="236">
        <v>0.46859953703703705</v>
      </c>
      <c r="C87" s="17">
        <v>13.3</v>
      </c>
      <c r="D87" s="17">
        <v>7.5</v>
      </c>
      <c r="E87" s="17">
        <v>22.6</v>
      </c>
    </row>
    <row r="88" spans="1:5" ht="15" x14ac:dyDescent="0.2">
      <c r="A88" s="235">
        <v>41612</v>
      </c>
      <c r="B88" s="236">
        <v>0.46894675925925927</v>
      </c>
      <c r="C88" s="17">
        <v>13.4</v>
      </c>
      <c r="D88" s="17">
        <v>7.4</v>
      </c>
      <c r="E88" s="17">
        <v>22.2</v>
      </c>
    </row>
    <row r="89" spans="1:5" ht="15" x14ac:dyDescent="0.2">
      <c r="A89" s="235">
        <v>41612</v>
      </c>
      <c r="B89" s="236">
        <v>0.46929398148148144</v>
      </c>
      <c r="C89" s="17">
        <v>13.4</v>
      </c>
      <c r="D89" s="17">
        <v>7.4</v>
      </c>
      <c r="E89" s="17">
        <v>22.3</v>
      </c>
    </row>
    <row r="90" spans="1:5" ht="15" x14ac:dyDescent="0.2">
      <c r="A90" s="235">
        <v>41612</v>
      </c>
      <c r="B90" s="236">
        <v>0.46964120370370371</v>
      </c>
      <c r="C90" s="17">
        <v>13.5</v>
      </c>
      <c r="D90" s="17">
        <v>7.3</v>
      </c>
      <c r="E90" s="17">
        <v>22.7</v>
      </c>
    </row>
    <row r="91" spans="1:5" ht="15" x14ac:dyDescent="0.2">
      <c r="A91" s="235">
        <v>41612</v>
      </c>
      <c r="B91" s="236">
        <v>0.46998842592592593</v>
      </c>
      <c r="C91" s="17">
        <v>13.6</v>
      </c>
      <c r="D91" s="17">
        <v>7.3</v>
      </c>
      <c r="E91" s="17">
        <v>22.7</v>
      </c>
    </row>
    <row r="92" spans="1:5" ht="15" x14ac:dyDescent="0.2">
      <c r="A92" s="235">
        <v>41612</v>
      </c>
      <c r="B92" s="236">
        <v>0.47033564814814816</v>
      </c>
      <c r="C92" s="17">
        <v>13.7</v>
      </c>
      <c r="D92" s="17">
        <v>7.2</v>
      </c>
      <c r="E92" s="17">
        <v>22.7</v>
      </c>
    </row>
    <row r="93" spans="1:5" ht="15" x14ac:dyDescent="0.2">
      <c r="A93" s="235">
        <v>41612</v>
      </c>
      <c r="B93" s="236">
        <v>0.47068287037037032</v>
      </c>
      <c r="C93" s="17">
        <v>13.8</v>
      </c>
      <c r="D93" s="17">
        <v>7.1</v>
      </c>
      <c r="E93" s="17">
        <v>22.7</v>
      </c>
    </row>
    <row r="94" spans="1:5" ht="15" x14ac:dyDescent="0.2">
      <c r="A94" s="235">
        <v>41612</v>
      </c>
      <c r="B94" s="236">
        <v>0.4710300925925926</v>
      </c>
      <c r="C94" s="17">
        <v>13.9</v>
      </c>
      <c r="D94" s="17">
        <v>7</v>
      </c>
      <c r="E94" s="17">
        <v>22.7</v>
      </c>
    </row>
    <row r="95" spans="1:5" ht="15" x14ac:dyDescent="0.2">
      <c r="A95" s="235">
        <v>41612</v>
      </c>
      <c r="B95" s="236">
        <v>0.47137731481481482</v>
      </c>
      <c r="C95" s="17">
        <v>13.9</v>
      </c>
      <c r="D95" s="17">
        <v>7</v>
      </c>
      <c r="E95" s="17">
        <v>23.1</v>
      </c>
    </row>
    <row r="96" spans="1:5" ht="15" x14ac:dyDescent="0.2">
      <c r="A96" s="235">
        <v>41612</v>
      </c>
      <c r="B96" s="236">
        <v>0.47172453703703704</v>
      </c>
      <c r="C96" s="17">
        <v>13.9</v>
      </c>
      <c r="D96" s="17">
        <v>7</v>
      </c>
      <c r="E96" s="17">
        <v>23.6</v>
      </c>
    </row>
    <row r="97" spans="1:5" ht="15" x14ac:dyDescent="0.2">
      <c r="A97" s="235">
        <v>41612</v>
      </c>
      <c r="B97" s="236">
        <v>0.47207175925925932</v>
      </c>
      <c r="C97" s="17">
        <v>13.8</v>
      </c>
      <c r="D97" s="17">
        <v>7.1</v>
      </c>
      <c r="E97" s="17">
        <v>23.8</v>
      </c>
    </row>
    <row r="98" spans="1:5" ht="15" x14ac:dyDescent="0.2">
      <c r="A98" s="235">
        <v>41612</v>
      </c>
      <c r="B98" s="236">
        <v>0.47241898148148148</v>
      </c>
      <c r="C98" s="17">
        <v>13.6</v>
      </c>
      <c r="D98" s="17">
        <v>7.1</v>
      </c>
      <c r="E98" s="17">
        <v>24.6</v>
      </c>
    </row>
    <row r="99" spans="1:5" ht="15" x14ac:dyDescent="0.2">
      <c r="A99" s="235">
        <v>41612</v>
      </c>
      <c r="B99" s="236">
        <v>0.4727662037037037</v>
      </c>
      <c r="C99" s="17">
        <v>13.6</v>
      </c>
      <c r="D99" s="17">
        <v>7.2</v>
      </c>
      <c r="E99" s="17">
        <v>25.8</v>
      </c>
    </row>
    <row r="100" spans="1:5" ht="15" x14ac:dyDescent="0.2">
      <c r="A100" s="235">
        <v>41612</v>
      </c>
      <c r="B100" s="236">
        <v>0.47311342592592592</v>
      </c>
      <c r="C100" s="17">
        <v>13.7</v>
      </c>
      <c r="D100" s="17">
        <v>7.1</v>
      </c>
      <c r="E100" s="17">
        <v>25.7</v>
      </c>
    </row>
    <row r="101" spans="1:5" ht="15" x14ac:dyDescent="0.2">
      <c r="A101" s="235">
        <v>41612</v>
      </c>
      <c r="B101" s="236">
        <v>0.4734606481481482</v>
      </c>
      <c r="C101" s="17">
        <v>13.7</v>
      </c>
      <c r="D101" s="17">
        <v>7.1</v>
      </c>
      <c r="E101" s="17">
        <v>25.5</v>
      </c>
    </row>
    <row r="102" spans="1:5" ht="15" x14ac:dyDescent="0.2">
      <c r="A102" s="235">
        <v>41612</v>
      </c>
      <c r="B102" s="236">
        <v>0.47380787037037037</v>
      </c>
      <c r="C102" s="17">
        <v>13.6</v>
      </c>
      <c r="D102" s="17">
        <v>7.2</v>
      </c>
      <c r="E102" s="17">
        <v>25.7</v>
      </c>
    </row>
    <row r="103" spans="1:5" ht="15" x14ac:dyDescent="0.2">
      <c r="A103" s="235">
        <v>41612</v>
      </c>
      <c r="B103" s="236">
        <v>0.47415509259259259</v>
      </c>
      <c r="C103" s="17">
        <v>13.7</v>
      </c>
      <c r="D103" s="17">
        <v>7.2</v>
      </c>
      <c r="E103" s="17">
        <v>26.2</v>
      </c>
    </row>
    <row r="104" spans="1:5" ht="15" x14ac:dyDescent="0.2">
      <c r="A104" s="235">
        <v>41612</v>
      </c>
      <c r="B104" s="236">
        <v>0.47450231481481481</v>
      </c>
      <c r="C104" s="17">
        <v>13.8</v>
      </c>
      <c r="D104" s="17">
        <v>7.1</v>
      </c>
      <c r="E104" s="17">
        <v>26.4</v>
      </c>
    </row>
    <row r="105" spans="1:5" ht="15" x14ac:dyDescent="0.2">
      <c r="A105" s="235">
        <v>41612</v>
      </c>
      <c r="B105" s="236">
        <v>0.47484953703703708</v>
      </c>
      <c r="C105" s="17">
        <v>13.8</v>
      </c>
      <c r="D105" s="17">
        <v>7.1</v>
      </c>
      <c r="E105" s="17">
        <v>25.7</v>
      </c>
    </row>
    <row r="106" spans="1:5" ht="15" x14ac:dyDescent="0.2">
      <c r="A106" s="235">
        <v>41612</v>
      </c>
      <c r="B106" s="236">
        <v>0.47519675925925925</v>
      </c>
      <c r="C106" s="17">
        <v>13.6</v>
      </c>
      <c r="D106" s="17">
        <v>7.2</v>
      </c>
      <c r="E106" s="17">
        <v>25.7</v>
      </c>
    </row>
    <row r="107" spans="1:5" ht="15" x14ac:dyDescent="0.2">
      <c r="A107" s="235">
        <v>41612</v>
      </c>
      <c r="B107" s="236">
        <v>0.47554398148148147</v>
      </c>
      <c r="C107" s="17">
        <v>13.5</v>
      </c>
      <c r="D107" s="17">
        <v>7.2</v>
      </c>
      <c r="E107" s="17">
        <v>25.7</v>
      </c>
    </row>
    <row r="108" spans="1:5" ht="15" x14ac:dyDescent="0.2">
      <c r="A108" s="235">
        <v>41612</v>
      </c>
      <c r="B108" s="236">
        <v>0.47589120370370369</v>
      </c>
      <c r="C108" s="17">
        <v>13.5</v>
      </c>
      <c r="D108" s="17">
        <v>7.3</v>
      </c>
      <c r="E108" s="17">
        <v>25.7</v>
      </c>
    </row>
    <row r="109" spans="1:5" ht="15" x14ac:dyDescent="0.2">
      <c r="A109" s="235">
        <v>41612</v>
      </c>
      <c r="B109" s="236">
        <v>0.47623842592592597</v>
      </c>
      <c r="C109" s="17">
        <v>13.3</v>
      </c>
      <c r="D109" s="17">
        <v>7.4</v>
      </c>
      <c r="E109" s="17">
        <v>26.2</v>
      </c>
    </row>
    <row r="110" spans="1:5" ht="15" x14ac:dyDescent="0.2">
      <c r="A110" s="235">
        <v>41612</v>
      </c>
      <c r="B110" s="236">
        <v>0.47658564814814813</v>
      </c>
      <c r="C110" s="17">
        <v>13.1</v>
      </c>
      <c r="D110" s="17">
        <v>7.6</v>
      </c>
      <c r="E110" s="17">
        <v>26.5</v>
      </c>
    </row>
    <row r="111" spans="1:5" ht="15" x14ac:dyDescent="0.2">
      <c r="A111" s="235">
        <v>41612</v>
      </c>
      <c r="B111" s="236">
        <v>0.47693287037037035</v>
      </c>
      <c r="C111" s="17">
        <v>12.8</v>
      </c>
      <c r="D111" s="17">
        <v>7.8</v>
      </c>
      <c r="E111" s="17">
        <v>27.9</v>
      </c>
    </row>
    <row r="112" spans="1:5" ht="15" x14ac:dyDescent="0.2">
      <c r="A112" s="235">
        <v>41612</v>
      </c>
      <c r="B112" s="236">
        <v>0.47728009259259263</v>
      </c>
      <c r="C112" s="17">
        <v>12.7</v>
      </c>
      <c r="D112" s="17">
        <v>7.9</v>
      </c>
      <c r="E112" s="17">
        <v>31.2</v>
      </c>
    </row>
    <row r="113" spans="1:5" ht="15" x14ac:dyDescent="0.2">
      <c r="A113" s="235">
        <v>41612</v>
      </c>
      <c r="B113" s="236">
        <v>0.47762731481481485</v>
      </c>
      <c r="C113" s="17">
        <v>12.7</v>
      </c>
      <c r="D113" s="17">
        <v>7.9</v>
      </c>
      <c r="E113" s="17">
        <v>33.200000000000003</v>
      </c>
    </row>
    <row r="114" spans="1:5" ht="15" x14ac:dyDescent="0.2">
      <c r="A114" s="235">
        <v>41612</v>
      </c>
      <c r="B114" s="236">
        <v>0.47797453703703702</v>
      </c>
      <c r="C114" s="17">
        <v>12.7</v>
      </c>
      <c r="D114" s="17">
        <v>7.9</v>
      </c>
      <c r="E114" s="17">
        <v>32.200000000000003</v>
      </c>
    </row>
    <row r="115" spans="1:5" ht="15" x14ac:dyDescent="0.2">
      <c r="A115" s="235">
        <v>41612</v>
      </c>
      <c r="B115" s="236">
        <v>0.47832175925925924</v>
      </c>
      <c r="C115" s="17">
        <v>12.8</v>
      </c>
      <c r="D115" s="17">
        <v>7.8</v>
      </c>
      <c r="E115" s="17">
        <v>30.7</v>
      </c>
    </row>
    <row r="116" spans="1:5" ht="15" x14ac:dyDescent="0.2">
      <c r="A116" s="235">
        <v>41612</v>
      </c>
      <c r="B116" s="236">
        <v>0.47866898148148151</v>
      </c>
      <c r="C116" s="17">
        <v>12.7</v>
      </c>
      <c r="D116" s="17">
        <v>7.9</v>
      </c>
      <c r="E116" s="17">
        <v>29.7</v>
      </c>
    </row>
    <row r="117" spans="1:5" ht="15" x14ac:dyDescent="0.2">
      <c r="A117" s="235">
        <v>41612</v>
      </c>
      <c r="B117" s="236">
        <v>0.47901620370370374</v>
      </c>
      <c r="C117" s="17">
        <v>12.8</v>
      </c>
      <c r="D117" s="17">
        <v>7.8</v>
      </c>
      <c r="E117" s="17">
        <v>28.7</v>
      </c>
    </row>
    <row r="118" spans="1:5" ht="15" x14ac:dyDescent="0.2">
      <c r="A118" s="235">
        <v>41612</v>
      </c>
      <c r="B118" s="236">
        <v>0.4793634259259259</v>
      </c>
      <c r="C118" s="17">
        <v>12.8</v>
      </c>
      <c r="D118" s="17">
        <v>7.8</v>
      </c>
      <c r="E118" s="17">
        <v>27.2</v>
      </c>
    </row>
    <row r="119" spans="1:5" ht="15" x14ac:dyDescent="0.2">
      <c r="A119" s="235">
        <v>41612</v>
      </c>
      <c r="B119" s="236">
        <v>0.47971064814814812</v>
      </c>
      <c r="C119" s="17">
        <v>12.9</v>
      </c>
      <c r="D119" s="17">
        <v>7.7</v>
      </c>
      <c r="E119" s="17">
        <v>25.7</v>
      </c>
    </row>
    <row r="120" spans="1:5" ht="15" x14ac:dyDescent="0.2">
      <c r="A120" s="235">
        <v>41612</v>
      </c>
      <c r="B120" s="236">
        <v>0.4800578703703704</v>
      </c>
      <c r="C120" s="17">
        <v>13</v>
      </c>
      <c r="D120" s="17">
        <v>7.6</v>
      </c>
      <c r="E120" s="17">
        <v>24.9</v>
      </c>
    </row>
    <row r="121" spans="1:5" ht="15" x14ac:dyDescent="0.2">
      <c r="A121" s="235">
        <v>41612</v>
      </c>
      <c r="B121" s="236">
        <v>0.48040509259259262</v>
      </c>
      <c r="C121" s="17">
        <v>13</v>
      </c>
      <c r="D121" s="17">
        <v>7.6</v>
      </c>
      <c r="E121" s="17">
        <v>24.4</v>
      </c>
    </row>
    <row r="122" spans="1:5" ht="15" x14ac:dyDescent="0.2">
      <c r="A122" s="235">
        <v>41612</v>
      </c>
      <c r="B122" s="236">
        <v>0.48075231481481479</v>
      </c>
      <c r="C122" s="17">
        <v>13.1</v>
      </c>
      <c r="D122" s="17">
        <v>7.6</v>
      </c>
      <c r="E122" s="17">
        <v>24.2</v>
      </c>
    </row>
    <row r="123" spans="1:5" ht="15" x14ac:dyDescent="0.2">
      <c r="A123" s="235">
        <v>41612</v>
      </c>
      <c r="B123" s="236">
        <v>0.48109953703703701</v>
      </c>
      <c r="C123" s="17">
        <v>13.1</v>
      </c>
      <c r="D123" s="17">
        <v>7.6</v>
      </c>
      <c r="E123" s="17">
        <v>24.2</v>
      </c>
    </row>
    <row r="124" spans="1:5" ht="15" x14ac:dyDescent="0.2">
      <c r="A124" s="235">
        <v>41612</v>
      </c>
      <c r="B124" s="236">
        <v>0.48144675925925928</v>
      </c>
      <c r="C124" s="17">
        <v>13.3</v>
      </c>
      <c r="D124" s="17">
        <v>7.4</v>
      </c>
      <c r="E124" s="17">
        <v>24.2</v>
      </c>
    </row>
    <row r="125" spans="1:5" ht="15" x14ac:dyDescent="0.2">
      <c r="A125" s="235">
        <v>41612</v>
      </c>
      <c r="B125" s="236">
        <v>0.4817939814814815</v>
      </c>
      <c r="C125" s="17">
        <v>13.5</v>
      </c>
      <c r="D125" s="17">
        <v>7.3</v>
      </c>
      <c r="E125" s="17">
        <v>23.9</v>
      </c>
    </row>
    <row r="126" spans="1:5" ht="15" x14ac:dyDescent="0.2">
      <c r="A126" s="235">
        <v>41612</v>
      </c>
      <c r="B126" s="236">
        <v>0.48214120370370367</v>
      </c>
      <c r="C126" s="17">
        <v>13.6</v>
      </c>
      <c r="D126" s="17">
        <v>7.2</v>
      </c>
      <c r="E126" s="17">
        <v>23.6</v>
      </c>
    </row>
    <row r="127" spans="1:5" ht="15" x14ac:dyDescent="0.2">
      <c r="A127" s="235">
        <v>41612</v>
      </c>
      <c r="B127" s="236">
        <v>0.48248842592592589</v>
      </c>
      <c r="C127" s="17">
        <v>13.7</v>
      </c>
      <c r="D127" s="17">
        <v>7.1</v>
      </c>
      <c r="E127" s="17">
        <v>23.2</v>
      </c>
    </row>
    <row r="128" spans="1:5" x14ac:dyDescent="0.2">
      <c r="A128" s="212"/>
      <c r="B128" s="213"/>
    </row>
    <row r="129" spans="1:5" ht="15.75" x14ac:dyDescent="0.25">
      <c r="A129" s="442" t="s">
        <v>36</v>
      </c>
      <c r="B129" s="443"/>
      <c r="C129" s="1">
        <f>AVERAGE(C8:C127)</f>
        <v>13.274166666666662</v>
      </c>
      <c r="D129" s="1">
        <f>AVERAGE(D8:D127)</f>
        <v>7.4591666666666709</v>
      </c>
      <c r="E129" s="1">
        <f>AVERAGE(E8:E127)</f>
        <v>24.579166666666641</v>
      </c>
    </row>
  </sheetData>
  <mergeCells count="1">
    <mergeCell ref="A129:B129"/>
  </mergeCells>
  <phoneticPr fontId="0" type="noConversion"/>
  <pageMargins left="0.95" right="0.7" top="0.75" bottom="0.75" header="0.3" footer="0.3"/>
  <pageSetup scale="73" fitToHeight="2" orientation="portrait" r:id="rId1"/>
  <headerFooter alignWithMargins="0">
    <oddHeader>&amp;A</oddHeader>
    <oddFooter>&amp;Z&amp;F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9"/>
  <sheetViews>
    <sheetView zoomScale="80" zoomScaleNormal="80" workbookViewId="0">
      <selection activeCell="G9" sqref="G9"/>
    </sheetView>
  </sheetViews>
  <sheetFormatPr defaultColWidth="10.77734375" defaultRowHeight="12.75" x14ac:dyDescent="0.2"/>
  <cols>
    <col min="1" max="16384" width="10.77734375" style="210"/>
  </cols>
  <sheetData>
    <row r="1" spans="1:5" ht="15" x14ac:dyDescent="0.2">
      <c r="A1" s="17" t="s">
        <v>33</v>
      </c>
      <c r="B1" s="17"/>
      <c r="C1" s="17"/>
      <c r="D1" s="17"/>
      <c r="E1" s="17"/>
    </row>
    <row r="2" spans="1:5" ht="15" x14ac:dyDescent="0.2">
      <c r="A2" s="17" t="s">
        <v>244</v>
      </c>
      <c r="B2" s="17"/>
      <c r="C2" s="17"/>
      <c r="D2" s="17"/>
      <c r="E2" s="17"/>
    </row>
    <row r="3" spans="1:5" ht="15" x14ac:dyDescent="0.2">
      <c r="A3" s="17" t="s">
        <v>249</v>
      </c>
      <c r="B3" s="17"/>
      <c r="C3" s="17"/>
      <c r="D3" s="17"/>
      <c r="E3" s="17"/>
    </row>
    <row r="4" spans="1:5" ht="15" x14ac:dyDescent="0.2">
      <c r="A4" s="17" t="s">
        <v>34</v>
      </c>
      <c r="B4" s="17"/>
      <c r="C4" s="17"/>
      <c r="D4" s="17"/>
      <c r="E4" s="17"/>
    </row>
    <row r="5" spans="1:5" ht="15" x14ac:dyDescent="0.2">
      <c r="A5" s="17" t="s">
        <v>35</v>
      </c>
      <c r="B5" s="17"/>
      <c r="C5" s="17"/>
      <c r="D5" s="17"/>
      <c r="E5" s="17"/>
    </row>
    <row r="6" spans="1:5" ht="15" x14ac:dyDescent="0.2">
      <c r="A6" s="17" t="s">
        <v>223</v>
      </c>
      <c r="B6" s="17"/>
      <c r="C6" s="17"/>
      <c r="D6" s="17"/>
      <c r="E6" s="17"/>
    </row>
    <row r="7" spans="1:5" s="211" customFormat="1" ht="15" x14ac:dyDescent="0.2">
      <c r="A7" s="30" t="s">
        <v>3</v>
      </c>
      <c r="B7" s="30" t="s">
        <v>4</v>
      </c>
      <c r="C7" s="30" t="s">
        <v>259</v>
      </c>
      <c r="D7" s="30" t="s">
        <v>260</v>
      </c>
      <c r="E7" s="30" t="s">
        <v>261</v>
      </c>
    </row>
    <row r="8" spans="1:5" ht="15" x14ac:dyDescent="0.2">
      <c r="A8" s="235">
        <v>41612</v>
      </c>
      <c r="B8" s="236">
        <v>0.5627199074074074</v>
      </c>
      <c r="C8" s="17">
        <v>12.1</v>
      </c>
      <c r="D8" s="17">
        <v>7.7</v>
      </c>
      <c r="E8" s="17">
        <v>25.5</v>
      </c>
    </row>
    <row r="9" spans="1:5" ht="15" x14ac:dyDescent="0.2">
      <c r="A9" s="235">
        <v>41612</v>
      </c>
      <c r="B9" s="236">
        <v>0.56306712962962957</v>
      </c>
      <c r="C9" s="17">
        <v>12.2</v>
      </c>
      <c r="D9" s="17">
        <v>7.7</v>
      </c>
      <c r="E9" s="17">
        <v>24.5</v>
      </c>
    </row>
    <row r="10" spans="1:5" ht="15" x14ac:dyDescent="0.2">
      <c r="A10" s="235">
        <v>41612</v>
      </c>
      <c r="B10" s="236">
        <v>0.56341435185185185</v>
      </c>
      <c r="C10" s="17">
        <v>12.4</v>
      </c>
      <c r="D10" s="17">
        <v>7.6</v>
      </c>
      <c r="E10" s="17">
        <v>23.5</v>
      </c>
    </row>
    <row r="11" spans="1:5" ht="15" x14ac:dyDescent="0.2">
      <c r="A11" s="235">
        <v>41612</v>
      </c>
      <c r="B11" s="236">
        <v>0.56376157407407412</v>
      </c>
      <c r="C11" s="17">
        <v>12.6</v>
      </c>
      <c r="D11" s="17">
        <v>7.4</v>
      </c>
      <c r="E11" s="17">
        <v>22.4</v>
      </c>
    </row>
    <row r="12" spans="1:5" ht="15" x14ac:dyDescent="0.2">
      <c r="A12" s="235">
        <v>41612</v>
      </c>
      <c r="B12" s="236">
        <v>0.56410879629629629</v>
      </c>
      <c r="C12" s="17">
        <v>12.7</v>
      </c>
      <c r="D12" s="17">
        <v>7.3</v>
      </c>
      <c r="E12" s="17">
        <v>21.1</v>
      </c>
    </row>
    <row r="13" spans="1:5" ht="15" x14ac:dyDescent="0.2">
      <c r="A13" s="235">
        <v>41612</v>
      </c>
      <c r="B13" s="236">
        <v>0.56445601851851845</v>
      </c>
      <c r="C13" s="17">
        <v>12.9</v>
      </c>
      <c r="D13" s="17">
        <v>7.1</v>
      </c>
      <c r="E13" s="17">
        <v>20.7</v>
      </c>
    </row>
    <row r="14" spans="1:5" ht="15" x14ac:dyDescent="0.2">
      <c r="A14" s="235">
        <v>41612</v>
      </c>
      <c r="B14" s="236">
        <v>0.56480324074074073</v>
      </c>
      <c r="C14" s="17">
        <v>13.1</v>
      </c>
      <c r="D14" s="17">
        <v>7</v>
      </c>
      <c r="E14" s="17">
        <v>20.7</v>
      </c>
    </row>
    <row r="15" spans="1:5" ht="15" x14ac:dyDescent="0.2">
      <c r="A15" s="235">
        <v>41612</v>
      </c>
      <c r="B15" s="236">
        <v>0.56515046296296301</v>
      </c>
      <c r="C15" s="17">
        <v>13.3</v>
      </c>
      <c r="D15" s="17">
        <v>6.9</v>
      </c>
      <c r="E15" s="17">
        <v>20.8</v>
      </c>
    </row>
    <row r="16" spans="1:5" ht="15" x14ac:dyDescent="0.2">
      <c r="A16" s="235">
        <v>41612</v>
      </c>
      <c r="B16" s="236">
        <v>0.56549768518518517</v>
      </c>
      <c r="C16" s="17">
        <v>13.4</v>
      </c>
      <c r="D16" s="17">
        <v>6.8</v>
      </c>
      <c r="E16" s="17">
        <v>21.2</v>
      </c>
    </row>
    <row r="17" spans="1:5" ht="15" x14ac:dyDescent="0.2">
      <c r="A17" s="235">
        <v>41612</v>
      </c>
      <c r="B17" s="236">
        <v>0.56584490740740734</v>
      </c>
      <c r="C17" s="17">
        <v>13.4</v>
      </c>
      <c r="D17" s="17">
        <v>6.7</v>
      </c>
      <c r="E17" s="17">
        <v>21.4</v>
      </c>
    </row>
    <row r="18" spans="1:5" ht="15" x14ac:dyDescent="0.2">
      <c r="A18" s="235">
        <v>41612</v>
      </c>
      <c r="B18" s="236">
        <v>0.56619212962962961</v>
      </c>
      <c r="C18" s="17">
        <v>13.3</v>
      </c>
      <c r="D18" s="17">
        <v>6.8</v>
      </c>
      <c r="E18" s="17">
        <v>21.2</v>
      </c>
    </row>
    <row r="19" spans="1:5" ht="15" x14ac:dyDescent="0.2">
      <c r="A19" s="235">
        <v>41612</v>
      </c>
      <c r="B19" s="236">
        <v>0.56653935185185189</v>
      </c>
      <c r="C19" s="17">
        <v>13</v>
      </c>
      <c r="D19" s="17">
        <v>7</v>
      </c>
      <c r="E19" s="17">
        <v>21.6</v>
      </c>
    </row>
    <row r="20" spans="1:5" ht="15" x14ac:dyDescent="0.2">
      <c r="A20" s="235">
        <v>41612</v>
      </c>
      <c r="B20" s="236">
        <v>0.56688657407407406</v>
      </c>
      <c r="C20" s="17">
        <v>12.8</v>
      </c>
      <c r="D20" s="17">
        <v>7.2</v>
      </c>
      <c r="E20" s="17">
        <v>22.1</v>
      </c>
    </row>
    <row r="21" spans="1:5" ht="15" x14ac:dyDescent="0.2">
      <c r="A21" s="235">
        <v>41612</v>
      </c>
      <c r="B21" s="236">
        <v>0.56723379629629633</v>
      </c>
      <c r="C21" s="17">
        <v>12.6</v>
      </c>
      <c r="D21" s="17">
        <v>7.3</v>
      </c>
      <c r="E21" s="17">
        <v>22.3</v>
      </c>
    </row>
    <row r="22" spans="1:5" ht="15" x14ac:dyDescent="0.2">
      <c r="A22" s="235">
        <v>41612</v>
      </c>
      <c r="B22" s="236">
        <v>0.5675810185185185</v>
      </c>
      <c r="C22" s="17">
        <v>12.5</v>
      </c>
      <c r="D22" s="17">
        <v>7.4</v>
      </c>
      <c r="E22" s="17">
        <v>22.2</v>
      </c>
    </row>
    <row r="23" spans="1:5" ht="15" x14ac:dyDescent="0.2">
      <c r="A23" s="235">
        <v>41612</v>
      </c>
      <c r="B23" s="236">
        <v>0.56792824074074078</v>
      </c>
      <c r="C23" s="17">
        <v>12.2</v>
      </c>
      <c r="D23" s="17">
        <v>7.6</v>
      </c>
      <c r="E23" s="17">
        <v>22.3</v>
      </c>
    </row>
    <row r="24" spans="1:5" ht="15" x14ac:dyDescent="0.2">
      <c r="A24" s="235">
        <v>41612</v>
      </c>
      <c r="B24" s="236">
        <v>0.56827546296296294</v>
      </c>
      <c r="C24" s="17">
        <v>12.1</v>
      </c>
      <c r="D24" s="17">
        <v>7.7</v>
      </c>
      <c r="E24" s="17">
        <v>23</v>
      </c>
    </row>
    <row r="25" spans="1:5" ht="15" x14ac:dyDescent="0.2">
      <c r="A25" s="235">
        <v>41612</v>
      </c>
      <c r="B25" s="236">
        <v>0.56862268518518522</v>
      </c>
      <c r="C25" s="17">
        <v>12.1</v>
      </c>
      <c r="D25" s="17">
        <v>7.7</v>
      </c>
      <c r="E25" s="17">
        <v>23.5</v>
      </c>
    </row>
    <row r="26" spans="1:5" ht="15" x14ac:dyDescent="0.2">
      <c r="A26" s="235">
        <v>41612</v>
      </c>
      <c r="B26" s="236">
        <v>0.56896990740740738</v>
      </c>
      <c r="C26" s="17">
        <v>11.9</v>
      </c>
      <c r="D26" s="17">
        <v>7.9</v>
      </c>
      <c r="E26" s="17">
        <v>24.6</v>
      </c>
    </row>
    <row r="27" spans="1:5" ht="15" x14ac:dyDescent="0.2">
      <c r="A27" s="235">
        <v>41612</v>
      </c>
      <c r="B27" s="236">
        <v>0.56931712962962966</v>
      </c>
      <c r="C27" s="17">
        <v>11.8</v>
      </c>
      <c r="D27" s="17">
        <v>8</v>
      </c>
      <c r="E27" s="17">
        <v>26.4</v>
      </c>
    </row>
    <row r="28" spans="1:5" ht="15" x14ac:dyDescent="0.2">
      <c r="A28" s="235">
        <v>41612</v>
      </c>
      <c r="B28" s="236">
        <v>0.56966435185185182</v>
      </c>
      <c r="C28" s="17">
        <v>11.7</v>
      </c>
      <c r="D28" s="17">
        <v>8</v>
      </c>
      <c r="E28" s="17">
        <v>27.8</v>
      </c>
    </row>
    <row r="29" spans="1:5" ht="15" x14ac:dyDescent="0.2">
      <c r="A29" s="235">
        <v>41612</v>
      </c>
      <c r="B29" s="236">
        <v>0.5700115740740741</v>
      </c>
      <c r="C29" s="17">
        <v>11.8</v>
      </c>
      <c r="D29" s="17">
        <v>8</v>
      </c>
      <c r="E29" s="17">
        <v>28.1</v>
      </c>
    </row>
    <row r="30" spans="1:5" ht="15" x14ac:dyDescent="0.2">
      <c r="A30" s="235">
        <v>41612</v>
      </c>
      <c r="B30" s="236">
        <v>0.57035879629629627</v>
      </c>
      <c r="C30" s="17">
        <v>11.9</v>
      </c>
      <c r="D30" s="17">
        <v>7.9</v>
      </c>
      <c r="E30" s="17">
        <v>26.9</v>
      </c>
    </row>
    <row r="31" spans="1:5" ht="15" x14ac:dyDescent="0.2">
      <c r="A31" s="235">
        <v>41612</v>
      </c>
      <c r="B31" s="236">
        <v>0.57070601851851854</v>
      </c>
      <c r="C31" s="17">
        <v>12</v>
      </c>
      <c r="D31" s="17">
        <v>7.8</v>
      </c>
      <c r="E31" s="17">
        <v>25.4</v>
      </c>
    </row>
    <row r="32" spans="1:5" ht="15" x14ac:dyDescent="0.2">
      <c r="A32" s="235">
        <v>41612</v>
      </c>
      <c r="B32" s="236">
        <v>0.57105324074074071</v>
      </c>
      <c r="C32" s="17">
        <v>12</v>
      </c>
      <c r="D32" s="17">
        <v>7.8</v>
      </c>
      <c r="E32" s="17">
        <v>24.7</v>
      </c>
    </row>
    <row r="33" spans="1:5" ht="15" x14ac:dyDescent="0.2">
      <c r="A33" s="235">
        <v>41612</v>
      </c>
      <c r="B33" s="236">
        <v>0.57140046296296299</v>
      </c>
      <c r="C33" s="17">
        <v>12.1</v>
      </c>
      <c r="D33" s="17">
        <v>7.7</v>
      </c>
      <c r="E33" s="17">
        <v>24.7</v>
      </c>
    </row>
    <row r="34" spans="1:5" ht="15" x14ac:dyDescent="0.2">
      <c r="A34" s="235">
        <v>41612</v>
      </c>
      <c r="B34" s="236">
        <v>0.57174768518518515</v>
      </c>
      <c r="C34" s="17">
        <v>12.2</v>
      </c>
      <c r="D34" s="17">
        <v>7.6</v>
      </c>
      <c r="E34" s="17">
        <v>24.3</v>
      </c>
    </row>
    <row r="35" spans="1:5" ht="15" x14ac:dyDescent="0.2">
      <c r="A35" s="235">
        <v>41612</v>
      </c>
      <c r="B35" s="236">
        <v>0.57209490740740743</v>
      </c>
      <c r="C35" s="17">
        <v>12.4</v>
      </c>
      <c r="D35" s="17">
        <v>7.5</v>
      </c>
      <c r="E35" s="17">
        <v>23.4</v>
      </c>
    </row>
    <row r="36" spans="1:5" ht="15" x14ac:dyDescent="0.2">
      <c r="A36" s="235">
        <v>41612</v>
      </c>
      <c r="B36" s="236">
        <v>0.5724421296296297</v>
      </c>
      <c r="C36" s="17">
        <v>12.5</v>
      </c>
      <c r="D36" s="17">
        <v>7.5</v>
      </c>
      <c r="E36" s="17">
        <v>22.4</v>
      </c>
    </row>
    <row r="37" spans="1:5" ht="15" x14ac:dyDescent="0.2">
      <c r="A37" s="235">
        <v>41612</v>
      </c>
      <c r="B37" s="236">
        <v>0.57278935185185187</v>
      </c>
      <c r="C37" s="17">
        <v>12.6</v>
      </c>
      <c r="D37" s="17">
        <v>7.4</v>
      </c>
      <c r="E37" s="17">
        <v>22.2</v>
      </c>
    </row>
    <row r="38" spans="1:5" ht="15" x14ac:dyDescent="0.2">
      <c r="A38" s="235">
        <v>41612</v>
      </c>
      <c r="B38" s="236">
        <v>0.57313657407407403</v>
      </c>
      <c r="C38" s="17">
        <v>12.8</v>
      </c>
      <c r="D38" s="17">
        <v>7.2</v>
      </c>
      <c r="E38" s="17">
        <v>22.2</v>
      </c>
    </row>
    <row r="39" spans="1:5" ht="15" x14ac:dyDescent="0.2">
      <c r="A39" s="235">
        <v>41612</v>
      </c>
      <c r="B39" s="236">
        <v>0.57348379629629631</v>
      </c>
      <c r="C39" s="17">
        <v>13.3</v>
      </c>
      <c r="D39" s="17">
        <v>6.9</v>
      </c>
      <c r="E39" s="17">
        <v>21.7</v>
      </c>
    </row>
    <row r="40" spans="1:5" ht="15" x14ac:dyDescent="0.2">
      <c r="A40" s="235">
        <v>41612</v>
      </c>
      <c r="B40" s="236">
        <v>0.57383101851851859</v>
      </c>
      <c r="C40" s="17">
        <v>13.3</v>
      </c>
      <c r="D40" s="17">
        <v>6.8</v>
      </c>
      <c r="E40" s="17">
        <v>21.7</v>
      </c>
    </row>
    <row r="41" spans="1:5" ht="15" x14ac:dyDescent="0.2">
      <c r="A41" s="235">
        <v>41612</v>
      </c>
      <c r="B41" s="236">
        <v>0.57417824074074075</v>
      </c>
      <c r="C41" s="17">
        <v>13.3</v>
      </c>
      <c r="D41" s="17">
        <v>6.8</v>
      </c>
      <c r="E41" s="17">
        <v>21.6</v>
      </c>
    </row>
    <row r="42" spans="1:5" ht="15" x14ac:dyDescent="0.2">
      <c r="A42" s="235">
        <v>41612</v>
      </c>
      <c r="B42" s="236">
        <v>0.57452546296296292</v>
      </c>
      <c r="C42" s="17">
        <v>13.2</v>
      </c>
      <c r="D42" s="17">
        <v>6.8</v>
      </c>
      <c r="E42" s="17">
        <v>20.9</v>
      </c>
    </row>
    <row r="43" spans="1:5" ht="15" x14ac:dyDescent="0.2">
      <c r="A43" s="235">
        <v>41612</v>
      </c>
      <c r="B43" s="236">
        <v>0.57487268518518519</v>
      </c>
      <c r="C43" s="17">
        <v>13.1</v>
      </c>
      <c r="D43" s="17">
        <v>7</v>
      </c>
      <c r="E43" s="17">
        <v>20.2</v>
      </c>
    </row>
    <row r="44" spans="1:5" ht="15" x14ac:dyDescent="0.2">
      <c r="A44" s="235">
        <v>41612</v>
      </c>
      <c r="B44" s="236">
        <v>0.57521990740740747</v>
      </c>
      <c r="C44" s="17">
        <v>12.8</v>
      </c>
      <c r="D44" s="17">
        <v>7.2</v>
      </c>
      <c r="E44" s="17">
        <v>19.7</v>
      </c>
    </row>
    <row r="45" spans="1:5" ht="15" x14ac:dyDescent="0.2">
      <c r="A45" s="235">
        <v>41612</v>
      </c>
      <c r="B45" s="236">
        <v>0.57556712962962964</v>
      </c>
      <c r="C45" s="17">
        <v>12.6</v>
      </c>
      <c r="D45" s="17">
        <v>7.3</v>
      </c>
      <c r="E45" s="17">
        <v>20.3</v>
      </c>
    </row>
    <row r="46" spans="1:5" ht="15" x14ac:dyDescent="0.2">
      <c r="A46" s="235">
        <v>41612</v>
      </c>
      <c r="B46" s="236">
        <v>0.5759143518518518</v>
      </c>
      <c r="C46" s="17">
        <v>12.6</v>
      </c>
      <c r="D46" s="17">
        <v>7.3</v>
      </c>
      <c r="E46" s="17">
        <v>20.8</v>
      </c>
    </row>
    <row r="47" spans="1:5" ht="15" x14ac:dyDescent="0.2">
      <c r="A47" s="235">
        <v>41612</v>
      </c>
      <c r="B47" s="236">
        <v>0.57626157407407408</v>
      </c>
      <c r="C47" s="17">
        <v>12.6</v>
      </c>
      <c r="D47" s="17">
        <v>7.2</v>
      </c>
      <c r="E47" s="17">
        <v>20.7</v>
      </c>
    </row>
    <row r="48" spans="1:5" ht="15" x14ac:dyDescent="0.2">
      <c r="A48" s="235">
        <v>41612</v>
      </c>
      <c r="B48" s="236">
        <v>0.57660879629629636</v>
      </c>
      <c r="C48" s="17">
        <v>12.4</v>
      </c>
      <c r="D48" s="17">
        <v>7.3</v>
      </c>
      <c r="E48" s="17">
        <v>20.3</v>
      </c>
    </row>
    <row r="49" spans="1:5" ht="15" x14ac:dyDescent="0.2">
      <c r="A49" s="235">
        <v>41612</v>
      </c>
      <c r="B49" s="236">
        <v>0.57695601851851852</v>
      </c>
      <c r="C49" s="17">
        <v>12.2</v>
      </c>
      <c r="D49" s="17">
        <v>7.4</v>
      </c>
      <c r="E49" s="17">
        <v>20.7</v>
      </c>
    </row>
    <row r="50" spans="1:5" ht="15" x14ac:dyDescent="0.2">
      <c r="A50" s="235">
        <v>41612</v>
      </c>
      <c r="B50" s="236">
        <v>0.57730324074074069</v>
      </c>
      <c r="C50" s="17">
        <v>12.1</v>
      </c>
      <c r="D50" s="17">
        <v>7.5</v>
      </c>
      <c r="E50" s="17">
        <v>22.5</v>
      </c>
    </row>
    <row r="51" spans="1:5" ht="15" x14ac:dyDescent="0.2">
      <c r="A51" s="235">
        <v>41612</v>
      </c>
      <c r="B51" s="236">
        <v>0.57765046296296296</v>
      </c>
      <c r="C51" s="17">
        <v>12.1</v>
      </c>
      <c r="D51" s="17">
        <v>7.5</v>
      </c>
      <c r="E51" s="17">
        <v>23.2</v>
      </c>
    </row>
    <row r="52" spans="1:5" ht="15" x14ac:dyDescent="0.2">
      <c r="A52" s="235">
        <v>41612</v>
      </c>
      <c r="B52" s="236">
        <v>0.57799768518518524</v>
      </c>
      <c r="C52" s="17">
        <v>12</v>
      </c>
      <c r="D52" s="17">
        <v>7.6</v>
      </c>
      <c r="E52" s="17">
        <v>23.2</v>
      </c>
    </row>
    <row r="53" spans="1:5" ht="15" x14ac:dyDescent="0.2">
      <c r="A53" s="235">
        <v>41612</v>
      </c>
      <c r="B53" s="236">
        <v>0.5783449074074074</v>
      </c>
      <c r="C53" s="17">
        <v>12</v>
      </c>
      <c r="D53" s="17">
        <v>7.6</v>
      </c>
      <c r="E53" s="17">
        <v>24.1</v>
      </c>
    </row>
    <row r="54" spans="1:5" ht="15" x14ac:dyDescent="0.2">
      <c r="A54" s="235">
        <v>41612</v>
      </c>
      <c r="B54" s="236">
        <v>0.57869212962962957</v>
      </c>
      <c r="C54" s="17">
        <v>12.1</v>
      </c>
      <c r="D54" s="17">
        <v>7.5</v>
      </c>
      <c r="E54" s="17">
        <v>25</v>
      </c>
    </row>
    <row r="55" spans="1:5" ht="15" x14ac:dyDescent="0.2">
      <c r="A55" s="235">
        <v>41612</v>
      </c>
      <c r="B55" s="236">
        <v>0.57903935185185185</v>
      </c>
      <c r="C55" s="17">
        <v>12.1</v>
      </c>
      <c r="D55" s="17">
        <v>7.6</v>
      </c>
      <c r="E55" s="17">
        <v>25.3</v>
      </c>
    </row>
    <row r="56" spans="1:5" ht="15" x14ac:dyDescent="0.2">
      <c r="A56" s="235">
        <v>41612</v>
      </c>
      <c r="B56" s="236">
        <v>0.57938657407407412</v>
      </c>
      <c r="C56" s="17">
        <v>11.9</v>
      </c>
      <c r="D56" s="17">
        <v>7.7</v>
      </c>
      <c r="E56" s="17">
        <v>25.8</v>
      </c>
    </row>
    <row r="57" spans="1:5" ht="15" x14ac:dyDescent="0.2">
      <c r="A57" s="235">
        <v>41612</v>
      </c>
      <c r="B57" s="236">
        <v>0.57973379629629629</v>
      </c>
      <c r="C57" s="17">
        <v>12</v>
      </c>
      <c r="D57" s="17">
        <v>7.6</v>
      </c>
      <c r="E57" s="17">
        <v>26.5</v>
      </c>
    </row>
    <row r="58" spans="1:5" ht="15" x14ac:dyDescent="0.2">
      <c r="A58" s="235">
        <v>41612</v>
      </c>
      <c r="B58" s="236">
        <v>0.58008101851851845</v>
      </c>
      <c r="C58" s="17">
        <v>12</v>
      </c>
      <c r="D58" s="17">
        <v>7.6</v>
      </c>
      <c r="E58" s="17">
        <v>25.7</v>
      </c>
    </row>
    <row r="59" spans="1:5" ht="15" x14ac:dyDescent="0.2">
      <c r="A59" s="235">
        <v>41612</v>
      </c>
      <c r="B59" s="236">
        <v>0.58042824074074073</v>
      </c>
      <c r="C59" s="17">
        <v>11.9</v>
      </c>
      <c r="D59" s="17">
        <v>7.7</v>
      </c>
      <c r="E59" s="17">
        <v>25</v>
      </c>
    </row>
    <row r="60" spans="1:5" ht="15" x14ac:dyDescent="0.2">
      <c r="A60" s="235">
        <v>41612</v>
      </c>
      <c r="B60" s="236">
        <v>0.58077546296296301</v>
      </c>
      <c r="C60" s="17">
        <v>11.9</v>
      </c>
      <c r="D60" s="17">
        <v>7.7</v>
      </c>
      <c r="E60" s="17">
        <v>24.5</v>
      </c>
    </row>
    <row r="61" spans="1:5" ht="15" x14ac:dyDescent="0.2">
      <c r="A61" s="235">
        <v>41612</v>
      </c>
      <c r="B61" s="236">
        <v>0.58112268518518517</v>
      </c>
      <c r="C61" s="17">
        <v>12</v>
      </c>
      <c r="D61" s="17">
        <v>7.7</v>
      </c>
      <c r="E61" s="17">
        <v>24.2</v>
      </c>
    </row>
    <row r="62" spans="1:5" ht="15" x14ac:dyDescent="0.2">
      <c r="A62" s="235">
        <v>41612</v>
      </c>
      <c r="B62" s="236">
        <v>0.58146990740740734</v>
      </c>
      <c r="C62" s="17">
        <v>12.2</v>
      </c>
      <c r="D62" s="17">
        <v>7.5</v>
      </c>
      <c r="E62" s="17">
        <v>23.4</v>
      </c>
    </row>
    <row r="63" spans="1:5" ht="15" x14ac:dyDescent="0.2">
      <c r="A63" s="235">
        <v>41612</v>
      </c>
      <c r="B63" s="236">
        <v>0.58181712962962961</v>
      </c>
      <c r="C63" s="17">
        <v>12.3</v>
      </c>
      <c r="D63" s="17">
        <v>7.4</v>
      </c>
      <c r="E63" s="17">
        <v>22.3</v>
      </c>
    </row>
    <row r="64" spans="1:5" ht="15" x14ac:dyDescent="0.2">
      <c r="A64" s="235">
        <v>41612</v>
      </c>
      <c r="B64" s="236">
        <v>0.58216435185185189</v>
      </c>
      <c r="C64" s="17">
        <v>12.3</v>
      </c>
      <c r="D64" s="17">
        <v>7.4</v>
      </c>
      <c r="E64" s="17">
        <v>21.4</v>
      </c>
    </row>
    <row r="65" spans="1:5" ht="15" x14ac:dyDescent="0.2">
      <c r="A65" s="235">
        <v>41612</v>
      </c>
      <c r="B65" s="236">
        <v>0.58251157407407406</v>
      </c>
      <c r="C65" s="17">
        <v>12.3</v>
      </c>
      <c r="D65" s="17">
        <v>7.4</v>
      </c>
      <c r="E65" s="17">
        <v>21.3</v>
      </c>
    </row>
    <row r="66" spans="1:5" ht="15" x14ac:dyDescent="0.2">
      <c r="A66" s="235">
        <v>41612</v>
      </c>
      <c r="B66" s="236">
        <v>0.58285879629629633</v>
      </c>
      <c r="C66" s="17">
        <v>12.4</v>
      </c>
      <c r="D66" s="17">
        <v>7.3</v>
      </c>
      <c r="E66" s="17">
        <v>21.7</v>
      </c>
    </row>
    <row r="67" spans="1:5" ht="15" x14ac:dyDescent="0.2">
      <c r="A67" s="235">
        <v>41612</v>
      </c>
      <c r="B67" s="236">
        <v>0.5832060185185185</v>
      </c>
      <c r="C67" s="17">
        <v>12.4</v>
      </c>
      <c r="D67" s="17">
        <v>7.3</v>
      </c>
      <c r="E67" s="17">
        <v>21.4</v>
      </c>
    </row>
    <row r="68" spans="1:5" ht="15" x14ac:dyDescent="0.2">
      <c r="A68" s="235">
        <v>41612</v>
      </c>
      <c r="B68" s="236">
        <v>0.58355324074074078</v>
      </c>
      <c r="C68" s="17">
        <v>12.5</v>
      </c>
      <c r="D68" s="17">
        <v>7.3</v>
      </c>
      <c r="E68" s="17">
        <v>21.2</v>
      </c>
    </row>
    <row r="69" spans="1:5" ht="15" x14ac:dyDescent="0.2">
      <c r="A69" s="235">
        <v>41612</v>
      </c>
      <c r="B69" s="236">
        <v>0.58390046296296294</v>
      </c>
      <c r="C69" s="17">
        <v>12.3</v>
      </c>
      <c r="D69" s="17">
        <v>7.4</v>
      </c>
      <c r="E69" s="17">
        <v>21.6</v>
      </c>
    </row>
    <row r="70" spans="1:5" ht="15" x14ac:dyDescent="0.2">
      <c r="A70" s="235">
        <v>41612</v>
      </c>
      <c r="B70" s="236">
        <v>0.58424768518518522</v>
      </c>
      <c r="C70" s="17">
        <v>12.2</v>
      </c>
      <c r="D70" s="17">
        <v>7.5</v>
      </c>
      <c r="E70" s="17">
        <v>22.6</v>
      </c>
    </row>
    <row r="71" spans="1:5" ht="15" x14ac:dyDescent="0.2">
      <c r="A71" s="235">
        <v>41612</v>
      </c>
      <c r="B71" s="236">
        <v>0.58459490740740738</v>
      </c>
      <c r="C71" s="17">
        <v>12.2</v>
      </c>
      <c r="D71" s="17">
        <v>7.5</v>
      </c>
      <c r="E71" s="17">
        <v>23.8</v>
      </c>
    </row>
    <row r="72" spans="1:5" ht="15" x14ac:dyDescent="0.2">
      <c r="A72" s="235">
        <v>41612</v>
      </c>
      <c r="B72" s="236">
        <v>0.58494212962962966</v>
      </c>
      <c r="C72" s="17">
        <v>12</v>
      </c>
      <c r="D72" s="17">
        <v>7.6</v>
      </c>
      <c r="E72" s="17">
        <v>24.8</v>
      </c>
    </row>
    <row r="73" spans="1:5" ht="15" x14ac:dyDescent="0.2">
      <c r="A73" s="235">
        <v>41612</v>
      </c>
      <c r="B73" s="236">
        <v>0.58528935185185182</v>
      </c>
      <c r="C73" s="17">
        <v>12.1</v>
      </c>
      <c r="D73" s="17">
        <v>7.6</v>
      </c>
      <c r="E73" s="17">
        <v>25.2</v>
      </c>
    </row>
    <row r="74" spans="1:5" ht="15" x14ac:dyDescent="0.2">
      <c r="A74" s="235">
        <v>41612</v>
      </c>
      <c r="B74" s="236">
        <v>0.5856365740740741</v>
      </c>
      <c r="C74" s="17">
        <v>12.2</v>
      </c>
      <c r="D74" s="17">
        <v>7.5</v>
      </c>
      <c r="E74" s="17">
        <v>25.2</v>
      </c>
    </row>
    <row r="75" spans="1:5" ht="15" x14ac:dyDescent="0.2">
      <c r="A75" s="235">
        <v>41612</v>
      </c>
      <c r="B75" s="236">
        <v>0.58598379629629627</v>
      </c>
      <c r="C75" s="17">
        <v>12.3</v>
      </c>
      <c r="D75" s="17">
        <v>7.4</v>
      </c>
      <c r="E75" s="17">
        <v>24.7</v>
      </c>
    </row>
    <row r="76" spans="1:5" ht="15" x14ac:dyDescent="0.2">
      <c r="A76" s="235">
        <v>41612</v>
      </c>
      <c r="B76" s="236">
        <v>0.58633101851851854</v>
      </c>
      <c r="C76" s="17">
        <v>12.4</v>
      </c>
      <c r="D76" s="17">
        <v>7.3</v>
      </c>
      <c r="E76" s="17">
        <v>23.3</v>
      </c>
    </row>
    <row r="77" spans="1:5" ht="15" x14ac:dyDescent="0.2">
      <c r="A77" s="235">
        <v>41612</v>
      </c>
      <c r="B77" s="236">
        <v>0.58667824074074071</v>
      </c>
      <c r="C77" s="17">
        <v>12.6</v>
      </c>
      <c r="D77" s="17">
        <v>7.2</v>
      </c>
      <c r="E77" s="17">
        <v>22.1</v>
      </c>
    </row>
    <row r="78" spans="1:5" ht="15" x14ac:dyDescent="0.2">
      <c r="A78" s="235">
        <v>41612</v>
      </c>
      <c r="B78" s="236">
        <v>0.58702546296296299</v>
      </c>
      <c r="C78" s="17">
        <v>12.8</v>
      </c>
      <c r="D78" s="17">
        <v>7.1</v>
      </c>
      <c r="E78" s="17">
        <v>21.4</v>
      </c>
    </row>
    <row r="79" spans="1:5" ht="15" x14ac:dyDescent="0.2">
      <c r="A79" s="235">
        <v>41612</v>
      </c>
      <c r="B79" s="236">
        <v>0.58737268518518515</v>
      </c>
      <c r="C79" s="17">
        <v>12.8</v>
      </c>
      <c r="D79" s="17">
        <v>7.1</v>
      </c>
      <c r="E79" s="17">
        <v>20.9</v>
      </c>
    </row>
    <row r="80" spans="1:5" ht="15" x14ac:dyDescent="0.2">
      <c r="A80" s="235">
        <v>41612</v>
      </c>
      <c r="B80" s="236">
        <v>0.58771990740740743</v>
      </c>
      <c r="C80" s="17">
        <v>13</v>
      </c>
      <c r="D80" s="17">
        <v>7</v>
      </c>
      <c r="E80" s="17">
        <v>20.7</v>
      </c>
    </row>
    <row r="81" spans="1:5" ht="15" x14ac:dyDescent="0.2">
      <c r="A81" s="235">
        <v>41612</v>
      </c>
      <c r="B81" s="236">
        <v>0.5880671296296297</v>
      </c>
      <c r="C81" s="17">
        <v>12.7</v>
      </c>
      <c r="D81" s="17">
        <v>7.1</v>
      </c>
      <c r="E81" s="17">
        <v>21</v>
      </c>
    </row>
    <row r="82" spans="1:5" ht="15" x14ac:dyDescent="0.2">
      <c r="A82" s="235">
        <v>41612</v>
      </c>
      <c r="B82" s="236">
        <v>0.58841435185185187</v>
      </c>
      <c r="C82" s="17">
        <v>12.7</v>
      </c>
      <c r="D82" s="17">
        <v>7.2</v>
      </c>
      <c r="E82" s="17">
        <v>21.8</v>
      </c>
    </row>
    <row r="83" spans="1:5" ht="15" x14ac:dyDescent="0.2">
      <c r="A83" s="235">
        <v>41612</v>
      </c>
      <c r="B83" s="236">
        <v>0.58876157407407403</v>
      </c>
      <c r="C83" s="17">
        <v>12.7</v>
      </c>
      <c r="D83" s="17">
        <v>7.2</v>
      </c>
      <c r="E83" s="17">
        <v>23</v>
      </c>
    </row>
    <row r="84" spans="1:5" ht="15" x14ac:dyDescent="0.2">
      <c r="A84" s="235">
        <v>41612</v>
      </c>
      <c r="B84" s="236">
        <v>0.58910879629629631</v>
      </c>
      <c r="C84" s="17">
        <v>12.6</v>
      </c>
      <c r="D84" s="17">
        <v>7.2</v>
      </c>
      <c r="E84" s="17">
        <v>23.5</v>
      </c>
    </row>
    <row r="85" spans="1:5" ht="15" x14ac:dyDescent="0.2">
      <c r="A85" s="235">
        <v>41612</v>
      </c>
      <c r="B85" s="236">
        <v>0.58945601851851859</v>
      </c>
      <c r="C85" s="17">
        <v>12.6</v>
      </c>
      <c r="D85" s="17">
        <v>7.2</v>
      </c>
      <c r="E85" s="17">
        <v>24</v>
      </c>
    </row>
    <row r="86" spans="1:5" ht="15" x14ac:dyDescent="0.2">
      <c r="A86" s="235">
        <v>41612</v>
      </c>
      <c r="B86" s="236">
        <v>0.58980324074074075</v>
      </c>
      <c r="C86" s="17">
        <v>12.5</v>
      </c>
      <c r="D86" s="17">
        <v>7.3</v>
      </c>
      <c r="E86" s="17">
        <v>25.1</v>
      </c>
    </row>
    <row r="87" spans="1:5" ht="15" x14ac:dyDescent="0.2">
      <c r="A87" s="235">
        <v>41612</v>
      </c>
      <c r="B87" s="236">
        <v>0.59015046296296292</v>
      </c>
      <c r="C87" s="17">
        <v>12.3</v>
      </c>
      <c r="D87" s="17">
        <v>7.4</v>
      </c>
      <c r="E87" s="17">
        <v>27.1</v>
      </c>
    </row>
    <row r="88" spans="1:5" ht="15" x14ac:dyDescent="0.2">
      <c r="A88" s="235">
        <v>41612</v>
      </c>
      <c r="B88" s="236">
        <v>0.59049768518518519</v>
      </c>
      <c r="C88" s="17">
        <v>12.1</v>
      </c>
      <c r="D88" s="17">
        <v>7.5</v>
      </c>
      <c r="E88" s="17">
        <v>29.3</v>
      </c>
    </row>
    <row r="89" spans="1:5" ht="15" x14ac:dyDescent="0.2">
      <c r="A89" s="235">
        <v>41612</v>
      </c>
      <c r="B89" s="236">
        <v>0.59084490740740747</v>
      </c>
      <c r="C89" s="17">
        <v>12.1</v>
      </c>
      <c r="D89" s="17">
        <v>7.6</v>
      </c>
      <c r="E89" s="17">
        <v>30.5</v>
      </c>
    </row>
    <row r="90" spans="1:5" ht="15" x14ac:dyDescent="0.2">
      <c r="A90" s="235">
        <v>41612</v>
      </c>
      <c r="B90" s="236">
        <v>0.59119212962962964</v>
      </c>
      <c r="C90" s="17">
        <v>12</v>
      </c>
      <c r="D90" s="17">
        <v>7.7</v>
      </c>
      <c r="E90" s="17">
        <v>30.7</v>
      </c>
    </row>
    <row r="91" spans="1:5" ht="15" x14ac:dyDescent="0.2">
      <c r="A91" s="235">
        <v>41612</v>
      </c>
      <c r="B91" s="236">
        <v>0.5915393518518518</v>
      </c>
      <c r="C91" s="17">
        <v>11.9</v>
      </c>
      <c r="D91" s="17">
        <v>7.8</v>
      </c>
      <c r="E91" s="17">
        <v>30.8</v>
      </c>
    </row>
    <row r="92" spans="1:5" ht="15" x14ac:dyDescent="0.2">
      <c r="A92" s="235">
        <v>41612</v>
      </c>
      <c r="B92" s="236">
        <v>0.59188657407407408</v>
      </c>
      <c r="C92" s="17">
        <v>11.9</v>
      </c>
      <c r="D92" s="17">
        <v>7.8</v>
      </c>
      <c r="E92" s="17">
        <v>31.8</v>
      </c>
    </row>
    <row r="93" spans="1:5" ht="15" x14ac:dyDescent="0.2">
      <c r="A93" s="235">
        <v>41612</v>
      </c>
      <c r="B93" s="236">
        <v>0.59223379629629636</v>
      </c>
      <c r="C93" s="17">
        <v>11.9</v>
      </c>
      <c r="D93" s="17">
        <v>7.8</v>
      </c>
      <c r="E93" s="17">
        <v>32.1</v>
      </c>
    </row>
    <row r="94" spans="1:5" ht="15" x14ac:dyDescent="0.2">
      <c r="A94" s="235">
        <v>41612</v>
      </c>
      <c r="B94" s="236">
        <v>0.59258101851851852</v>
      </c>
      <c r="C94" s="17">
        <v>12</v>
      </c>
      <c r="D94" s="17">
        <v>7.7</v>
      </c>
      <c r="E94" s="17">
        <v>30.3</v>
      </c>
    </row>
    <row r="95" spans="1:5" ht="15" x14ac:dyDescent="0.2">
      <c r="A95" s="235">
        <v>41612</v>
      </c>
      <c r="B95" s="236">
        <v>0.59292824074074069</v>
      </c>
      <c r="C95" s="17">
        <v>12.1</v>
      </c>
      <c r="D95" s="17">
        <v>7.6</v>
      </c>
      <c r="E95" s="17">
        <v>28.1</v>
      </c>
    </row>
    <row r="96" spans="1:5" ht="15" x14ac:dyDescent="0.2">
      <c r="A96" s="235">
        <v>41612</v>
      </c>
      <c r="B96" s="236">
        <v>0.59327546296296296</v>
      </c>
      <c r="C96" s="17">
        <v>12.2</v>
      </c>
      <c r="D96" s="17">
        <v>7.5</v>
      </c>
      <c r="E96" s="17">
        <v>26.5</v>
      </c>
    </row>
    <row r="97" spans="1:5" ht="15" x14ac:dyDescent="0.2">
      <c r="A97" s="235">
        <v>41612</v>
      </c>
      <c r="B97" s="236">
        <v>0.59362268518518524</v>
      </c>
      <c r="C97" s="17">
        <v>12.4</v>
      </c>
      <c r="D97" s="17">
        <v>7.4</v>
      </c>
      <c r="E97" s="17">
        <v>25.5</v>
      </c>
    </row>
    <row r="98" spans="1:5" ht="15" x14ac:dyDescent="0.2">
      <c r="A98" s="235">
        <v>41612</v>
      </c>
      <c r="B98" s="236">
        <v>0.5939699074074074</v>
      </c>
      <c r="C98" s="17">
        <v>12.6</v>
      </c>
      <c r="D98" s="17">
        <v>7.2</v>
      </c>
      <c r="E98" s="17">
        <v>24.4</v>
      </c>
    </row>
    <row r="99" spans="1:5" ht="15" x14ac:dyDescent="0.2">
      <c r="A99" s="235">
        <v>41612</v>
      </c>
      <c r="B99" s="236">
        <v>0.59431712962962957</v>
      </c>
      <c r="C99" s="17">
        <v>12.7</v>
      </c>
      <c r="D99" s="17">
        <v>7.1</v>
      </c>
      <c r="E99" s="17">
        <v>23.6</v>
      </c>
    </row>
    <row r="100" spans="1:5" ht="15" x14ac:dyDescent="0.2">
      <c r="A100" s="235">
        <v>41612</v>
      </c>
      <c r="B100" s="236">
        <v>0.59466435185185185</v>
      </c>
      <c r="C100" s="17">
        <v>12.8</v>
      </c>
      <c r="D100" s="17">
        <v>7</v>
      </c>
      <c r="E100" s="17">
        <v>23.8</v>
      </c>
    </row>
    <row r="101" spans="1:5" ht="15" x14ac:dyDescent="0.2">
      <c r="A101" s="235">
        <v>41612</v>
      </c>
      <c r="B101" s="236">
        <v>0.59501157407407412</v>
      </c>
      <c r="C101" s="17">
        <v>12.9</v>
      </c>
      <c r="D101" s="17">
        <v>7</v>
      </c>
      <c r="E101" s="17">
        <v>24.3</v>
      </c>
    </row>
    <row r="102" spans="1:5" ht="15" x14ac:dyDescent="0.2">
      <c r="A102" s="235">
        <v>41612</v>
      </c>
      <c r="B102" s="236">
        <v>0.59535879629629629</v>
      </c>
      <c r="C102" s="17">
        <v>12.7</v>
      </c>
      <c r="D102" s="17">
        <v>7.1</v>
      </c>
      <c r="E102" s="17">
        <v>24.4</v>
      </c>
    </row>
    <row r="103" spans="1:5" ht="15" x14ac:dyDescent="0.2">
      <c r="A103" s="235">
        <v>41612</v>
      </c>
      <c r="B103" s="236">
        <v>0.59570601851851845</v>
      </c>
      <c r="C103" s="17">
        <v>12.5</v>
      </c>
      <c r="D103" s="17">
        <v>7.2</v>
      </c>
      <c r="E103" s="17">
        <v>24.7</v>
      </c>
    </row>
    <row r="104" spans="1:5" ht="15" x14ac:dyDescent="0.2">
      <c r="A104" s="235">
        <v>41612</v>
      </c>
      <c r="B104" s="236">
        <v>0.59605324074074073</v>
      </c>
      <c r="C104" s="17">
        <v>12.5</v>
      </c>
      <c r="D104" s="17">
        <v>7.3</v>
      </c>
      <c r="E104" s="17">
        <v>26.2</v>
      </c>
    </row>
    <row r="105" spans="1:5" ht="15" x14ac:dyDescent="0.2">
      <c r="A105" s="235">
        <v>41612</v>
      </c>
      <c r="B105" s="236">
        <v>0.59640046296296301</v>
      </c>
      <c r="C105" s="17">
        <v>12.3</v>
      </c>
      <c r="D105" s="17">
        <v>7.4</v>
      </c>
      <c r="E105" s="17">
        <v>27.6</v>
      </c>
    </row>
    <row r="106" spans="1:5" ht="15" x14ac:dyDescent="0.2">
      <c r="A106" s="235">
        <v>41612</v>
      </c>
      <c r="B106" s="236">
        <v>0.59674768518518517</v>
      </c>
      <c r="C106" s="17">
        <v>12.2</v>
      </c>
      <c r="D106" s="17">
        <v>7.5</v>
      </c>
      <c r="E106" s="17">
        <v>29.1</v>
      </c>
    </row>
    <row r="107" spans="1:5" ht="15" x14ac:dyDescent="0.2">
      <c r="A107" s="235">
        <v>41612</v>
      </c>
      <c r="B107" s="236">
        <v>0.59709490740740734</v>
      </c>
      <c r="C107" s="17">
        <v>12</v>
      </c>
      <c r="D107" s="17">
        <v>7.7</v>
      </c>
      <c r="E107" s="17">
        <v>30.6</v>
      </c>
    </row>
    <row r="108" spans="1:5" ht="15" x14ac:dyDescent="0.2">
      <c r="A108" s="235">
        <v>41612</v>
      </c>
      <c r="B108" s="236">
        <v>0.59744212962962961</v>
      </c>
      <c r="C108" s="17">
        <v>12</v>
      </c>
      <c r="D108" s="17">
        <v>7.7</v>
      </c>
      <c r="E108" s="17">
        <v>31.2</v>
      </c>
    </row>
    <row r="109" spans="1:5" ht="15" x14ac:dyDescent="0.2">
      <c r="A109" s="235">
        <v>41612</v>
      </c>
      <c r="B109" s="236">
        <v>0.59778935185185189</v>
      </c>
      <c r="C109" s="17">
        <v>12.1</v>
      </c>
      <c r="D109" s="17">
        <v>7.6</v>
      </c>
      <c r="E109" s="17">
        <v>29.3</v>
      </c>
    </row>
    <row r="110" spans="1:5" ht="15" x14ac:dyDescent="0.2">
      <c r="A110" s="235">
        <v>41612</v>
      </c>
      <c r="B110" s="236">
        <v>0.59813657407407406</v>
      </c>
      <c r="C110" s="17">
        <v>12.1</v>
      </c>
      <c r="D110" s="17">
        <v>7.6</v>
      </c>
      <c r="E110" s="17">
        <v>26.4</v>
      </c>
    </row>
    <row r="111" spans="1:5" ht="15" x14ac:dyDescent="0.2">
      <c r="A111" s="235">
        <v>41612</v>
      </c>
      <c r="B111" s="236">
        <v>0.59848379629629633</v>
      </c>
      <c r="C111" s="17">
        <v>12.1</v>
      </c>
      <c r="D111" s="17">
        <v>7.6</v>
      </c>
      <c r="E111" s="17">
        <v>25.8</v>
      </c>
    </row>
    <row r="112" spans="1:5" ht="15" x14ac:dyDescent="0.2">
      <c r="A112" s="235">
        <v>41612</v>
      </c>
      <c r="B112" s="236">
        <v>0.5988310185185185</v>
      </c>
      <c r="C112" s="17">
        <v>12</v>
      </c>
      <c r="D112" s="17">
        <v>7.7</v>
      </c>
      <c r="E112" s="17">
        <v>26.6</v>
      </c>
    </row>
    <row r="113" spans="1:5" ht="15" x14ac:dyDescent="0.2">
      <c r="A113" s="235">
        <v>41612</v>
      </c>
      <c r="B113" s="236">
        <v>0.59917824074074078</v>
      </c>
      <c r="C113" s="17">
        <v>12</v>
      </c>
      <c r="D113" s="17">
        <v>7.7</v>
      </c>
      <c r="E113" s="17">
        <v>27.6</v>
      </c>
    </row>
    <row r="114" spans="1:5" ht="15" x14ac:dyDescent="0.2">
      <c r="A114" s="235">
        <v>41612</v>
      </c>
      <c r="B114" s="236">
        <v>0.59952546296296294</v>
      </c>
      <c r="C114" s="17">
        <v>12</v>
      </c>
      <c r="D114" s="17">
        <v>7.7</v>
      </c>
      <c r="E114" s="17">
        <v>28.9</v>
      </c>
    </row>
    <row r="115" spans="1:5" ht="15" x14ac:dyDescent="0.2">
      <c r="A115" s="235">
        <v>41612</v>
      </c>
      <c r="B115" s="236">
        <v>0.59987268518518522</v>
      </c>
      <c r="C115" s="17">
        <v>12.1</v>
      </c>
      <c r="D115" s="17">
        <v>7.7</v>
      </c>
      <c r="E115" s="17">
        <v>29</v>
      </c>
    </row>
    <row r="116" spans="1:5" ht="15" x14ac:dyDescent="0.2">
      <c r="A116" s="235">
        <v>41612</v>
      </c>
      <c r="B116" s="236">
        <v>0.60021990740740738</v>
      </c>
      <c r="C116" s="17">
        <v>12</v>
      </c>
      <c r="D116" s="17">
        <v>7.7</v>
      </c>
      <c r="E116" s="17">
        <v>28.4</v>
      </c>
    </row>
    <row r="117" spans="1:5" ht="15" x14ac:dyDescent="0.2">
      <c r="A117" s="235">
        <v>41612</v>
      </c>
      <c r="B117" s="236">
        <v>0.60056712962962966</v>
      </c>
      <c r="C117" s="17">
        <v>12.1</v>
      </c>
      <c r="D117" s="17">
        <v>7.6</v>
      </c>
      <c r="E117" s="17">
        <v>27.7</v>
      </c>
    </row>
    <row r="118" spans="1:5" ht="15" x14ac:dyDescent="0.2">
      <c r="A118" s="235">
        <v>41612</v>
      </c>
      <c r="B118" s="236">
        <v>0.60091435185185182</v>
      </c>
      <c r="C118" s="17">
        <v>12.2</v>
      </c>
      <c r="D118" s="17">
        <v>7.6</v>
      </c>
      <c r="E118" s="17">
        <v>27</v>
      </c>
    </row>
    <row r="119" spans="1:5" ht="15" x14ac:dyDescent="0.2">
      <c r="A119" s="235">
        <v>41612</v>
      </c>
      <c r="B119" s="236">
        <v>0.6012615740740741</v>
      </c>
      <c r="C119" s="17">
        <v>12.2</v>
      </c>
      <c r="D119" s="17">
        <v>7.5</v>
      </c>
      <c r="E119" s="17">
        <v>25.7</v>
      </c>
    </row>
    <row r="120" spans="1:5" ht="15" x14ac:dyDescent="0.2">
      <c r="A120" s="235">
        <v>41612</v>
      </c>
      <c r="B120" s="236">
        <v>0.60160879629629627</v>
      </c>
      <c r="C120" s="17">
        <v>12.3</v>
      </c>
      <c r="D120" s="17">
        <v>7.5</v>
      </c>
      <c r="E120" s="17">
        <v>24.9</v>
      </c>
    </row>
    <row r="121" spans="1:5" ht="15" x14ac:dyDescent="0.2">
      <c r="A121" s="235">
        <v>41612</v>
      </c>
      <c r="B121" s="236">
        <v>0.60195601851851854</v>
      </c>
      <c r="C121" s="17">
        <v>12.2</v>
      </c>
      <c r="D121" s="17">
        <v>7.6</v>
      </c>
      <c r="E121" s="17">
        <v>24.7</v>
      </c>
    </row>
    <row r="122" spans="1:5" ht="15" x14ac:dyDescent="0.2">
      <c r="A122" s="235">
        <v>41612</v>
      </c>
      <c r="B122" s="236">
        <v>0.60230324074074071</v>
      </c>
      <c r="C122" s="17">
        <v>12.1</v>
      </c>
      <c r="D122" s="17">
        <v>7.6</v>
      </c>
      <c r="E122" s="17">
        <v>25.9</v>
      </c>
    </row>
    <row r="123" spans="1:5" ht="15" x14ac:dyDescent="0.2">
      <c r="A123" s="235">
        <v>41612</v>
      </c>
      <c r="B123" s="236">
        <v>0.60265046296296299</v>
      </c>
      <c r="C123" s="17">
        <v>12.1</v>
      </c>
      <c r="D123" s="17">
        <v>7.7</v>
      </c>
      <c r="E123" s="17">
        <v>27.3</v>
      </c>
    </row>
    <row r="124" spans="1:5" ht="15" x14ac:dyDescent="0.2">
      <c r="A124" s="235">
        <v>41612</v>
      </c>
      <c r="B124" s="236">
        <v>0.60299768518518515</v>
      </c>
      <c r="C124" s="17">
        <v>12.1</v>
      </c>
      <c r="D124" s="17">
        <v>7.6</v>
      </c>
      <c r="E124" s="17">
        <v>27.5</v>
      </c>
    </row>
    <row r="125" spans="1:5" ht="15" x14ac:dyDescent="0.2">
      <c r="A125" s="235">
        <v>41612</v>
      </c>
      <c r="B125" s="236">
        <v>0.60334490740740743</v>
      </c>
      <c r="C125" s="17">
        <v>12.3</v>
      </c>
      <c r="D125" s="17">
        <v>7.5</v>
      </c>
      <c r="E125" s="17">
        <v>26.7</v>
      </c>
    </row>
    <row r="126" spans="1:5" ht="15" x14ac:dyDescent="0.2">
      <c r="A126" s="235">
        <v>41612</v>
      </c>
      <c r="B126" s="236">
        <v>0.6036921296296297</v>
      </c>
      <c r="C126" s="17">
        <v>12.5</v>
      </c>
      <c r="D126" s="17">
        <v>7.3</v>
      </c>
      <c r="E126" s="17">
        <v>25.2</v>
      </c>
    </row>
    <row r="127" spans="1:5" ht="15" x14ac:dyDescent="0.2">
      <c r="A127" s="235">
        <v>41612</v>
      </c>
      <c r="B127" s="236">
        <v>0.60403935185185187</v>
      </c>
      <c r="C127" s="17">
        <v>12.7</v>
      </c>
      <c r="D127" s="17">
        <v>7.2</v>
      </c>
      <c r="E127" s="17">
        <v>23.7</v>
      </c>
    </row>
    <row r="128" spans="1:5" x14ac:dyDescent="0.2">
      <c r="A128" s="212"/>
      <c r="B128" s="213"/>
    </row>
    <row r="129" spans="1:5" x14ac:dyDescent="0.2">
      <c r="A129" s="442" t="s">
        <v>36</v>
      </c>
      <c r="B129" s="442"/>
      <c r="C129" s="1">
        <f>AVERAGE(C8:C127)</f>
        <v>12.369166666666667</v>
      </c>
      <c r="D129" s="1">
        <f>AVERAGE(D8:D127)</f>
        <v>7.4291666666666742</v>
      </c>
      <c r="E129" s="1">
        <f>AVERAGE(E8:E127)</f>
        <v>24.458333333333329</v>
      </c>
    </row>
  </sheetData>
  <mergeCells count="1">
    <mergeCell ref="A129:B129"/>
  </mergeCells>
  <phoneticPr fontId="0" type="noConversion"/>
  <pageMargins left="0.95" right="0.7" top="0.75" bottom="0.75" header="0.3" footer="0.3"/>
  <pageSetup scale="73" fitToHeight="2" orientation="portrait" r:id="rId1"/>
  <headerFooter alignWithMargins="0">
    <oddHeader>&amp;A</oddHeader>
    <oddFooter>&amp;Z&amp;F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29"/>
  <sheetViews>
    <sheetView zoomScale="80" zoomScaleNormal="80" workbookViewId="0">
      <selection activeCell="G9" sqref="G9"/>
    </sheetView>
  </sheetViews>
  <sheetFormatPr defaultColWidth="10.77734375" defaultRowHeight="12.75" x14ac:dyDescent="0.2"/>
  <cols>
    <col min="1" max="16384" width="10.77734375" style="210"/>
  </cols>
  <sheetData>
    <row r="1" spans="1:6" ht="15" x14ac:dyDescent="0.2">
      <c r="A1" s="17" t="s">
        <v>33</v>
      </c>
      <c r="B1" s="17"/>
      <c r="C1" s="17"/>
      <c r="D1" s="17"/>
      <c r="E1" s="17"/>
      <c r="F1" s="17"/>
    </row>
    <row r="2" spans="1:6" ht="15" x14ac:dyDescent="0.2">
      <c r="A2" s="17" t="s">
        <v>244</v>
      </c>
      <c r="B2" s="17"/>
      <c r="C2" s="17"/>
      <c r="D2" s="17"/>
      <c r="E2" s="17"/>
      <c r="F2" s="17"/>
    </row>
    <row r="3" spans="1:6" ht="15" x14ac:dyDescent="0.2">
      <c r="A3" s="17" t="s">
        <v>256</v>
      </c>
      <c r="B3" s="17"/>
      <c r="C3" s="17"/>
      <c r="D3" s="17"/>
      <c r="E3" s="17"/>
      <c r="F3" s="17"/>
    </row>
    <row r="4" spans="1:6" ht="15" x14ac:dyDescent="0.2">
      <c r="A4" s="17" t="s">
        <v>34</v>
      </c>
      <c r="B4" s="17"/>
      <c r="C4" s="17"/>
      <c r="D4" s="17"/>
      <c r="E4" s="17"/>
      <c r="F4" s="17"/>
    </row>
    <row r="5" spans="1:6" ht="15" x14ac:dyDescent="0.2">
      <c r="A5" s="17" t="s">
        <v>35</v>
      </c>
      <c r="B5" s="17"/>
      <c r="C5" s="17"/>
      <c r="D5" s="17"/>
      <c r="E5" s="17"/>
      <c r="F5" s="17"/>
    </row>
    <row r="6" spans="1:6" ht="15" x14ac:dyDescent="0.2">
      <c r="A6" s="17" t="s">
        <v>223</v>
      </c>
      <c r="B6" s="17"/>
      <c r="C6" s="17"/>
      <c r="D6" s="17"/>
      <c r="E6" s="17"/>
      <c r="F6" s="17"/>
    </row>
    <row r="7" spans="1:6" s="211" customFormat="1" ht="15" x14ac:dyDescent="0.2">
      <c r="A7" s="30" t="s">
        <v>3</v>
      </c>
      <c r="B7" s="30" t="s">
        <v>4</v>
      </c>
      <c r="C7" s="30" t="s">
        <v>259</v>
      </c>
      <c r="D7" s="30" t="s">
        <v>260</v>
      </c>
      <c r="E7" s="30" t="s">
        <v>261</v>
      </c>
      <c r="F7" s="30"/>
    </row>
    <row r="8" spans="1:6" ht="15" x14ac:dyDescent="0.2">
      <c r="A8" s="235">
        <v>41612</v>
      </c>
      <c r="B8" s="236">
        <v>0.67364583333333339</v>
      </c>
      <c r="C8" s="17">
        <v>12.3</v>
      </c>
      <c r="D8" s="17">
        <v>7.7</v>
      </c>
      <c r="E8" s="17">
        <v>72.2</v>
      </c>
      <c r="F8" s="17"/>
    </row>
    <row r="9" spans="1:6" ht="15" x14ac:dyDescent="0.2">
      <c r="A9" s="235">
        <v>41612</v>
      </c>
      <c r="B9" s="236">
        <v>0.67399305555555555</v>
      </c>
      <c r="C9" s="17">
        <v>12.4</v>
      </c>
      <c r="D9" s="17">
        <v>7.6</v>
      </c>
      <c r="E9" s="17">
        <v>72.8</v>
      </c>
      <c r="F9" s="17"/>
    </row>
    <row r="10" spans="1:6" ht="15" x14ac:dyDescent="0.2">
      <c r="A10" s="235">
        <v>41612</v>
      </c>
      <c r="B10" s="236">
        <v>0.67434027777777772</v>
      </c>
      <c r="C10" s="17">
        <v>12.4</v>
      </c>
      <c r="D10" s="17">
        <v>7.6</v>
      </c>
      <c r="E10" s="17">
        <v>69</v>
      </c>
      <c r="F10" s="17"/>
    </row>
    <row r="11" spans="1:6" ht="15" x14ac:dyDescent="0.2">
      <c r="A11" s="235">
        <v>41612</v>
      </c>
      <c r="B11" s="236">
        <v>0.6746875</v>
      </c>
      <c r="C11" s="17">
        <v>12.4</v>
      </c>
      <c r="D11" s="17">
        <v>7.6</v>
      </c>
      <c r="E11" s="17">
        <v>67.8</v>
      </c>
      <c r="F11" s="17"/>
    </row>
    <row r="12" spans="1:6" ht="15" x14ac:dyDescent="0.2">
      <c r="A12" s="235">
        <v>41612</v>
      </c>
      <c r="B12" s="236">
        <v>0.67503472222222216</v>
      </c>
      <c r="C12" s="17">
        <v>12.4</v>
      </c>
      <c r="D12" s="17">
        <v>7.6</v>
      </c>
      <c r="E12" s="17">
        <v>69.2</v>
      </c>
      <c r="F12" s="17"/>
    </row>
    <row r="13" spans="1:6" ht="15" x14ac:dyDescent="0.2">
      <c r="A13" s="235">
        <v>41612</v>
      </c>
      <c r="B13" s="236">
        <v>0.67538194444444455</v>
      </c>
      <c r="C13" s="17">
        <v>12.4</v>
      </c>
      <c r="D13" s="17">
        <v>7.6</v>
      </c>
      <c r="E13" s="17">
        <v>71</v>
      </c>
      <c r="F13" s="17"/>
    </row>
    <row r="14" spans="1:6" ht="15" x14ac:dyDescent="0.2">
      <c r="A14" s="235">
        <v>41612</v>
      </c>
      <c r="B14" s="236">
        <v>0.67572916666666671</v>
      </c>
      <c r="C14" s="17">
        <v>12.5</v>
      </c>
      <c r="D14" s="17">
        <v>7.5</v>
      </c>
      <c r="E14" s="17">
        <v>73.400000000000006</v>
      </c>
      <c r="F14" s="17"/>
    </row>
    <row r="15" spans="1:6" ht="15" x14ac:dyDescent="0.2">
      <c r="A15" s="235">
        <v>41612</v>
      </c>
      <c r="B15" s="236">
        <v>0.67607638888888888</v>
      </c>
      <c r="C15" s="17">
        <v>12.5</v>
      </c>
      <c r="D15" s="17">
        <v>7.5</v>
      </c>
      <c r="E15" s="17">
        <v>72.2</v>
      </c>
      <c r="F15" s="17"/>
    </row>
    <row r="16" spans="1:6" ht="15" x14ac:dyDescent="0.2">
      <c r="A16" s="235">
        <v>41612</v>
      </c>
      <c r="B16" s="236">
        <v>0.67642361111111116</v>
      </c>
      <c r="C16" s="17">
        <v>12.5</v>
      </c>
      <c r="D16" s="17">
        <v>7.5</v>
      </c>
      <c r="E16" s="17">
        <v>67.8</v>
      </c>
      <c r="F16" s="17"/>
    </row>
    <row r="17" spans="1:6" ht="15" x14ac:dyDescent="0.2">
      <c r="A17" s="235">
        <v>41612</v>
      </c>
      <c r="B17" s="236">
        <v>0.67677083333333332</v>
      </c>
      <c r="C17" s="17">
        <v>12.7</v>
      </c>
      <c r="D17" s="17">
        <v>7.4</v>
      </c>
      <c r="E17" s="17">
        <v>62.7</v>
      </c>
      <c r="F17" s="17"/>
    </row>
    <row r="18" spans="1:6" ht="15" x14ac:dyDescent="0.2">
      <c r="A18" s="235">
        <v>41612</v>
      </c>
      <c r="B18" s="236">
        <v>0.67711805555555549</v>
      </c>
      <c r="C18" s="17">
        <v>12.8</v>
      </c>
      <c r="D18" s="17">
        <v>7.3</v>
      </c>
      <c r="E18" s="17">
        <v>54.9</v>
      </c>
      <c r="F18" s="17"/>
    </row>
    <row r="19" spans="1:6" ht="15" x14ac:dyDescent="0.2">
      <c r="A19" s="235">
        <v>41612</v>
      </c>
      <c r="B19" s="236">
        <v>0.67746527777777776</v>
      </c>
      <c r="C19" s="17">
        <v>12.8</v>
      </c>
      <c r="D19" s="17">
        <v>7.3</v>
      </c>
      <c r="E19" s="17">
        <v>47.5</v>
      </c>
      <c r="F19" s="17"/>
    </row>
    <row r="20" spans="1:6" ht="15" x14ac:dyDescent="0.2">
      <c r="A20" s="235">
        <v>41612</v>
      </c>
      <c r="B20" s="236">
        <v>0.67781249999999993</v>
      </c>
      <c r="C20" s="17">
        <v>12.9</v>
      </c>
      <c r="D20" s="17">
        <v>7.2</v>
      </c>
      <c r="E20" s="17">
        <v>42.2</v>
      </c>
      <c r="F20" s="17"/>
    </row>
    <row r="21" spans="1:6" ht="15" x14ac:dyDescent="0.2">
      <c r="A21" s="235">
        <v>41612</v>
      </c>
      <c r="B21" s="236">
        <v>0.67815972222222232</v>
      </c>
      <c r="C21" s="17">
        <v>12.9</v>
      </c>
      <c r="D21" s="17">
        <v>7.2</v>
      </c>
      <c r="E21" s="17">
        <v>39.799999999999997</v>
      </c>
      <c r="F21" s="17"/>
    </row>
    <row r="22" spans="1:6" ht="15" x14ac:dyDescent="0.2">
      <c r="A22" s="235">
        <v>41612</v>
      </c>
      <c r="B22" s="236">
        <v>0.67850694444444448</v>
      </c>
      <c r="C22" s="17">
        <v>12.9</v>
      </c>
      <c r="D22" s="17">
        <v>7.2</v>
      </c>
      <c r="E22" s="17">
        <v>40.4</v>
      </c>
      <c r="F22" s="17"/>
    </row>
    <row r="23" spans="1:6" ht="15" x14ac:dyDescent="0.2">
      <c r="A23" s="235">
        <v>41612</v>
      </c>
      <c r="B23" s="236">
        <v>0.67885416666666665</v>
      </c>
      <c r="C23" s="17">
        <v>13.1</v>
      </c>
      <c r="D23" s="17">
        <v>7.1</v>
      </c>
      <c r="E23" s="17">
        <v>40.5</v>
      </c>
      <c r="F23" s="17"/>
    </row>
    <row r="24" spans="1:6" ht="15" x14ac:dyDescent="0.2">
      <c r="A24" s="235">
        <v>41612</v>
      </c>
      <c r="B24" s="236">
        <v>0.67920138888888892</v>
      </c>
      <c r="C24" s="17">
        <v>13.1</v>
      </c>
      <c r="D24" s="17">
        <v>7</v>
      </c>
      <c r="E24" s="17">
        <v>38</v>
      </c>
      <c r="F24" s="17"/>
    </row>
    <row r="25" spans="1:6" ht="15" x14ac:dyDescent="0.2">
      <c r="A25" s="235">
        <v>41612</v>
      </c>
      <c r="B25" s="236">
        <v>0.67954861111111109</v>
      </c>
      <c r="C25" s="17">
        <v>13.1</v>
      </c>
      <c r="D25" s="17">
        <v>7</v>
      </c>
      <c r="E25" s="17">
        <v>36.299999999999997</v>
      </c>
      <c r="F25" s="17"/>
    </row>
    <row r="26" spans="1:6" ht="15" x14ac:dyDescent="0.2">
      <c r="A26" s="235">
        <v>41612</v>
      </c>
      <c r="B26" s="236">
        <v>0.67989583333333325</v>
      </c>
      <c r="C26" s="17">
        <v>13.2</v>
      </c>
      <c r="D26" s="17">
        <v>6.9</v>
      </c>
      <c r="E26" s="17">
        <v>35.4</v>
      </c>
      <c r="F26" s="17"/>
    </row>
    <row r="27" spans="1:6" ht="15" x14ac:dyDescent="0.2">
      <c r="A27" s="235">
        <v>41612</v>
      </c>
      <c r="B27" s="236">
        <v>0.68024305555555553</v>
      </c>
      <c r="C27" s="17">
        <v>13.2</v>
      </c>
      <c r="D27" s="17">
        <v>6.9</v>
      </c>
      <c r="E27" s="17">
        <v>34.4</v>
      </c>
      <c r="F27" s="17"/>
    </row>
    <row r="28" spans="1:6" ht="15" x14ac:dyDescent="0.2">
      <c r="A28" s="235">
        <v>41612</v>
      </c>
      <c r="B28" s="236">
        <v>0.68059027777777781</v>
      </c>
      <c r="C28" s="17">
        <v>13.2</v>
      </c>
      <c r="D28" s="17">
        <v>6.9</v>
      </c>
      <c r="E28" s="17">
        <v>34</v>
      </c>
      <c r="F28" s="17"/>
    </row>
    <row r="29" spans="1:6" ht="15" x14ac:dyDescent="0.2">
      <c r="A29" s="235">
        <v>41612</v>
      </c>
      <c r="B29" s="236">
        <v>0.68093750000000008</v>
      </c>
      <c r="C29" s="17">
        <v>13.1</v>
      </c>
      <c r="D29" s="17">
        <v>7</v>
      </c>
      <c r="E29" s="17">
        <v>35.1</v>
      </c>
      <c r="F29" s="17"/>
    </row>
    <row r="30" spans="1:6" ht="15" x14ac:dyDescent="0.2">
      <c r="A30" s="235">
        <v>41612</v>
      </c>
      <c r="B30" s="236">
        <v>0.68128472222222225</v>
      </c>
      <c r="C30" s="17">
        <v>12.9</v>
      </c>
      <c r="D30" s="17">
        <v>7.1</v>
      </c>
      <c r="E30" s="17">
        <v>38.5</v>
      </c>
      <c r="F30" s="17"/>
    </row>
    <row r="31" spans="1:6" ht="15" x14ac:dyDescent="0.2">
      <c r="A31" s="235">
        <v>41612</v>
      </c>
      <c r="B31" s="236">
        <v>0.68163194444444442</v>
      </c>
      <c r="C31" s="17">
        <v>12.8</v>
      </c>
      <c r="D31" s="17">
        <v>7.2</v>
      </c>
      <c r="E31" s="17">
        <v>42.3</v>
      </c>
      <c r="F31" s="17"/>
    </row>
    <row r="32" spans="1:6" ht="15" x14ac:dyDescent="0.2">
      <c r="A32" s="235">
        <v>41612</v>
      </c>
      <c r="B32" s="236">
        <v>0.68197916666666669</v>
      </c>
      <c r="C32" s="17">
        <v>12.9</v>
      </c>
      <c r="D32" s="17">
        <v>7.2</v>
      </c>
      <c r="E32" s="17">
        <v>41.1</v>
      </c>
      <c r="F32" s="17"/>
    </row>
    <row r="33" spans="1:6" ht="15" x14ac:dyDescent="0.2">
      <c r="A33" s="235">
        <v>41612</v>
      </c>
      <c r="B33" s="236">
        <v>0.68232638888888886</v>
      </c>
      <c r="C33" s="17">
        <v>12.7</v>
      </c>
      <c r="D33" s="17">
        <v>7.3</v>
      </c>
      <c r="E33" s="17">
        <v>37.6</v>
      </c>
      <c r="F33" s="17"/>
    </row>
    <row r="34" spans="1:6" ht="15" x14ac:dyDescent="0.2">
      <c r="A34" s="235">
        <v>41612</v>
      </c>
      <c r="B34" s="236">
        <v>0.68267361111111102</v>
      </c>
      <c r="C34" s="17">
        <v>12.6</v>
      </c>
      <c r="D34" s="17">
        <v>7.4</v>
      </c>
      <c r="E34" s="17">
        <v>36.299999999999997</v>
      </c>
      <c r="F34" s="17"/>
    </row>
    <row r="35" spans="1:6" ht="15" x14ac:dyDescent="0.2">
      <c r="A35" s="235">
        <v>41612</v>
      </c>
      <c r="B35" s="236">
        <v>0.6830208333333333</v>
      </c>
      <c r="C35" s="17">
        <v>12.4</v>
      </c>
      <c r="D35" s="17">
        <v>7.6</v>
      </c>
      <c r="E35" s="17">
        <v>38.700000000000003</v>
      </c>
      <c r="F35" s="17"/>
    </row>
    <row r="36" spans="1:6" ht="15" x14ac:dyDescent="0.2">
      <c r="A36" s="235">
        <v>41612</v>
      </c>
      <c r="B36" s="236">
        <v>0.68336805555555558</v>
      </c>
      <c r="C36" s="17">
        <v>12.2</v>
      </c>
      <c r="D36" s="17">
        <v>7.7</v>
      </c>
      <c r="E36" s="17">
        <v>45</v>
      </c>
      <c r="F36" s="17"/>
    </row>
    <row r="37" spans="1:6" ht="15" x14ac:dyDescent="0.2">
      <c r="A37" s="235">
        <v>41612</v>
      </c>
      <c r="B37" s="236">
        <v>0.68371527777777785</v>
      </c>
      <c r="C37" s="17">
        <v>12.2</v>
      </c>
      <c r="D37" s="17">
        <v>7.7</v>
      </c>
      <c r="E37" s="17">
        <v>50.1</v>
      </c>
      <c r="F37" s="17"/>
    </row>
    <row r="38" spans="1:6" ht="15" x14ac:dyDescent="0.2">
      <c r="A38" s="235">
        <v>41612</v>
      </c>
      <c r="B38" s="236">
        <v>0.68406250000000002</v>
      </c>
      <c r="C38" s="17">
        <v>12.2</v>
      </c>
      <c r="D38" s="17">
        <v>7.7</v>
      </c>
      <c r="E38" s="17">
        <v>52.1</v>
      </c>
      <c r="F38" s="17"/>
    </row>
    <row r="39" spans="1:6" ht="15" x14ac:dyDescent="0.2">
      <c r="A39" s="235">
        <v>41612</v>
      </c>
      <c r="B39" s="236">
        <v>0.68440972222222218</v>
      </c>
      <c r="C39" s="17">
        <v>12.1</v>
      </c>
      <c r="D39" s="17">
        <v>7.7</v>
      </c>
      <c r="E39" s="17">
        <v>54</v>
      </c>
      <c r="F39" s="17"/>
    </row>
    <row r="40" spans="1:6" ht="15" x14ac:dyDescent="0.2">
      <c r="A40" s="235">
        <v>41612</v>
      </c>
      <c r="B40" s="236">
        <v>0.68475694444444446</v>
      </c>
      <c r="C40" s="17">
        <v>12</v>
      </c>
      <c r="D40" s="17">
        <v>7.8</v>
      </c>
      <c r="E40" s="17">
        <v>58</v>
      </c>
      <c r="F40" s="17"/>
    </row>
    <row r="41" spans="1:6" ht="15" x14ac:dyDescent="0.2">
      <c r="A41" s="235">
        <v>41612</v>
      </c>
      <c r="B41" s="236">
        <v>0.68510416666666663</v>
      </c>
      <c r="C41" s="17">
        <v>12</v>
      </c>
      <c r="D41" s="17">
        <v>7.8</v>
      </c>
      <c r="E41" s="17">
        <v>62.4</v>
      </c>
      <c r="F41" s="17"/>
    </row>
    <row r="42" spans="1:6" ht="15" x14ac:dyDescent="0.2">
      <c r="A42" s="235">
        <v>41612</v>
      </c>
      <c r="B42" s="236">
        <v>0.68545138888888879</v>
      </c>
      <c r="C42" s="17">
        <v>12</v>
      </c>
      <c r="D42" s="17">
        <v>7.8</v>
      </c>
      <c r="E42" s="17">
        <v>64</v>
      </c>
      <c r="F42" s="17"/>
    </row>
    <row r="43" spans="1:6" ht="15" x14ac:dyDescent="0.2">
      <c r="A43" s="235">
        <v>41612</v>
      </c>
      <c r="B43" s="236">
        <v>0.68579861111111118</v>
      </c>
      <c r="C43" s="17">
        <v>11.9</v>
      </c>
      <c r="D43" s="17">
        <v>8</v>
      </c>
      <c r="E43" s="17">
        <v>64.400000000000006</v>
      </c>
      <c r="F43" s="17"/>
    </row>
    <row r="44" spans="1:6" ht="15" x14ac:dyDescent="0.2">
      <c r="A44" s="235">
        <v>41612</v>
      </c>
      <c r="B44" s="236">
        <v>0.68614583333333334</v>
      </c>
      <c r="C44" s="17">
        <v>11.9</v>
      </c>
      <c r="D44" s="17">
        <v>8</v>
      </c>
      <c r="E44" s="17">
        <v>69.3</v>
      </c>
      <c r="F44" s="17"/>
    </row>
    <row r="45" spans="1:6" ht="15" x14ac:dyDescent="0.2">
      <c r="A45" s="235">
        <v>41612</v>
      </c>
      <c r="B45" s="236">
        <v>0.68649305555555562</v>
      </c>
      <c r="C45" s="17">
        <v>11.9</v>
      </c>
      <c r="D45" s="17">
        <v>7.9</v>
      </c>
      <c r="E45" s="17">
        <v>71.599999999999994</v>
      </c>
      <c r="F45" s="17"/>
    </row>
    <row r="46" spans="1:6" ht="15" x14ac:dyDescent="0.2">
      <c r="A46" s="235">
        <v>41612</v>
      </c>
      <c r="B46" s="236">
        <v>0.68684027777777779</v>
      </c>
      <c r="C46" s="17">
        <v>12.1</v>
      </c>
      <c r="D46" s="17">
        <v>7.8</v>
      </c>
      <c r="E46" s="17">
        <v>64.7</v>
      </c>
      <c r="F46" s="17"/>
    </row>
    <row r="47" spans="1:6" ht="15" x14ac:dyDescent="0.2">
      <c r="A47" s="235">
        <v>41612</v>
      </c>
      <c r="B47" s="236">
        <v>0.68718749999999995</v>
      </c>
      <c r="C47" s="17">
        <v>12.3</v>
      </c>
      <c r="D47" s="17">
        <v>7.7</v>
      </c>
      <c r="E47" s="17">
        <v>54.5</v>
      </c>
      <c r="F47" s="17"/>
    </row>
    <row r="48" spans="1:6" ht="15" x14ac:dyDescent="0.2">
      <c r="A48" s="235">
        <v>41612</v>
      </c>
      <c r="B48" s="236">
        <v>0.68753472222222223</v>
      </c>
      <c r="C48" s="17">
        <v>12.5</v>
      </c>
      <c r="D48" s="17">
        <v>7.5</v>
      </c>
      <c r="E48" s="17">
        <v>46.9</v>
      </c>
      <c r="F48" s="17"/>
    </row>
    <row r="49" spans="1:6" ht="15" x14ac:dyDescent="0.2">
      <c r="A49" s="235">
        <v>41612</v>
      </c>
      <c r="B49" s="236">
        <v>0.68788194444444439</v>
      </c>
      <c r="C49" s="17">
        <v>12.7</v>
      </c>
      <c r="D49" s="17">
        <v>7.4</v>
      </c>
      <c r="E49" s="17">
        <v>41.8</v>
      </c>
      <c r="F49" s="17"/>
    </row>
    <row r="50" spans="1:6" ht="15" x14ac:dyDescent="0.2">
      <c r="A50" s="235">
        <v>41612</v>
      </c>
      <c r="B50" s="236">
        <v>0.68822916666666656</v>
      </c>
      <c r="C50" s="17">
        <v>12.9</v>
      </c>
      <c r="D50" s="17">
        <v>7.2</v>
      </c>
      <c r="E50" s="17">
        <v>37.5</v>
      </c>
      <c r="F50" s="17"/>
    </row>
    <row r="51" spans="1:6" ht="15" x14ac:dyDescent="0.2">
      <c r="A51" s="235">
        <v>41612</v>
      </c>
      <c r="B51" s="236">
        <v>0.68857638888888895</v>
      </c>
      <c r="C51" s="17">
        <v>13.2</v>
      </c>
      <c r="D51" s="17">
        <v>7</v>
      </c>
      <c r="E51" s="17">
        <v>34.700000000000003</v>
      </c>
      <c r="F51" s="17"/>
    </row>
    <row r="52" spans="1:6" ht="15" x14ac:dyDescent="0.2">
      <c r="A52" s="235">
        <v>41612</v>
      </c>
      <c r="B52" s="236">
        <v>0.68892361111111111</v>
      </c>
      <c r="C52" s="17">
        <v>13.3</v>
      </c>
      <c r="D52" s="17">
        <v>6.8</v>
      </c>
      <c r="E52" s="17">
        <v>34.200000000000003</v>
      </c>
      <c r="F52" s="17"/>
    </row>
    <row r="53" spans="1:6" ht="15" x14ac:dyDescent="0.2">
      <c r="A53" s="235">
        <v>41612</v>
      </c>
      <c r="B53" s="236">
        <v>0.68927083333333339</v>
      </c>
      <c r="C53" s="17">
        <v>13.3</v>
      </c>
      <c r="D53" s="17">
        <v>6.8</v>
      </c>
      <c r="E53" s="17">
        <v>34.200000000000003</v>
      </c>
      <c r="F53" s="17"/>
    </row>
    <row r="54" spans="1:6" ht="15" x14ac:dyDescent="0.2">
      <c r="A54" s="235">
        <v>41612</v>
      </c>
      <c r="B54" s="236">
        <v>0.68961805555555555</v>
      </c>
      <c r="C54" s="17">
        <v>13.3</v>
      </c>
      <c r="D54" s="17">
        <v>6.8</v>
      </c>
      <c r="E54" s="17">
        <v>34.200000000000003</v>
      </c>
      <c r="F54" s="17"/>
    </row>
    <row r="55" spans="1:6" ht="15" x14ac:dyDescent="0.2">
      <c r="A55" s="235">
        <v>41612</v>
      </c>
      <c r="B55" s="236">
        <v>0.68996527777777772</v>
      </c>
      <c r="C55" s="17">
        <v>13.2</v>
      </c>
      <c r="D55" s="17">
        <v>6.9</v>
      </c>
      <c r="E55" s="17">
        <v>34.5</v>
      </c>
      <c r="F55" s="17"/>
    </row>
    <row r="56" spans="1:6" ht="15" x14ac:dyDescent="0.2">
      <c r="A56" s="235">
        <v>41612</v>
      </c>
      <c r="B56" s="236">
        <v>0.6903125</v>
      </c>
      <c r="C56" s="17">
        <v>13.1</v>
      </c>
      <c r="D56" s="17">
        <v>7</v>
      </c>
      <c r="E56" s="17">
        <v>36.200000000000003</v>
      </c>
      <c r="F56" s="17"/>
    </row>
    <row r="57" spans="1:6" ht="15" x14ac:dyDescent="0.2">
      <c r="A57" s="235">
        <v>41612</v>
      </c>
      <c r="B57" s="236">
        <v>0.69065972222222216</v>
      </c>
      <c r="C57" s="17">
        <v>13</v>
      </c>
      <c r="D57" s="17">
        <v>7</v>
      </c>
      <c r="E57" s="17">
        <v>41.3</v>
      </c>
      <c r="F57" s="17"/>
    </row>
    <row r="58" spans="1:6" ht="15" x14ac:dyDescent="0.2">
      <c r="A58" s="235">
        <v>41612</v>
      </c>
      <c r="B58" s="236">
        <v>0.69100694444444455</v>
      </c>
      <c r="C58" s="17">
        <v>13</v>
      </c>
      <c r="D58" s="17">
        <v>7</v>
      </c>
      <c r="E58" s="17">
        <v>46.6</v>
      </c>
      <c r="F58" s="17"/>
    </row>
    <row r="59" spans="1:6" ht="15" x14ac:dyDescent="0.2">
      <c r="A59" s="235">
        <v>41612</v>
      </c>
      <c r="B59" s="236">
        <v>0.69135416666666671</v>
      </c>
      <c r="C59" s="17">
        <v>12.9</v>
      </c>
      <c r="D59" s="17">
        <v>7.1</v>
      </c>
      <c r="E59" s="17">
        <v>47.8</v>
      </c>
      <c r="F59" s="17"/>
    </row>
    <row r="60" spans="1:6" ht="15" x14ac:dyDescent="0.2">
      <c r="A60" s="235">
        <v>41612</v>
      </c>
      <c r="B60" s="236">
        <v>0.69170138888888888</v>
      </c>
      <c r="C60" s="17">
        <v>12.9</v>
      </c>
      <c r="D60" s="17">
        <v>7.1</v>
      </c>
      <c r="E60" s="17">
        <v>45.1</v>
      </c>
      <c r="F60" s="17"/>
    </row>
    <row r="61" spans="1:6" ht="15" x14ac:dyDescent="0.2">
      <c r="A61" s="235">
        <v>41612</v>
      </c>
      <c r="B61" s="236">
        <v>0.69204861111111116</v>
      </c>
      <c r="C61" s="17">
        <v>12.9</v>
      </c>
      <c r="D61" s="17">
        <v>7.2</v>
      </c>
      <c r="E61" s="17">
        <v>40.9</v>
      </c>
      <c r="F61" s="17"/>
    </row>
    <row r="62" spans="1:6" ht="15" x14ac:dyDescent="0.2">
      <c r="A62" s="235">
        <v>41612</v>
      </c>
      <c r="B62" s="236">
        <v>0.69239583333333332</v>
      </c>
      <c r="C62" s="17">
        <v>12.9</v>
      </c>
      <c r="D62" s="17">
        <v>7.1</v>
      </c>
      <c r="E62" s="17">
        <v>38.799999999999997</v>
      </c>
      <c r="F62" s="17"/>
    </row>
    <row r="63" spans="1:6" ht="15" x14ac:dyDescent="0.2">
      <c r="A63" s="235">
        <v>41612</v>
      </c>
      <c r="B63" s="236">
        <v>0.69274305555555549</v>
      </c>
      <c r="C63" s="17">
        <v>12.9</v>
      </c>
      <c r="D63" s="17">
        <v>7.1</v>
      </c>
      <c r="E63" s="17">
        <v>40.200000000000003</v>
      </c>
      <c r="F63" s="17"/>
    </row>
    <row r="64" spans="1:6" ht="15" x14ac:dyDescent="0.2">
      <c r="A64" s="235">
        <v>41612</v>
      </c>
      <c r="B64" s="236">
        <v>0.69309027777777776</v>
      </c>
      <c r="C64" s="17">
        <v>12.9</v>
      </c>
      <c r="D64" s="17">
        <v>7.2</v>
      </c>
      <c r="E64" s="17">
        <v>42.3</v>
      </c>
      <c r="F64" s="17"/>
    </row>
    <row r="65" spans="1:6" ht="15" x14ac:dyDescent="0.2">
      <c r="A65" s="235">
        <v>41612</v>
      </c>
      <c r="B65" s="236">
        <v>0.69343749999999993</v>
      </c>
      <c r="C65" s="17">
        <v>12.8</v>
      </c>
      <c r="D65" s="17">
        <v>7.2</v>
      </c>
      <c r="E65" s="17">
        <v>41.7</v>
      </c>
      <c r="F65" s="17"/>
    </row>
    <row r="66" spans="1:6" ht="15" x14ac:dyDescent="0.2">
      <c r="A66" s="235">
        <v>41612</v>
      </c>
      <c r="B66" s="236">
        <v>0.69378472222222232</v>
      </c>
      <c r="C66" s="17">
        <v>12.8</v>
      </c>
      <c r="D66" s="17">
        <v>7.2</v>
      </c>
      <c r="E66" s="17">
        <v>39.700000000000003</v>
      </c>
      <c r="F66" s="17"/>
    </row>
    <row r="67" spans="1:6" ht="15" x14ac:dyDescent="0.2">
      <c r="A67" s="235">
        <v>41612</v>
      </c>
      <c r="B67" s="236">
        <v>0.69413194444444448</v>
      </c>
      <c r="C67" s="17">
        <v>12.7</v>
      </c>
      <c r="D67" s="17">
        <v>7.2</v>
      </c>
      <c r="E67" s="17">
        <v>39.200000000000003</v>
      </c>
      <c r="F67" s="17"/>
    </row>
    <row r="68" spans="1:6" ht="15" x14ac:dyDescent="0.2">
      <c r="A68" s="235">
        <v>41612</v>
      </c>
      <c r="B68" s="236">
        <v>0.69447916666666665</v>
      </c>
      <c r="C68" s="17">
        <v>12.6</v>
      </c>
      <c r="D68" s="17">
        <v>7.4</v>
      </c>
      <c r="E68" s="17">
        <v>42</v>
      </c>
      <c r="F68" s="17"/>
    </row>
    <row r="69" spans="1:6" ht="15" x14ac:dyDescent="0.2">
      <c r="A69" s="235">
        <v>41612</v>
      </c>
      <c r="B69" s="236">
        <v>0.69482638888888892</v>
      </c>
      <c r="C69" s="17">
        <v>12.5</v>
      </c>
      <c r="D69" s="17">
        <v>7.4</v>
      </c>
      <c r="E69" s="17">
        <v>44</v>
      </c>
      <c r="F69" s="17"/>
    </row>
    <row r="70" spans="1:6" ht="15" x14ac:dyDescent="0.2">
      <c r="A70" s="235">
        <v>41612</v>
      </c>
      <c r="B70" s="236">
        <v>0.69517361111111109</v>
      </c>
      <c r="C70" s="17">
        <v>12.3</v>
      </c>
      <c r="D70" s="17">
        <v>7.6</v>
      </c>
      <c r="E70" s="17">
        <v>45.4</v>
      </c>
      <c r="F70" s="17"/>
    </row>
    <row r="71" spans="1:6" ht="15" x14ac:dyDescent="0.2">
      <c r="A71" s="235">
        <v>41612</v>
      </c>
      <c r="B71" s="236">
        <v>0.69552083333333325</v>
      </c>
      <c r="C71" s="17">
        <v>12.2</v>
      </c>
      <c r="D71" s="17">
        <v>7.7</v>
      </c>
      <c r="E71" s="17">
        <v>51.1</v>
      </c>
      <c r="F71" s="17"/>
    </row>
    <row r="72" spans="1:6" ht="15" x14ac:dyDescent="0.2">
      <c r="A72" s="235">
        <v>41612</v>
      </c>
      <c r="B72" s="236">
        <v>0.69586805555555553</v>
      </c>
      <c r="C72" s="17">
        <v>12.2</v>
      </c>
      <c r="D72" s="17">
        <v>7.6</v>
      </c>
      <c r="E72" s="17">
        <v>57.5</v>
      </c>
      <c r="F72" s="17"/>
    </row>
    <row r="73" spans="1:6" ht="15" x14ac:dyDescent="0.2">
      <c r="A73" s="235">
        <v>41612</v>
      </c>
      <c r="B73" s="236">
        <v>0.69621527777777781</v>
      </c>
      <c r="C73" s="17">
        <v>12.3</v>
      </c>
      <c r="D73" s="17">
        <v>7.6</v>
      </c>
      <c r="E73" s="17">
        <v>57.5</v>
      </c>
      <c r="F73" s="17"/>
    </row>
    <row r="74" spans="1:6" ht="15" x14ac:dyDescent="0.2">
      <c r="A74" s="235">
        <v>41612</v>
      </c>
      <c r="B74" s="236">
        <v>0.69656250000000008</v>
      </c>
      <c r="C74" s="17">
        <v>12.2</v>
      </c>
      <c r="D74" s="17">
        <v>7.7</v>
      </c>
      <c r="E74" s="17">
        <v>52.1</v>
      </c>
      <c r="F74" s="17"/>
    </row>
    <row r="75" spans="1:6" ht="15" x14ac:dyDescent="0.2">
      <c r="A75" s="235">
        <v>41612</v>
      </c>
      <c r="B75" s="236">
        <v>0.69690972222222225</v>
      </c>
      <c r="C75" s="17">
        <v>12.2</v>
      </c>
      <c r="D75" s="17">
        <v>7.7</v>
      </c>
      <c r="E75" s="17">
        <v>47.3</v>
      </c>
      <c r="F75" s="17"/>
    </row>
    <row r="76" spans="1:6" ht="15" x14ac:dyDescent="0.2">
      <c r="A76" s="235">
        <v>41612</v>
      </c>
      <c r="B76" s="236">
        <v>0.69725694444444442</v>
      </c>
      <c r="C76" s="17">
        <v>12.3</v>
      </c>
      <c r="D76" s="17">
        <v>7.6</v>
      </c>
      <c r="E76" s="17">
        <v>44.6</v>
      </c>
      <c r="F76" s="17"/>
    </row>
    <row r="77" spans="1:6" ht="15" x14ac:dyDescent="0.2">
      <c r="A77" s="235">
        <v>41612</v>
      </c>
      <c r="B77" s="236">
        <v>0.69760416666666669</v>
      </c>
      <c r="C77" s="17">
        <v>12.2</v>
      </c>
      <c r="D77" s="17">
        <v>7.7</v>
      </c>
      <c r="E77" s="17">
        <v>45.8</v>
      </c>
      <c r="F77" s="17"/>
    </row>
    <row r="78" spans="1:6" ht="15" x14ac:dyDescent="0.2">
      <c r="A78" s="235">
        <v>41612</v>
      </c>
      <c r="B78" s="236">
        <v>0.69795138888888886</v>
      </c>
      <c r="C78" s="17">
        <v>12.3</v>
      </c>
      <c r="D78" s="17">
        <v>7.6</v>
      </c>
      <c r="E78" s="17">
        <v>50.6</v>
      </c>
      <c r="F78" s="17"/>
    </row>
    <row r="79" spans="1:6" ht="15" x14ac:dyDescent="0.2">
      <c r="A79" s="235">
        <v>41612</v>
      </c>
      <c r="B79" s="236">
        <v>0.69829861111111102</v>
      </c>
      <c r="C79" s="17">
        <v>12.5</v>
      </c>
      <c r="D79" s="17">
        <v>7.5</v>
      </c>
      <c r="E79" s="17">
        <v>52.5</v>
      </c>
      <c r="F79" s="17"/>
    </row>
    <row r="80" spans="1:6" ht="15" x14ac:dyDescent="0.2">
      <c r="A80" s="235">
        <v>41612</v>
      </c>
      <c r="B80" s="236">
        <v>0.6986458333333333</v>
      </c>
      <c r="C80" s="17">
        <v>12.5</v>
      </c>
      <c r="D80" s="17">
        <v>7.4</v>
      </c>
      <c r="E80" s="17">
        <v>49.8</v>
      </c>
      <c r="F80" s="17"/>
    </row>
    <row r="81" spans="1:6" ht="15" x14ac:dyDescent="0.2">
      <c r="A81" s="235">
        <v>41612</v>
      </c>
      <c r="B81" s="236">
        <v>0.69899305555555558</v>
      </c>
      <c r="C81" s="17">
        <v>12.4</v>
      </c>
      <c r="D81" s="17">
        <v>7.5</v>
      </c>
      <c r="E81" s="17">
        <v>47.3</v>
      </c>
      <c r="F81" s="17"/>
    </row>
    <row r="82" spans="1:6" ht="15" x14ac:dyDescent="0.2">
      <c r="A82" s="235">
        <v>41612</v>
      </c>
      <c r="B82" s="236">
        <v>0.69934027777777785</v>
      </c>
      <c r="C82" s="17">
        <v>12.3</v>
      </c>
      <c r="D82" s="17">
        <v>7.6</v>
      </c>
      <c r="E82" s="17">
        <v>50.1</v>
      </c>
      <c r="F82" s="17"/>
    </row>
    <row r="83" spans="1:6" ht="15" x14ac:dyDescent="0.2">
      <c r="A83" s="235">
        <v>41612</v>
      </c>
      <c r="B83" s="236">
        <v>0.69968750000000002</v>
      </c>
      <c r="C83" s="17">
        <v>12.3</v>
      </c>
      <c r="D83" s="17">
        <v>7.6</v>
      </c>
      <c r="E83" s="17">
        <v>55</v>
      </c>
      <c r="F83" s="17"/>
    </row>
    <row r="84" spans="1:6" ht="15" x14ac:dyDescent="0.2">
      <c r="A84" s="235">
        <v>41612</v>
      </c>
      <c r="B84" s="236">
        <v>0.70003472222222218</v>
      </c>
      <c r="C84" s="17">
        <v>12.4</v>
      </c>
      <c r="D84" s="17">
        <v>7.6</v>
      </c>
      <c r="E84" s="17">
        <v>54.5</v>
      </c>
      <c r="F84" s="17"/>
    </row>
    <row r="85" spans="1:6" ht="15" x14ac:dyDescent="0.2">
      <c r="A85" s="235">
        <v>41612</v>
      </c>
      <c r="B85" s="236">
        <v>0.70038194444444446</v>
      </c>
      <c r="C85" s="17">
        <v>12.5</v>
      </c>
      <c r="D85" s="17">
        <v>7.5</v>
      </c>
      <c r="E85" s="17">
        <v>49.6</v>
      </c>
      <c r="F85" s="17"/>
    </row>
    <row r="86" spans="1:6" ht="15" x14ac:dyDescent="0.2">
      <c r="A86" s="235">
        <v>41612</v>
      </c>
      <c r="B86" s="236">
        <v>0.70072916666666663</v>
      </c>
      <c r="C86" s="17">
        <v>12.7</v>
      </c>
      <c r="D86" s="17">
        <v>7.3</v>
      </c>
      <c r="E86" s="17">
        <v>44.6</v>
      </c>
      <c r="F86" s="17"/>
    </row>
    <row r="87" spans="1:6" ht="15" x14ac:dyDescent="0.2">
      <c r="A87" s="235">
        <v>41612</v>
      </c>
      <c r="B87" s="236">
        <v>0.70107638888888879</v>
      </c>
      <c r="C87" s="17">
        <v>13</v>
      </c>
      <c r="D87" s="17">
        <v>7.1</v>
      </c>
      <c r="E87" s="17">
        <v>40.799999999999997</v>
      </c>
      <c r="F87" s="17"/>
    </row>
    <row r="88" spans="1:6" ht="15" x14ac:dyDescent="0.2">
      <c r="A88" s="235">
        <v>41612</v>
      </c>
      <c r="B88" s="236">
        <v>0.70142361111111118</v>
      </c>
      <c r="C88" s="17">
        <v>13</v>
      </c>
      <c r="D88" s="17">
        <v>7.1</v>
      </c>
      <c r="E88" s="17">
        <v>37.6</v>
      </c>
      <c r="F88" s="17"/>
    </row>
    <row r="89" spans="1:6" ht="15" x14ac:dyDescent="0.2">
      <c r="A89" s="235">
        <v>41612</v>
      </c>
      <c r="B89" s="236">
        <v>0.70177083333333334</v>
      </c>
      <c r="C89" s="17">
        <v>13.1</v>
      </c>
      <c r="D89" s="17">
        <v>7</v>
      </c>
      <c r="E89" s="17">
        <v>35</v>
      </c>
      <c r="F89" s="17"/>
    </row>
    <row r="90" spans="1:6" ht="15" x14ac:dyDescent="0.2">
      <c r="A90" s="235">
        <v>41612</v>
      </c>
      <c r="B90" s="236">
        <v>0.70211805555555562</v>
      </c>
      <c r="C90" s="17">
        <v>13.2</v>
      </c>
      <c r="D90" s="17">
        <v>6.9</v>
      </c>
      <c r="E90" s="17">
        <v>33.1</v>
      </c>
      <c r="F90" s="17"/>
    </row>
    <row r="91" spans="1:6" ht="15" x14ac:dyDescent="0.2">
      <c r="A91" s="235">
        <v>41612</v>
      </c>
      <c r="B91" s="236">
        <v>0.70246527777777779</v>
      </c>
      <c r="C91" s="17">
        <v>13.3</v>
      </c>
      <c r="D91" s="17">
        <v>6.8</v>
      </c>
      <c r="E91" s="17">
        <v>32.6</v>
      </c>
      <c r="F91" s="17"/>
    </row>
    <row r="92" spans="1:6" ht="15" x14ac:dyDescent="0.2">
      <c r="A92" s="235">
        <v>41612</v>
      </c>
      <c r="B92" s="236">
        <v>0.70281249999999995</v>
      </c>
      <c r="C92" s="17">
        <v>13.4</v>
      </c>
      <c r="D92" s="17">
        <v>6.7</v>
      </c>
      <c r="E92" s="17">
        <v>33.1</v>
      </c>
      <c r="F92" s="17"/>
    </row>
    <row r="93" spans="1:6" ht="15" x14ac:dyDescent="0.2">
      <c r="A93" s="235">
        <v>41612</v>
      </c>
      <c r="B93" s="236">
        <v>0.70315972222222223</v>
      </c>
      <c r="C93" s="17">
        <v>13.6</v>
      </c>
      <c r="D93" s="17">
        <v>6.6</v>
      </c>
      <c r="E93" s="17">
        <v>33</v>
      </c>
      <c r="F93" s="17"/>
    </row>
    <row r="94" spans="1:6" ht="15" x14ac:dyDescent="0.2">
      <c r="A94" s="235">
        <v>41612</v>
      </c>
      <c r="B94" s="236">
        <v>0.70350694444444439</v>
      </c>
      <c r="C94" s="17">
        <v>13.7</v>
      </c>
      <c r="D94" s="17">
        <v>6.5</v>
      </c>
      <c r="E94" s="17">
        <v>32.6</v>
      </c>
      <c r="F94" s="17"/>
    </row>
    <row r="95" spans="1:6" ht="15" x14ac:dyDescent="0.2">
      <c r="A95" s="235">
        <v>41612</v>
      </c>
      <c r="B95" s="236">
        <v>0.70385416666666656</v>
      </c>
      <c r="C95" s="17">
        <v>13.7</v>
      </c>
      <c r="D95" s="17">
        <v>6.5</v>
      </c>
      <c r="E95" s="17">
        <v>32.6</v>
      </c>
      <c r="F95" s="17"/>
    </row>
    <row r="96" spans="1:6" ht="15" x14ac:dyDescent="0.2">
      <c r="A96" s="235">
        <v>41612</v>
      </c>
      <c r="B96" s="236">
        <v>0.70420138888888895</v>
      </c>
      <c r="C96" s="17">
        <v>13.6</v>
      </c>
      <c r="D96" s="17">
        <v>6.5</v>
      </c>
      <c r="E96" s="17">
        <v>32.5</v>
      </c>
      <c r="F96" s="17"/>
    </row>
    <row r="97" spans="1:6" ht="15" x14ac:dyDescent="0.2">
      <c r="A97" s="235">
        <v>41612</v>
      </c>
      <c r="B97" s="236">
        <v>0.70454861111111111</v>
      </c>
      <c r="C97" s="17">
        <v>13.6</v>
      </c>
      <c r="D97" s="17">
        <v>6.5</v>
      </c>
      <c r="E97" s="17">
        <v>32.799999999999997</v>
      </c>
      <c r="F97" s="17"/>
    </row>
    <row r="98" spans="1:6" ht="15" x14ac:dyDescent="0.2">
      <c r="A98" s="235">
        <v>41612</v>
      </c>
      <c r="B98" s="236">
        <v>0.70489583333333339</v>
      </c>
      <c r="C98" s="17">
        <v>13.6</v>
      </c>
      <c r="D98" s="17">
        <v>6.6</v>
      </c>
      <c r="E98" s="17">
        <v>33.6</v>
      </c>
      <c r="F98" s="17"/>
    </row>
    <row r="99" spans="1:6" ht="15" x14ac:dyDescent="0.2">
      <c r="A99" s="235">
        <v>41612</v>
      </c>
      <c r="B99" s="236">
        <v>0.70524305555555555</v>
      </c>
      <c r="C99" s="17">
        <v>13.5</v>
      </c>
      <c r="D99" s="17">
        <v>6.6</v>
      </c>
      <c r="E99" s="17">
        <v>34.5</v>
      </c>
      <c r="F99" s="17"/>
    </row>
    <row r="100" spans="1:6" ht="15" x14ac:dyDescent="0.2">
      <c r="A100" s="235">
        <v>41612</v>
      </c>
      <c r="B100" s="236">
        <v>0.70559027777777772</v>
      </c>
      <c r="C100" s="17">
        <v>13.4</v>
      </c>
      <c r="D100" s="17">
        <v>6.7</v>
      </c>
      <c r="E100" s="17">
        <v>34.299999999999997</v>
      </c>
      <c r="F100" s="17"/>
    </row>
    <row r="101" spans="1:6" ht="15" x14ac:dyDescent="0.2">
      <c r="A101" s="235">
        <v>41612</v>
      </c>
      <c r="B101" s="236">
        <v>0.7059375</v>
      </c>
      <c r="C101" s="17">
        <v>13.3</v>
      </c>
      <c r="D101" s="17">
        <v>6.8</v>
      </c>
      <c r="E101" s="17">
        <v>33.6</v>
      </c>
      <c r="F101" s="17"/>
    </row>
    <row r="102" spans="1:6" ht="15" x14ac:dyDescent="0.2">
      <c r="A102" s="235">
        <v>41612</v>
      </c>
      <c r="B102" s="236">
        <v>0.70628472222222216</v>
      </c>
      <c r="C102" s="17">
        <v>13</v>
      </c>
      <c r="D102" s="17">
        <v>7</v>
      </c>
      <c r="E102" s="17">
        <v>33.299999999999997</v>
      </c>
      <c r="F102" s="17"/>
    </row>
    <row r="103" spans="1:6" ht="15" x14ac:dyDescent="0.2">
      <c r="A103" s="235">
        <v>41612</v>
      </c>
      <c r="B103" s="236">
        <v>0.70663194444444455</v>
      </c>
      <c r="C103" s="17">
        <v>12.8</v>
      </c>
      <c r="D103" s="17">
        <v>7.1</v>
      </c>
      <c r="E103" s="17">
        <v>35.799999999999997</v>
      </c>
      <c r="F103" s="17"/>
    </row>
    <row r="104" spans="1:6" ht="15" x14ac:dyDescent="0.2">
      <c r="A104" s="235">
        <v>41612</v>
      </c>
      <c r="B104" s="236">
        <v>0.70697916666666671</v>
      </c>
      <c r="C104" s="17">
        <v>12.6</v>
      </c>
      <c r="D104" s="17">
        <v>7.3</v>
      </c>
      <c r="E104" s="17">
        <v>40.1</v>
      </c>
      <c r="F104" s="17"/>
    </row>
    <row r="105" spans="1:6" ht="15" x14ac:dyDescent="0.2">
      <c r="A105" s="235">
        <v>41612</v>
      </c>
      <c r="B105" s="236">
        <v>0.70732638888888888</v>
      </c>
      <c r="C105" s="17">
        <v>12.5</v>
      </c>
      <c r="D105" s="17">
        <v>7.4</v>
      </c>
      <c r="E105" s="17">
        <v>44.3</v>
      </c>
      <c r="F105" s="17"/>
    </row>
    <row r="106" spans="1:6" ht="15" x14ac:dyDescent="0.2">
      <c r="A106" s="235">
        <v>41612</v>
      </c>
      <c r="B106" s="236">
        <v>0.70767361111111116</v>
      </c>
      <c r="C106" s="17">
        <v>12.3</v>
      </c>
      <c r="D106" s="17">
        <v>7.6</v>
      </c>
      <c r="E106" s="17">
        <v>47</v>
      </c>
      <c r="F106" s="17"/>
    </row>
    <row r="107" spans="1:6" ht="15" x14ac:dyDescent="0.2">
      <c r="A107" s="235">
        <v>41612</v>
      </c>
      <c r="B107" s="236">
        <v>0.70802083333333332</v>
      </c>
      <c r="C107" s="17">
        <v>12.2</v>
      </c>
      <c r="D107" s="17">
        <v>7.6</v>
      </c>
      <c r="E107" s="17">
        <v>48.5</v>
      </c>
      <c r="F107" s="17"/>
    </row>
    <row r="108" spans="1:6" ht="15" x14ac:dyDescent="0.2">
      <c r="A108" s="235">
        <v>41612</v>
      </c>
      <c r="B108" s="236">
        <v>0.70836805555555549</v>
      </c>
      <c r="C108" s="17">
        <v>12.2</v>
      </c>
      <c r="D108" s="17">
        <v>7.7</v>
      </c>
      <c r="E108" s="17">
        <v>48.6</v>
      </c>
      <c r="F108" s="17"/>
    </row>
    <row r="109" spans="1:6" ht="15" x14ac:dyDescent="0.2">
      <c r="A109" s="235">
        <v>41612</v>
      </c>
      <c r="B109" s="236">
        <v>0.70871527777777776</v>
      </c>
      <c r="C109" s="17">
        <v>12.2</v>
      </c>
      <c r="D109" s="17">
        <v>7.7</v>
      </c>
      <c r="E109" s="17">
        <v>48</v>
      </c>
      <c r="F109" s="17"/>
    </row>
    <row r="110" spans="1:6" ht="15" x14ac:dyDescent="0.2">
      <c r="A110" s="235">
        <v>41612</v>
      </c>
      <c r="B110" s="236">
        <v>0.70906249999999993</v>
      </c>
      <c r="C110" s="17">
        <v>12.2</v>
      </c>
      <c r="D110" s="17">
        <v>7.6</v>
      </c>
      <c r="E110" s="17">
        <v>46.6</v>
      </c>
      <c r="F110" s="17"/>
    </row>
    <row r="111" spans="1:6" ht="15" x14ac:dyDescent="0.2">
      <c r="A111" s="235">
        <v>41612</v>
      </c>
      <c r="B111" s="236">
        <v>0.70940972222222232</v>
      </c>
      <c r="C111" s="17">
        <v>12.2</v>
      </c>
      <c r="D111" s="17">
        <v>7.6</v>
      </c>
      <c r="E111" s="17">
        <v>45.1</v>
      </c>
      <c r="F111" s="17"/>
    </row>
    <row r="112" spans="1:6" ht="15" x14ac:dyDescent="0.2">
      <c r="A112" s="235">
        <v>41612</v>
      </c>
      <c r="B112" s="236">
        <v>0.70975694444444448</v>
      </c>
      <c r="C112" s="17">
        <v>12.3</v>
      </c>
      <c r="D112" s="17">
        <v>7.5</v>
      </c>
      <c r="E112" s="17">
        <v>43.6</v>
      </c>
      <c r="F112" s="17"/>
    </row>
    <row r="113" spans="1:6" ht="15" x14ac:dyDescent="0.2">
      <c r="A113" s="235">
        <v>41612</v>
      </c>
      <c r="B113" s="236">
        <v>0.71010416666666665</v>
      </c>
      <c r="C113" s="17">
        <v>12.6</v>
      </c>
      <c r="D113" s="17">
        <v>7.3</v>
      </c>
      <c r="E113" s="17">
        <v>42.6</v>
      </c>
      <c r="F113" s="17"/>
    </row>
    <row r="114" spans="1:6" ht="15" x14ac:dyDescent="0.2">
      <c r="A114" s="235">
        <v>41612</v>
      </c>
      <c r="B114" s="236">
        <v>0.71045138888888892</v>
      </c>
      <c r="C114" s="17">
        <v>12.7</v>
      </c>
      <c r="D114" s="17">
        <v>7.1</v>
      </c>
      <c r="E114" s="17">
        <v>40.5</v>
      </c>
      <c r="F114" s="17"/>
    </row>
    <row r="115" spans="1:6" ht="15" x14ac:dyDescent="0.2">
      <c r="A115" s="235">
        <v>41612</v>
      </c>
      <c r="B115" s="236">
        <v>0.71079861111111109</v>
      </c>
      <c r="C115" s="17">
        <v>12.9</v>
      </c>
      <c r="D115" s="17">
        <v>7</v>
      </c>
      <c r="E115" s="17">
        <v>37.5</v>
      </c>
      <c r="F115" s="17"/>
    </row>
    <row r="116" spans="1:6" ht="15" x14ac:dyDescent="0.2">
      <c r="A116" s="235">
        <v>41612</v>
      </c>
      <c r="B116" s="236">
        <v>0.71114583333333325</v>
      </c>
      <c r="C116" s="17">
        <v>13</v>
      </c>
      <c r="D116" s="17">
        <v>6.9</v>
      </c>
      <c r="E116" s="17">
        <v>34.700000000000003</v>
      </c>
      <c r="F116" s="17"/>
    </row>
    <row r="117" spans="1:6" ht="15" x14ac:dyDescent="0.2">
      <c r="A117" s="235">
        <v>41612</v>
      </c>
      <c r="B117" s="236">
        <v>0.71149305555555553</v>
      </c>
      <c r="C117" s="17">
        <v>13</v>
      </c>
      <c r="D117" s="17">
        <v>6.9</v>
      </c>
      <c r="E117" s="17">
        <v>33.4</v>
      </c>
      <c r="F117" s="17"/>
    </row>
    <row r="118" spans="1:6" ht="15" x14ac:dyDescent="0.2">
      <c r="A118" s="235">
        <v>41612</v>
      </c>
      <c r="B118" s="236">
        <v>0.71184027777777781</v>
      </c>
      <c r="C118" s="17">
        <v>13.1</v>
      </c>
      <c r="D118" s="17">
        <v>6.8</v>
      </c>
      <c r="E118" s="17">
        <v>32.9</v>
      </c>
      <c r="F118" s="17"/>
    </row>
    <row r="119" spans="1:6" ht="15" x14ac:dyDescent="0.2">
      <c r="A119" s="235">
        <v>41612</v>
      </c>
      <c r="B119" s="236">
        <v>0.71218750000000008</v>
      </c>
      <c r="C119" s="17">
        <v>13</v>
      </c>
      <c r="D119" s="17">
        <v>6.9</v>
      </c>
      <c r="E119" s="17">
        <v>32.6</v>
      </c>
      <c r="F119" s="17"/>
    </row>
    <row r="120" spans="1:6" ht="15" x14ac:dyDescent="0.2">
      <c r="A120" s="235">
        <v>41612</v>
      </c>
      <c r="B120" s="236">
        <v>0.71253472222222225</v>
      </c>
      <c r="C120" s="17">
        <v>12.9</v>
      </c>
      <c r="D120" s="17">
        <v>6.9</v>
      </c>
      <c r="E120" s="17">
        <v>32.799999999999997</v>
      </c>
      <c r="F120" s="17"/>
    </row>
    <row r="121" spans="1:6" ht="15" x14ac:dyDescent="0.2">
      <c r="A121" s="235">
        <v>41612</v>
      </c>
      <c r="B121" s="236">
        <v>0.71288194444444442</v>
      </c>
      <c r="C121" s="17">
        <v>13</v>
      </c>
      <c r="D121" s="17">
        <v>6.9</v>
      </c>
      <c r="E121" s="17">
        <v>32.4</v>
      </c>
      <c r="F121" s="17"/>
    </row>
    <row r="122" spans="1:6" ht="15" x14ac:dyDescent="0.2">
      <c r="A122" s="235">
        <v>41612</v>
      </c>
      <c r="B122" s="236">
        <v>0.71322916666666669</v>
      </c>
      <c r="C122" s="17">
        <v>13.1</v>
      </c>
      <c r="D122" s="17">
        <v>6.8</v>
      </c>
      <c r="E122" s="17">
        <v>30.4</v>
      </c>
      <c r="F122" s="17"/>
    </row>
    <row r="123" spans="1:6" ht="15" x14ac:dyDescent="0.2">
      <c r="A123" s="235">
        <v>41612</v>
      </c>
      <c r="B123" s="236">
        <v>0.71357638888888886</v>
      </c>
      <c r="C123" s="17">
        <v>13.1</v>
      </c>
      <c r="D123" s="17">
        <v>6.8</v>
      </c>
      <c r="E123" s="17">
        <v>28.8</v>
      </c>
      <c r="F123" s="17"/>
    </row>
    <row r="124" spans="1:6" ht="15" x14ac:dyDescent="0.2">
      <c r="A124" s="235">
        <v>41612</v>
      </c>
      <c r="B124" s="236">
        <v>0.71392361111111102</v>
      </c>
      <c r="C124" s="17">
        <v>13.2</v>
      </c>
      <c r="D124" s="17">
        <v>6.8</v>
      </c>
      <c r="E124" s="17">
        <v>28.1</v>
      </c>
      <c r="F124" s="17"/>
    </row>
    <row r="125" spans="1:6" ht="15" x14ac:dyDescent="0.2">
      <c r="A125" s="235">
        <v>41612</v>
      </c>
      <c r="B125" s="236">
        <v>0.7142708333333333</v>
      </c>
      <c r="C125" s="17">
        <v>13.4</v>
      </c>
      <c r="D125" s="17">
        <v>6.6</v>
      </c>
      <c r="E125" s="17">
        <v>28.1</v>
      </c>
      <c r="F125" s="17"/>
    </row>
    <row r="126" spans="1:6" ht="15" x14ac:dyDescent="0.2">
      <c r="A126" s="235">
        <v>41612</v>
      </c>
      <c r="B126" s="236">
        <v>0.71461805555555558</v>
      </c>
      <c r="C126" s="17">
        <v>13.4</v>
      </c>
      <c r="D126" s="17">
        <v>6.6</v>
      </c>
      <c r="E126" s="17">
        <v>28.1</v>
      </c>
      <c r="F126" s="17"/>
    </row>
    <row r="127" spans="1:6" ht="15" x14ac:dyDescent="0.2">
      <c r="A127" s="235">
        <v>41612</v>
      </c>
      <c r="B127" s="236">
        <v>0.71496527777777785</v>
      </c>
      <c r="C127" s="17">
        <v>13.4</v>
      </c>
      <c r="D127" s="17">
        <v>6.5</v>
      </c>
      <c r="E127" s="17">
        <v>28.1</v>
      </c>
      <c r="F127" s="17"/>
    </row>
    <row r="128" spans="1:6" x14ac:dyDescent="0.2">
      <c r="A128" s="212"/>
      <c r="B128" s="213"/>
    </row>
    <row r="129" spans="1:5" ht="15.75" x14ac:dyDescent="0.25">
      <c r="A129" s="442" t="s">
        <v>36</v>
      </c>
      <c r="B129" s="443"/>
      <c r="C129" s="1">
        <f>AVERAGE(C8:C127)</f>
        <v>12.744166666666665</v>
      </c>
      <c r="D129" s="1">
        <f>AVERAGE(D8:D127)</f>
        <v>7.2433333333333332</v>
      </c>
      <c r="E129" s="1">
        <f>AVERAGE(E8:E127)</f>
        <v>44.532500000000034</v>
      </c>
    </row>
  </sheetData>
  <mergeCells count="1">
    <mergeCell ref="A129:B129"/>
  </mergeCells>
  <phoneticPr fontId="0" type="noConversion"/>
  <pageMargins left="0.95" right="0.7" top="0.75" bottom="0.75" header="0.3" footer="0.3"/>
  <pageSetup scale="73" fitToHeight="2" orientation="portrait" r:id="rId1"/>
  <headerFooter alignWithMargins="0">
    <oddHeader>&amp;A</oddHeader>
    <oddFooter>&amp;Z&amp;F</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62"/>
  <sheetViews>
    <sheetView showGridLines="0" zoomScaleNormal="100" workbookViewId="0">
      <selection activeCell="C6" sqref="C6"/>
    </sheetView>
  </sheetViews>
  <sheetFormatPr defaultRowHeight="15" x14ac:dyDescent="0.2"/>
  <cols>
    <col min="1" max="1" width="10.77734375" style="53" customWidth="1"/>
    <col min="2" max="2" width="10.109375" style="53" customWidth="1"/>
    <col min="3" max="3" width="11.109375" style="53" customWidth="1"/>
    <col min="4" max="4" width="8.88671875" style="53"/>
    <col min="5" max="5" width="10.77734375" style="53" customWidth="1"/>
    <col min="6" max="6" width="1.77734375" style="53" customWidth="1"/>
    <col min="7" max="13" width="8.44140625" style="53" customWidth="1"/>
    <col min="14" max="14" width="4.77734375" style="53" customWidth="1"/>
    <col min="15" max="20" width="8.88671875" style="53"/>
    <col min="21" max="21" width="17.77734375" style="53" customWidth="1"/>
    <col min="22" max="22" width="8.88671875" style="53"/>
    <col min="23" max="23" width="6.77734375" style="53" customWidth="1"/>
    <col min="24" max="24" width="11.77734375" style="53" customWidth="1"/>
    <col min="25" max="25" width="10.77734375" style="53" customWidth="1"/>
    <col min="26" max="26" width="6.77734375" style="53" customWidth="1"/>
    <col min="27" max="27" width="8.88671875" style="53"/>
    <col min="28" max="28" width="3.77734375" style="53" customWidth="1"/>
    <col min="29" max="16384" width="8.88671875" style="53"/>
  </cols>
  <sheetData>
    <row r="1" spans="1:47" ht="30" x14ac:dyDescent="0.4">
      <c r="D1" s="54" t="s">
        <v>37</v>
      </c>
      <c r="E1" s="55"/>
      <c r="F1" s="56"/>
      <c r="U1" s="57"/>
      <c r="X1" s="57"/>
      <c r="AU1" s="57"/>
    </row>
    <row r="3" spans="1:47" ht="15.75" x14ac:dyDescent="0.25">
      <c r="A3" s="153"/>
      <c r="B3" s="154" t="s">
        <v>38</v>
      </c>
      <c r="C3" s="58" t="s">
        <v>446</v>
      </c>
      <c r="D3" s="59"/>
      <c r="E3" s="60"/>
      <c r="F3" s="61"/>
      <c r="G3" s="160" t="s">
        <v>39</v>
      </c>
      <c r="H3" s="160" t="s">
        <v>40</v>
      </c>
      <c r="I3" s="160" t="s">
        <v>41</v>
      </c>
      <c r="J3" s="161" t="s">
        <v>42</v>
      </c>
      <c r="K3" s="162"/>
      <c r="L3" s="163" t="s">
        <v>43</v>
      </c>
      <c r="M3" s="163" t="s">
        <v>44</v>
      </c>
      <c r="U3" s="57"/>
      <c r="X3" s="57"/>
    </row>
    <row r="4" spans="1:47" ht="15.75" x14ac:dyDescent="0.25">
      <c r="A4" s="155"/>
      <c r="B4" s="156" t="s">
        <v>46</v>
      </c>
      <c r="C4" s="62" t="s">
        <v>447</v>
      </c>
      <c r="D4" s="63"/>
      <c r="E4" s="64"/>
      <c r="F4" s="61"/>
      <c r="G4" s="164" t="s">
        <v>47</v>
      </c>
      <c r="H4" s="164" t="s">
        <v>48</v>
      </c>
      <c r="I4" s="164" t="s">
        <v>48</v>
      </c>
      <c r="J4" s="160" t="s">
        <v>49</v>
      </c>
      <c r="K4" s="160" t="s">
        <v>50</v>
      </c>
      <c r="L4" s="164" t="s">
        <v>51</v>
      </c>
      <c r="M4" s="165" t="s">
        <v>52</v>
      </c>
      <c r="U4" s="57"/>
      <c r="AU4" s="57"/>
    </row>
    <row r="5" spans="1:47" ht="15.75" x14ac:dyDescent="0.25">
      <c r="A5" s="155"/>
      <c r="B5" s="157" t="s">
        <v>53</v>
      </c>
      <c r="C5" s="65" t="s">
        <v>243</v>
      </c>
      <c r="D5" s="63"/>
      <c r="E5" s="64"/>
      <c r="F5" s="61"/>
      <c r="G5" s="166"/>
      <c r="H5" s="166"/>
      <c r="I5" s="167"/>
      <c r="J5" s="164" t="s">
        <v>54</v>
      </c>
      <c r="K5" s="164" t="s">
        <v>54</v>
      </c>
      <c r="L5" s="164" t="s">
        <v>54</v>
      </c>
      <c r="M5" s="165" t="s">
        <v>40</v>
      </c>
      <c r="W5" s="57"/>
    </row>
    <row r="6" spans="1:47" ht="15.75" x14ac:dyDescent="0.25">
      <c r="A6" s="155"/>
      <c r="B6" s="157" t="s">
        <v>220</v>
      </c>
      <c r="C6" s="65" t="s">
        <v>258</v>
      </c>
      <c r="D6" s="63"/>
      <c r="E6" s="64"/>
      <c r="G6" s="66" t="s">
        <v>1</v>
      </c>
      <c r="H6" s="185">
        <v>0.05</v>
      </c>
      <c r="I6" s="186">
        <f t="shared" ref="I6:I29" si="0">H6*$J$35</f>
        <v>2.25</v>
      </c>
      <c r="J6" s="187">
        <v>69</v>
      </c>
      <c r="K6" s="187">
        <f>J6</f>
        <v>69</v>
      </c>
      <c r="L6" s="187">
        <v>105</v>
      </c>
      <c r="M6" s="188">
        <f t="shared" ref="M6:M29" si="1">SQRT(H6)</f>
        <v>0.22360679774997896</v>
      </c>
      <c r="N6" s="67"/>
      <c r="U6" s="57"/>
      <c r="X6" s="63"/>
      <c r="AU6" s="57"/>
    </row>
    <row r="7" spans="1:47" ht="15.75" x14ac:dyDescent="0.25">
      <c r="A7" s="155"/>
      <c r="B7" s="157" t="s">
        <v>55</v>
      </c>
      <c r="C7" s="68">
        <v>41855</v>
      </c>
      <c r="D7" s="63"/>
      <c r="E7" s="64"/>
      <c r="G7" s="69" t="s">
        <v>2</v>
      </c>
      <c r="H7" s="189">
        <v>0.05</v>
      </c>
      <c r="I7" s="186">
        <f t="shared" si="0"/>
        <v>2.25</v>
      </c>
      <c r="J7" s="190">
        <v>68</v>
      </c>
      <c r="K7" s="190">
        <f>J7</f>
        <v>68</v>
      </c>
      <c r="L7" s="190">
        <v>105</v>
      </c>
      <c r="M7" s="173">
        <f t="shared" si="1"/>
        <v>0.22360679774997896</v>
      </c>
      <c r="N7" s="67"/>
      <c r="Z7" s="57"/>
    </row>
    <row r="8" spans="1:47" ht="15.75" x14ac:dyDescent="0.25">
      <c r="A8" s="155"/>
      <c r="B8" s="157" t="s">
        <v>56</v>
      </c>
      <c r="C8" s="65" t="s">
        <v>57</v>
      </c>
      <c r="D8" s="63"/>
      <c r="E8" s="64"/>
      <c r="G8" s="69" t="s">
        <v>58</v>
      </c>
      <c r="H8" s="189">
        <v>5.5E-2</v>
      </c>
      <c r="I8" s="186">
        <f t="shared" si="0"/>
        <v>2.4750000000000001</v>
      </c>
      <c r="J8" s="190">
        <v>68</v>
      </c>
      <c r="K8" s="190">
        <f t="shared" ref="K8:K29" si="2">J8</f>
        <v>68</v>
      </c>
      <c r="L8" s="190">
        <v>106</v>
      </c>
      <c r="M8" s="173">
        <f t="shared" si="1"/>
        <v>0.23452078799117149</v>
      </c>
      <c r="N8" s="67"/>
      <c r="U8" s="57"/>
      <c r="AU8" s="57"/>
    </row>
    <row r="9" spans="1:47" ht="15.75" x14ac:dyDescent="0.25">
      <c r="A9" s="155"/>
      <c r="B9" s="156" t="s">
        <v>60</v>
      </c>
      <c r="C9" s="70">
        <v>1</v>
      </c>
      <c r="D9" s="71"/>
      <c r="E9" s="64"/>
      <c r="G9" s="69" t="s">
        <v>61</v>
      </c>
      <c r="H9" s="189">
        <v>5.5E-2</v>
      </c>
      <c r="I9" s="186">
        <f t="shared" si="0"/>
        <v>2.4750000000000001</v>
      </c>
      <c r="J9" s="190">
        <v>68</v>
      </c>
      <c r="K9" s="190">
        <f t="shared" si="2"/>
        <v>68</v>
      </c>
      <c r="L9" s="190">
        <v>106</v>
      </c>
      <c r="M9" s="173">
        <f t="shared" si="1"/>
        <v>0.23452078799117149</v>
      </c>
      <c r="N9" s="67"/>
      <c r="U9" s="57"/>
    </row>
    <row r="10" spans="1:47" ht="15.75" x14ac:dyDescent="0.25">
      <c r="A10" s="158"/>
      <c r="B10" s="159" t="s">
        <v>65</v>
      </c>
      <c r="C10" s="72" t="s">
        <v>242</v>
      </c>
      <c r="D10" s="73"/>
      <c r="E10" s="74" t="s">
        <v>445</v>
      </c>
      <c r="G10" s="69" t="s">
        <v>66</v>
      </c>
      <c r="H10" s="189">
        <v>5.5E-2</v>
      </c>
      <c r="I10" s="186">
        <f t="shared" si="0"/>
        <v>2.4750000000000001</v>
      </c>
      <c r="J10" s="190">
        <v>70</v>
      </c>
      <c r="K10" s="190">
        <f t="shared" si="2"/>
        <v>70</v>
      </c>
      <c r="L10" s="190">
        <v>108</v>
      </c>
      <c r="M10" s="173">
        <f t="shared" si="1"/>
        <v>0.23452078799117149</v>
      </c>
      <c r="N10" s="67"/>
    </row>
    <row r="11" spans="1:47" x14ac:dyDescent="0.2">
      <c r="G11" s="69" t="s">
        <v>67</v>
      </c>
      <c r="H11" s="189">
        <v>0.06</v>
      </c>
      <c r="I11" s="186">
        <f t="shared" si="0"/>
        <v>2.6999999999999997</v>
      </c>
      <c r="J11" s="190">
        <v>71</v>
      </c>
      <c r="K11" s="190">
        <f t="shared" si="2"/>
        <v>71</v>
      </c>
      <c r="L11" s="190">
        <v>107</v>
      </c>
      <c r="M11" s="173">
        <f t="shared" si="1"/>
        <v>0.2449489742783178</v>
      </c>
      <c r="N11" s="67"/>
      <c r="U11" s="57"/>
      <c r="W11" s="57"/>
      <c r="X11" s="57"/>
    </row>
    <row r="12" spans="1:47" ht="15.75" x14ac:dyDescent="0.25">
      <c r="A12" s="151"/>
      <c r="B12" s="152" t="s">
        <v>68</v>
      </c>
      <c r="C12" s="149"/>
      <c r="D12" s="149"/>
      <c r="E12" s="150"/>
      <c r="G12" s="69" t="s">
        <v>69</v>
      </c>
      <c r="H12" s="189">
        <v>0.06</v>
      </c>
      <c r="I12" s="186">
        <f t="shared" si="0"/>
        <v>2.6999999999999997</v>
      </c>
      <c r="J12" s="190">
        <v>72</v>
      </c>
      <c r="K12" s="190">
        <f t="shared" si="2"/>
        <v>72</v>
      </c>
      <c r="L12" s="190">
        <v>107</v>
      </c>
      <c r="M12" s="173">
        <f t="shared" si="1"/>
        <v>0.2449489742783178</v>
      </c>
      <c r="N12" s="67"/>
      <c r="U12" s="57"/>
      <c r="V12" s="63"/>
      <c r="W12" s="57"/>
      <c r="X12" s="57"/>
      <c r="AA12" s="63"/>
    </row>
    <row r="13" spans="1:47" x14ac:dyDescent="0.2">
      <c r="A13" s="75" t="s">
        <v>70</v>
      </c>
      <c r="B13" s="76"/>
      <c r="C13" s="76"/>
      <c r="D13" s="76"/>
      <c r="E13" s="77">
        <v>795.23500000000001</v>
      </c>
      <c r="G13" s="69" t="s">
        <v>71</v>
      </c>
      <c r="H13" s="189">
        <v>0.06</v>
      </c>
      <c r="I13" s="186">
        <f t="shared" si="0"/>
        <v>2.6999999999999997</v>
      </c>
      <c r="J13" s="190">
        <v>74</v>
      </c>
      <c r="K13" s="190">
        <f t="shared" si="2"/>
        <v>74</v>
      </c>
      <c r="L13" s="190">
        <v>107</v>
      </c>
      <c r="M13" s="173">
        <f t="shared" si="1"/>
        <v>0.2449489742783178</v>
      </c>
      <c r="N13" s="67"/>
      <c r="U13" s="57"/>
      <c r="V13" s="63"/>
      <c r="W13" s="57"/>
      <c r="X13" s="57"/>
      <c r="AA13" s="63"/>
    </row>
    <row r="14" spans="1:47" x14ac:dyDescent="0.2">
      <c r="A14" s="78" t="s">
        <v>72</v>
      </c>
      <c r="B14" s="79"/>
      <c r="C14" s="79"/>
      <c r="D14" s="79"/>
      <c r="E14" s="80">
        <v>905.01199999999994</v>
      </c>
      <c r="F14" s="81"/>
      <c r="G14" s="69" t="s">
        <v>73</v>
      </c>
      <c r="H14" s="189">
        <v>0.06</v>
      </c>
      <c r="I14" s="186">
        <f t="shared" si="0"/>
        <v>2.6999999999999997</v>
      </c>
      <c r="J14" s="190">
        <v>75</v>
      </c>
      <c r="K14" s="190">
        <f t="shared" si="2"/>
        <v>75</v>
      </c>
      <c r="L14" s="190">
        <v>106</v>
      </c>
      <c r="M14" s="173">
        <f t="shared" si="1"/>
        <v>0.2449489742783178</v>
      </c>
      <c r="N14" s="67"/>
    </row>
    <row r="15" spans="1:47" x14ac:dyDescent="0.2">
      <c r="A15" s="82" t="s">
        <v>74</v>
      </c>
      <c r="B15" s="79"/>
      <c r="C15" s="79"/>
      <c r="D15" s="79"/>
      <c r="E15" s="80">
        <f>E14-E13</f>
        <v>109.77699999999993</v>
      </c>
      <c r="F15" s="81"/>
      <c r="G15" s="69" t="s">
        <v>75</v>
      </c>
      <c r="H15" s="189">
        <v>5.5E-2</v>
      </c>
      <c r="I15" s="186">
        <f t="shared" si="0"/>
        <v>2.4750000000000001</v>
      </c>
      <c r="J15" s="190">
        <v>75</v>
      </c>
      <c r="K15" s="190">
        <f t="shared" si="2"/>
        <v>75</v>
      </c>
      <c r="L15" s="190">
        <v>105</v>
      </c>
      <c r="M15" s="173">
        <f t="shared" si="1"/>
        <v>0.23452078799117149</v>
      </c>
      <c r="N15" s="67"/>
      <c r="U15" s="57"/>
    </row>
    <row r="16" spans="1:47" x14ac:dyDescent="0.2">
      <c r="A16" s="82" t="s">
        <v>76</v>
      </c>
      <c r="B16" s="79"/>
      <c r="C16" s="79"/>
      <c r="D16" s="79"/>
      <c r="E16" s="83">
        <f>K46</f>
        <v>237.70000000000016</v>
      </c>
      <c r="F16" s="81"/>
      <c r="G16" s="69" t="s">
        <v>77</v>
      </c>
      <c r="H16" s="189">
        <v>4.4999999999999998E-2</v>
      </c>
      <c r="I16" s="186">
        <f t="shared" si="0"/>
        <v>2.0249999999999999</v>
      </c>
      <c r="J16" s="190">
        <v>75</v>
      </c>
      <c r="K16" s="190">
        <f t="shared" si="2"/>
        <v>75</v>
      </c>
      <c r="L16" s="190">
        <v>105</v>
      </c>
      <c r="M16" s="173">
        <f t="shared" si="1"/>
        <v>0.21213203435596426</v>
      </c>
      <c r="N16" s="67"/>
    </row>
    <row r="17" spans="1:24" ht="15.75" x14ac:dyDescent="0.25">
      <c r="A17" s="84" t="s">
        <v>78</v>
      </c>
      <c r="B17" s="79"/>
      <c r="C17" s="79"/>
      <c r="D17" s="79"/>
      <c r="E17" s="282">
        <v>-8.5000000000000006E-2</v>
      </c>
      <c r="F17" s="81"/>
      <c r="G17" s="69" t="s">
        <v>79</v>
      </c>
      <c r="H17" s="189">
        <v>4.4999999999999998E-2</v>
      </c>
      <c r="I17" s="186">
        <f t="shared" si="0"/>
        <v>2.0249999999999999</v>
      </c>
      <c r="J17" s="190">
        <v>76</v>
      </c>
      <c r="K17" s="190">
        <f t="shared" si="2"/>
        <v>76</v>
      </c>
      <c r="L17" s="190">
        <v>106</v>
      </c>
      <c r="M17" s="173">
        <f t="shared" si="1"/>
        <v>0.21213203435596426</v>
      </c>
      <c r="N17" s="67"/>
      <c r="U17" s="57"/>
    </row>
    <row r="18" spans="1:24" ht="15.75" x14ac:dyDescent="0.25">
      <c r="A18" s="84" t="s">
        <v>80</v>
      </c>
      <c r="B18" s="79"/>
      <c r="C18" s="79"/>
      <c r="D18" s="79"/>
      <c r="E18" s="85">
        <v>30.05</v>
      </c>
      <c r="F18" s="81"/>
      <c r="G18" s="69" t="s">
        <v>81</v>
      </c>
      <c r="H18" s="189">
        <v>0.05</v>
      </c>
      <c r="I18" s="186">
        <f t="shared" si="0"/>
        <v>2.25</v>
      </c>
      <c r="J18" s="190">
        <v>78</v>
      </c>
      <c r="K18" s="190">
        <f t="shared" si="2"/>
        <v>78</v>
      </c>
      <c r="L18" s="190">
        <v>106</v>
      </c>
      <c r="M18" s="173">
        <f t="shared" si="1"/>
        <v>0.22360679774997896</v>
      </c>
      <c r="N18" s="67"/>
    </row>
    <row r="19" spans="1:24" x14ac:dyDescent="0.2">
      <c r="A19" s="82" t="s">
        <v>247</v>
      </c>
      <c r="B19" s="79"/>
      <c r="C19" s="79"/>
      <c r="D19" s="79"/>
      <c r="E19" s="86">
        <f>CEMS!D28</f>
        <v>7.4914662921348372</v>
      </c>
      <c r="F19" s="81"/>
      <c r="G19" s="69" t="s">
        <v>82</v>
      </c>
      <c r="H19" s="189">
        <v>5.5E-2</v>
      </c>
      <c r="I19" s="186">
        <f t="shared" si="0"/>
        <v>2.4750000000000001</v>
      </c>
      <c r="J19" s="190">
        <v>77</v>
      </c>
      <c r="K19" s="190">
        <f t="shared" si="2"/>
        <v>77</v>
      </c>
      <c r="L19" s="190">
        <v>106</v>
      </c>
      <c r="M19" s="173">
        <f t="shared" si="1"/>
        <v>0.23452078799117149</v>
      </c>
      <c r="N19" s="67"/>
      <c r="U19" s="57"/>
      <c r="W19" s="57"/>
      <c r="X19" s="57"/>
    </row>
    <row r="20" spans="1:24" x14ac:dyDescent="0.2">
      <c r="A20" s="82" t="s">
        <v>83</v>
      </c>
      <c r="B20" s="79"/>
      <c r="C20" s="79"/>
      <c r="D20" s="79"/>
      <c r="E20" s="86">
        <f>CEMS!D21</f>
        <v>13.216702741702736</v>
      </c>
      <c r="F20" s="81"/>
      <c r="G20" s="69" t="s">
        <v>84</v>
      </c>
      <c r="H20" s="189">
        <v>5.5E-2</v>
      </c>
      <c r="I20" s="186">
        <f t="shared" si="0"/>
        <v>2.4750000000000001</v>
      </c>
      <c r="J20" s="190">
        <v>77</v>
      </c>
      <c r="K20" s="190">
        <f t="shared" si="2"/>
        <v>77</v>
      </c>
      <c r="L20" s="190">
        <v>106</v>
      </c>
      <c r="M20" s="173">
        <f t="shared" si="1"/>
        <v>0.23452078799117149</v>
      </c>
      <c r="N20" s="67"/>
      <c r="U20" s="57"/>
      <c r="W20" s="57"/>
    </row>
    <row r="21" spans="1:24" x14ac:dyDescent="0.2">
      <c r="A21" s="82" t="s">
        <v>85</v>
      </c>
      <c r="B21" s="79"/>
      <c r="C21" s="79"/>
      <c r="D21" s="79"/>
      <c r="E21" s="80">
        <v>0.502</v>
      </c>
      <c r="F21" s="81"/>
      <c r="G21" s="69" t="s">
        <v>86</v>
      </c>
      <c r="H21" s="189">
        <v>5.5E-2</v>
      </c>
      <c r="I21" s="186">
        <f t="shared" si="0"/>
        <v>2.4750000000000001</v>
      </c>
      <c r="J21" s="190">
        <v>78</v>
      </c>
      <c r="K21" s="190">
        <f t="shared" si="2"/>
        <v>78</v>
      </c>
      <c r="L21" s="190">
        <v>107</v>
      </c>
      <c r="M21" s="173">
        <f t="shared" si="1"/>
        <v>0.23452078799117149</v>
      </c>
      <c r="N21" s="67"/>
      <c r="W21" s="57"/>
      <c r="X21" s="57"/>
    </row>
    <row r="22" spans="1:24" x14ac:dyDescent="0.2">
      <c r="A22" s="82" t="s">
        <v>87</v>
      </c>
      <c r="B22" s="79"/>
      <c r="C22" s="79"/>
      <c r="D22" s="79"/>
      <c r="E22" s="87">
        <v>0.83</v>
      </c>
      <c r="F22" s="81"/>
      <c r="G22" s="69" t="s">
        <v>88</v>
      </c>
      <c r="H22" s="189">
        <v>5.5E-2</v>
      </c>
      <c r="I22" s="186">
        <f t="shared" si="0"/>
        <v>2.4750000000000001</v>
      </c>
      <c r="J22" s="190">
        <v>77</v>
      </c>
      <c r="K22" s="190">
        <f t="shared" si="2"/>
        <v>77</v>
      </c>
      <c r="L22" s="190">
        <v>107</v>
      </c>
      <c r="M22" s="173">
        <f t="shared" si="1"/>
        <v>0.23452078799117149</v>
      </c>
      <c r="N22" s="67"/>
      <c r="W22" s="57"/>
    </row>
    <row r="23" spans="1:24" x14ac:dyDescent="0.2">
      <c r="A23" s="82" t="s">
        <v>89</v>
      </c>
      <c r="B23" s="79"/>
      <c r="C23" s="79"/>
      <c r="D23" s="79"/>
      <c r="E23" s="86">
        <v>0.99</v>
      </c>
      <c r="F23" s="81"/>
      <c r="G23" s="69" t="s">
        <v>90</v>
      </c>
      <c r="H23" s="189">
        <v>0.06</v>
      </c>
      <c r="I23" s="186">
        <f t="shared" si="0"/>
        <v>2.6999999999999997</v>
      </c>
      <c r="J23" s="190">
        <v>78</v>
      </c>
      <c r="K23" s="190">
        <f t="shared" si="2"/>
        <v>78</v>
      </c>
      <c r="L23" s="190">
        <v>106</v>
      </c>
      <c r="M23" s="173">
        <f t="shared" si="1"/>
        <v>0.2449489742783178</v>
      </c>
      <c r="N23" s="67"/>
      <c r="U23" s="57"/>
      <c r="W23" s="57"/>
      <c r="X23" s="57"/>
    </row>
    <row r="24" spans="1:24" x14ac:dyDescent="0.2">
      <c r="A24" s="82" t="s">
        <v>91</v>
      </c>
      <c r="B24" s="79"/>
      <c r="C24" s="79"/>
      <c r="D24" s="79"/>
      <c r="E24" s="83">
        <v>85</v>
      </c>
      <c r="G24" s="69" t="s">
        <v>92</v>
      </c>
      <c r="H24" s="189">
        <v>0.06</v>
      </c>
      <c r="I24" s="186">
        <f t="shared" si="0"/>
        <v>2.6999999999999997</v>
      </c>
      <c r="J24" s="190">
        <v>77</v>
      </c>
      <c r="K24" s="190">
        <f t="shared" si="2"/>
        <v>77</v>
      </c>
      <c r="L24" s="190">
        <v>106</v>
      </c>
      <c r="M24" s="173">
        <f t="shared" si="1"/>
        <v>0.2449489742783178</v>
      </c>
      <c r="N24" s="67"/>
      <c r="W24" s="57"/>
      <c r="X24" s="57"/>
    </row>
    <row r="25" spans="1:24" x14ac:dyDescent="0.2">
      <c r="A25" s="82" t="s">
        <v>93</v>
      </c>
      <c r="B25" s="79"/>
      <c r="C25" s="79"/>
      <c r="D25" s="79"/>
      <c r="E25" s="80">
        <f>E24*E24/183.3465</f>
        <v>39.406260823086342</v>
      </c>
      <c r="G25" s="69" t="s">
        <v>94</v>
      </c>
      <c r="H25" s="189">
        <v>6.5000000000000002E-2</v>
      </c>
      <c r="I25" s="186">
        <f t="shared" si="0"/>
        <v>2.9250000000000003</v>
      </c>
      <c r="J25" s="190">
        <v>77</v>
      </c>
      <c r="K25" s="190">
        <f t="shared" si="2"/>
        <v>77</v>
      </c>
      <c r="L25" s="190">
        <v>107</v>
      </c>
      <c r="M25" s="173">
        <f t="shared" si="1"/>
        <v>0.25495097567963926</v>
      </c>
      <c r="N25" s="67"/>
      <c r="W25" s="57"/>
      <c r="X25" s="57"/>
    </row>
    <row r="26" spans="1:24" x14ac:dyDescent="0.2">
      <c r="A26" s="88" t="s">
        <v>95</v>
      </c>
      <c r="B26" s="89"/>
      <c r="C26" s="89"/>
      <c r="D26" s="89"/>
      <c r="E26" s="90">
        <v>120</v>
      </c>
      <c r="G26" s="69" t="s">
        <v>96</v>
      </c>
      <c r="H26" s="189">
        <v>0.06</v>
      </c>
      <c r="I26" s="186">
        <f t="shared" si="0"/>
        <v>2.6999999999999997</v>
      </c>
      <c r="J26" s="190">
        <v>78</v>
      </c>
      <c r="K26" s="190">
        <f t="shared" si="2"/>
        <v>78</v>
      </c>
      <c r="L26" s="190">
        <v>106</v>
      </c>
      <c r="M26" s="173">
        <f t="shared" si="1"/>
        <v>0.2449489742783178</v>
      </c>
      <c r="N26" s="67"/>
    </row>
    <row r="27" spans="1:24" x14ac:dyDescent="0.2">
      <c r="G27" s="69" t="s">
        <v>97</v>
      </c>
      <c r="H27" s="189">
        <v>0.05</v>
      </c>
      <c r="I27" s="186">
        <f t="shared" si="0"/>
        <v>2.25</v>
      </c>
      <c r="J27" s="190">
        <v>78</v>
      </c>
      <c r="K27" s="190">
        <f t="shared" si="2"/>
        <v>78</v>
      </c>
      <c r="L27" s="190">
        <v>106</v>
      </c>
      <c r="M27" s="173">
        <f t="shared" si="1"/>
        <v>0.22360679774997896</v>
      </c>
      <c r="N27" s="67"/>
      <c r="U27" s="57"/>
    </row>
    <row r="28" spans="1:24" x14ac:dyDescent="0.2">
      <c r="A28" s="174"/>
      <c r="E28" s="81"/>
      <c r="F28" s="81"/>
      <c r="G28" s="69" t="s">
        <v>98</v>
      </c>
      <c r="H28" s="189">
        <v>4.4999999999999998E-2</v>
      </c>
      <c r="I28" s="186">
        <f t="shared" si="0"/>
        <v>2.0249999999999999</v>
      </c>
      <c r="J28" s="190">
        <v>77</v>
      </c>
      <c r="K28" s="190">
        <f t="shared" si="2"/>
        <v>77</v>
      </c>
      <c r="L28" s="190">
        <v>106</v>
      </c>
      <c r="M28" s="173">
        <f t="shared" si="1"/>
        <v>0.21213203435596426</v>
      </c>
      <c r="N28" s="67"/>
      <c r="U28" s="57"/>
    </row>
    <row r="29" spans="1:24" x14ac:dyDescent="0.2">
      <c r="E29" s="81"/>
      <c r="F29" s="81"/>
      <c r="G29" s="69" t="s">
        <v>99</v>
      </c>
      <c r="H29" s="189">
        <v>4.4999999999999998E-2</v>
      </c>
      <c r="I29" s="186">
        <f t="shared" si="0"/>
        <v>2.0249999999999999</v>
      </c>
      <c r="J29" s="190">
        <v>77</v>
      </c>
      <c r="K29" s="190">
        <f t="shared" si="2"/>
        <v>77</v>
      </c>
      <c r="L29" s="190">
        <v>105</v>
      </c>
      <c r="M29" s="173">
        <f t="shared" si="1"/>
        <v>0.21213203435596426</v>
      </c>
      <c r="N29" s="67"/>
      <c r="U29" s="57"/>
    </row>
    <row r="30" spans="1:24" ht="15.75" x14ac:dyDescent="0.25">
      <c r="A30" s="151"/>
      <c r="B30" s="152" t="s">
        <v>100</v>
      </c>
      <c r="C30" s="149"/>
      <c r="D30" s="149"/>
      <c r="E30" s="150"/>
      <c r="F30" s="67"/>
      <c r="G30" s="91">
        <v>25</v>
      </c>
      <c r="H30" s="191"/>
      <c r="I30" s="192"/>
      <c r="J30" s="191"/>
      <c r="K30" s="191"/>
      <c r="L30" s="191"/>
      <c r="M30" s="193"/>
      <c r="N30" s="67"/>
      <c r="U30" s="57"/>
    </row>
    <row r="31" spans="1:24" ht="15.75" x14ac:dyDescent="0.25">
      <c r="A31" s="84" t="s">
        <v>101</v>
      </c>
      <c r="B31" s="92"/>
      <c r="C31" s="92"/>
      <c r="D31" s="92"/>
      <c r="E31" s="93">
        <f>((K49+460)/K50)*E15*E23*(E18+(I33/13.6))/(K33+460)</f>
        <v>108.45271540419591</v>
      </c>
      <c r="F31" s="67"/>
      <c r="G31" s="67"/>
      <c r="H31" s="69"/>
      <c r="I31" s="94" t="s">
        <v>102</v>
      </c>
      <c r="J31" s="69"/>
      <c r="K31" s="95" t="s">
        <v>103</v>
      </c>
      <c r="L31" s="69" t="s">
        <v>104</v>
      </c>
      <c r="M31" s="173" t="s">
        <v>105</v>
      </c>
      <c r="N31" s="67"/>
      <c r="U31" s="57"/>
    </row>
    <row r="32" spans="1:24" ht="15.75" x14ac:dyDescent="0.25">
      <c r="A32" s="82" t="s">
        <v>106</v>
      </c>
      <c r="B32" s="92"/>
      <c r="C32" s="92"/>
      <c r="D32" s="92"/>
      <c r="E32" s="96">
        <f>(E16/21.2)</f>
        <v>11.212264150943405</v>
      </c>
      <c r="F32" s="67"/>
      <c r="G32" s="97"/>
      <c r="H32" s="194"/>
      <c r="I32" s="195"/>
      <c r="J32" s="194"/>
      <c r="K32" s="196"/>
      <c r="L32" s="194"/>
      <c r="M32" s="197"/>
      <c r="N32" s="67"/>
      <c r="U32" s="57"/>
    </row>
    <row r="33" spans="1:21" ht="15.75" x14ac:dyDescent="0.25">
      <c r="A33" s="84" t="s">
        <v>107</v>
      </c>
      <c r="B33" s="92"/>
      <c r="C33" s="92"/>
      <c r="D33" s="92"/>
      <c r="E33" s="98">
        <f>(E32/(E31+E32))*100</f>
        <v>9.3697121686107074</v>
      </c>
      <c r="F33" s="67"/>
      <c r="G33" s="169" t="s">
        <v>218</v>
      </c>
      <c r="H33" s="198">
        <f>AVERAGE($H$6:$H$30)</f>
        <v>5.4375000000000014E-2</v>
      </c>
      <c r="I33" s="199">
        <f>AVERAGE($I$6:$I$30)</f>
        <v>2.4468749999999999</v>
      </c>
      <c r="J33" s="169"/>
      <c r="K33" s="200">
        <f>(AVERAGE($J$6:$J$30)+AVERAGE($K$6:$K$30))/2</f>
        <v>74.583333333333329</v>
      </c>
      <c r="L33" s="201">
        <f>AVERAGE($L$6:$L$30)</f>
        <v>106.125</v>
      </c>
      <c r="M33" s="202">
        <f>SUM($M$6:$M$30)/COUNTA($H$6:$H$30)</f>
        <v>0.23286314283254203</v>
      </c>
      <c r="N33" s="67"/>
      <c r="U33" s="57"/>
    </row>
    <row r="34" spans="1:21" x14ac:dyDescent="0.2">
      <c r="A34" s="82" t="s">
        <v>108</v>
      </c>
      <c r="B34" s="92"/>
      <c r="C34" s="92"/>
      <c r="D34" s="92"/>
      <c r="E34" s="96">
        <f>(E19*0.44)+(E20*0.32)+((100-(E19+E20))*0.28)</f>
        <v>29.727302716409685</v>
      </c>
      <c r="F34" s="67"/>
    </row>
    <row r="35" spans="1:21" x14ac:dyDescent="0.2">
      <c r="A35" s="82" t="s">
        <v>109</v>
      </c>
      <c r="B35" s="92"/>
      <c r="C35" s="92"/>
      <c r="D35" s="92"/>
      <c r="E35" s="99">
        <f>(0.18*E33)+(((100-E33)*E34)/100)</f>
        <v>28.628488206740435</v>
      </c>
      <c r="F35" s="67"/>
      <c r="I35" s="204" t="s">
        <v>45</v>
      </c>
      <c r="J35" s="203">
        <v>45</v>
      </c>
    </row>
    <row r="36" spans="1:21" x14ac:dyDescent="0.2">
      <c r="A36" s="82" t="s">
        <v>110</v>
      </c>
      <c r="B36" s="92"/>
      <c r="C36" s="92"/>
      <c r="D36" s="92"/>
      <c r="E36" s="99">
        <f>(E17/13.6)+E18</f>
        <v>30.043749999999999</v>
      </c>
      <c r="F36" s="67"/>
    </row>
    <row r="37" spans="1:21" ht="15.75" x14ac:dyDescent="0.25">
      <c r="A37" s="100" t="s">
        <v>112</v>
      </c>
      <c r="B37" s="76"/>
      <c r="C37" s="76"/>
      <c r="D37" s="76"/>
      <c r="E37" s="101"/>
      <c r="F37" s="67"/>
      <c r="I37" s="444" t="s">
        <v>59</v>
      </c>
      <c r="J37" s="445"/>
      <c r="K37" s="446"/>
    </row>
    <row r="38" spans="1:21" ht="15.75" x14ac:dyDescent="0.25">
      <c r="A38" s="102"/>
      <c r="B38" s="103" t="s">
        <v>114</v>
      </c>
      <c r="C38" s="104"/>
      <c r="D38" s="104"/>
      <c r="E38" s="98">
        <f>(((L33+460)/(E35*E36))^0.5)*M33*85.49*E22</f>
        <v>13.405223334030081</v>
      </c>
      <c r="F38" s="67"/>
      <c r="I38" s="205" t="s">
        <v>62</v>
      </c>
      <c r="J38" s="205" t="s">
        <v>63</v>
      </c>
      <c r="K38" s="205" t="s">
        <v>64</v>
      </c>
    </row>
    <row r="39" spans="1:21" x14ac:dyDescent="0.2">
      <c r="A39" s="102"/>
      <c r="B39" s="105" t="s">
        <v>116</v>
      </c>
      <c r="C39" s="92"/>
      <c r="D39" s="92"/>
      <c r="E39" s="99">
        <f>(((K49+460)/K50)*E36*E38)/(L33+460)</f>
        <v>12.554175425041743</v>
      </c>
      <c r="F39" s="67"/>
      <c r="I39" s="206">
        <v>581.20000000000005</v>
      </c>
      <c r="J39" s="206">
        <v>541.29999999999995</v>
      </c>
      <c r="K39" s="206">
        <f t="shared" ref="K39:K45" si="3">I39-J39</f>
        <v>39.900000000000091</v>
      </c>
    </row>
    <row r="40" spans="1:21" x14ac:dyDescent="0.2">
      <c r="A40" s="102"/>
      <c r="B40" s="105" t="s">
        <v>118</v>
      </c>
      <c r="C40" s="92"/>
      <c r="D40" s="92"/>
      <c r="E40" s="99">
        <f>(E31+E32)/(((((E21/2)^2)*3.14)/144)*E26*60)</f>
        <v>12.098178156017473</v>
      </c>
      <c r="F40" s="67"/>
      <c r="I40" s="206">
        <v>882.4</v>
      </c>
      <c r="J40" s="206">
        <v>767.8</v>
      </c>
      <c r="K40" s="206">
        <f t="shared" si="3"/>
        <v>114.60000000000002</v>
      </c>
    </row>
    <row r="41" spans="1:21" x14ac:dyDescent="0.2">
      <c r="A41" s="100" t="s">
        <v>120</v>
      </c>
      <c r="B41" s="76"/>
      <c r="C41" s="76"/>
      <c r="D41" s="76"/>
      <c r="E41" s="106"/>
      <c r="F41" s="81"/>
      <c r="I41" s="206">
        <v>843.7</v>
      </c>
      <c r="J41" s="206">
        <v>797.9</v>
      </c>
      <c r="K41" s="206">
        <f t="shared" si="3"/>
        <v>45.800000000000068</v>
      </c>
    </row>
    <row r="42" spans="1:21" ht="15.75" x14ac:dyDescent="0.25">
      <c r="A42" s="107"/>
      <c r="B42" s="108" t="s">
        <v>122</v>
      </c>
      <c r="C42" s="109"/>
      <c r="D42" s="109"/>
      <c r="E42" s="110">
        <f>(E25*E38*60)</f>
        <v>31694.983625550747</v>
      </c>
      <c r="F42" s="81"/>
      <c r="I42" s="206">
        <v>660.4</v>
      </c>
      <c r="J42" s="206">
        <v>650.79999999999995</v>
      </c>
      <c r="K42" s="206">
        <f t="shared" si="3"/>
        <v>9.6000000000000227</v>
      </c>
    </row>
    <row r="43" spans="1:21" ht="15.75" x14ac:dyDescent="0.25">
      <c r="A43" s="107"/>
      <c r="B43" s="108" t="s">
        <v>124</v>
      </c>
      <c r="C43" s="109"/>
      <c r="D43" s="109"/>
      <c r="E43" s="110">
        <f>(E39*E25*60)</f>
        <v>29682.786673078546</v>
      </c>
      <c r="I43" s="206">
        <v>776.3</v>
      </c>
      <c r="J43" s="206">
        <v>771.1</v>
      </c>
      <c r="K43" s="206">
        <f t="shared" si="3"/>
        <v>5.1999999999999318</v>
      </c>
    </row>
    <row r="44" spans="1:21" ht="15.75" x14ac:dyDescent="0.25">
      <c r="A44" s="107"/>
      <c r="B44" s="108" t="s">
        <v>126</v>
      </c>
      <c r="C44" s="109"/>
      <c r="D44" s="109"/>
      <c r="E44" s="110">
        <f>(100-E33)/100*E43</f>
        <v>26901.59499818835</v>
      </c>
      <c r="I44" s="206">
        <v>781.9</v>
      </c>
      <c r="J44" s="206">
        <v>779.9</v>
      </c>
      <c r="K44" s="206">
        <f t="shared" si="3"/>
        <v>2</v>
      </c>
    </row>
    <row r="45" spans="1:21" ht="15.75" x14ac:dyDescent="0.25">
      <c r="A45" s="111" t="s">
        <v>128</v>
      </c>
      <c r="B45" s="112"/>
      <c r="C45" s="112"/>
      <c r="D45" s="112"/>
      <c r="E45" s="113">
        <f>(E40/E39)*100</f>
        <v>96.367764081783548</v>
      </c>
      <c r="I45" s="206">
        <v>933.9</v>
      </c>
      <c r="J45" s="206">
        <v>913.3</v>
      </c>
      <c r="K45" s="206">
        <f t="shared" si="3"/>
        <v>20.600000000000023</v>
      </c>
    </row>
    <row r="46" spans="1:21" x14ac:dyDescent="0.2">
      <c r="I46" s="447" t="s">
        <v>221</v>
      </c>
      <c r="J46" s="448"/>
      <c r="K46" s="207">
        <f>SUM(K39:K45)</f>
        <v>237.70000000000016</v>
      </c>
    </row>
    <row r="48" spans="1:21" ht="15.75" x14ac:dyDescent="0.25">
      <c r="A48" s="148" t="s">
        <v>111</v>
      </c>
      <c r="B48" s="149"/>
      <c r="C48" s="149"/>
      <c r="D48" s="149"/>
      <c r="E48" s="149"/>
      <c r="F48" s="149"/>
      <c r="G48" s="150"/>
    </row>
    <row r="49" spans="1:12" x14ac:dyDescent="0.2">
      <c r="A49" s="170" t="s">
        <v>113</v>
      </c>
      <c r="B49" s="81"/>
      <c r="C49" s="81"/>
      <c r="D49" s="81"/>
      <c r="E49" s="81"/>
      <c r="F49" s="81"/>
      <c r="G49" s="61"/>
      <c r="H49" s="174"/>
      <c r="I49" s="174"/>
      <c r="J49" s="175" t="s">
        <v>132</v>
      </c>
      <c r="K49" s="174">
        <v>68</v>
      </c>
      <c r="L49" s="174" t="s">
        <v>133</v>
      </c>
    </row>
    <row r="50" spans="1:12" x14ac:dyDescent="0.2">
      <c r="A50" s="170" t="s">
        <v>115</v>
      </c>
      <c r="B50" s="81"/>
      <c r="C50" s="81"/>
      <c r="D50" s="81"/>
      <c r="E50" s="81"/>
      <c r="F50" s="81"/>
      <c r="G50" s="61"/>
      <c r="H50" s="174"/>
      <c r="I50" s="174"/>
      <c r="J50" s="174"/>
      <c r="K50" s="174">
        <v>29.92</v>
      </c>
      <c r="L50" s="174" t="s">
        <v>135</v>
      </c>
    </row>
    <row r="51" spans="1:12" x14ac:dyDescent="0.2">
      <c r="A51" s="170" t="s">
        <v>117</v>
      </c>
      <c r="B51" s="81"/>
      <c r="C51" s="81"/>
      <c r="D51" s="81"/>
      <c r="E51" s="81"/>
      <c r="F51" s="81"/>
      <c r="G51" s="61"/>
    </row>
    <row r="52" spans="1:12" x14ac:dyDescent="0.2">
      <c r="A52" s="170" t="s">
        <v>119</v>
      </c>
      <c r="B52" s="81"/>
      <c r="C52" s="81"/>
      <c r="D52" s="81"/>
      <c r="E52" s="81"/>
      <c r="F52" s="81"/>
      <c r="G52" s="61"/>
    </row>
    <row r="53" spans="1:12" x14ac:dyDescent="0.2">
      <c r="A53" s="170" t="s">
        <v>121</v>
      </c>
      <c r="B53" s="81"/>
      <c r="C53" s="81"/>
      <c r="D53" s="81"/>
      <c r="E53" s="81"/>
      <c r="F53" s="81"/>
      <c r="G53" s="61"/>
    </row>
    <row r="54" spans="1:12" ht="15.75" x14ac:dyDescent="0.25">
      <c r="A54" s="170" t="s">
        <v>123</v>
      </c>
      <c r="B54" s="81"/>
      <c r="C54" s="81"/>
      <c r="D54" s="81"/>
      <c r="E54" s="81"/>
      <c r="F54" s="81"/>
      <c r="G54" s="61"/>
      <c r="I54" s="168" t="s">
        <v>217</v>
      </c>
    </row>
    <row r="55" spans="1:12" x14ac:dyDescent="0.2">
      <c r="A55" s="170" t="s">
        <v>125</v>
      </c>
      <c r="B55" s="81"/>
      <c r="C55" s="81"/>
      <c r="D55" s="81"/>
      <c r="E55" s="81"/>
      <c r="F55" s="81"/>
      <c r="G55" s="61"/>
    </row>
    <row r="56" spans="1:12" x14ac:dyDescent="0.2">
      <c r="A56" s="170" t="s">
        <v>127</v>
      </c>
      <c r="B56" s="81"/>
      <c r="C56" s="81"/>
      <c r="D56" s="81"/>
      <c r="E56" s="81"/>
      <c r="F56" s="81"/>
      <c r="G56" s="61"/>
    </row>
    <row r="57" spans="1:12" x14ac:dyDescent="0.2">
      <c r="A57" s="170" t="s">
        <v>129</v>
      </c>
      <c r="B57" s="81"/>
      <c r="C57" s="81"/>
      <c r="D57" s="81"/>
      <c r="E57" s="81"/>
      <c r="F57" s="81"/>
      <c r="G57" s="61"/>
    </row>
    <row r="58" spans="1:12" x14ac:dyDescent="0.2">
      <c r="A58" s="170" t="s">
        <v>130</v>
      </c>
      <c r="B58" s="81"/>
      <c r="C58" s="81"/>
      <c r="D58" s="81"/>
      <c r="E58" s="81"/>
      <c r="F58" s="81"/>
      <c r="G58" s="61"/>
    </row>
    <row r="59" spans="1:12" x14ac:dyDescent="0.2">
      <c r="A59" s="170" t="s">
        <v>131</v>
      </c>
      <c r="B59" s="81"/>
      <c r="C59" s="81"/>
      <c r="D59" s="81"/>
      <c r="E59" s="81"/>
      <c r="F59" s="81"/>
      <c r="G59" s="61"/>
    </row>
    <row r="60" spans="1:12" x14ac:dyDescent="0.2">
      <c r="A60" s="170" t="s">
        <v>134</v>
      </c>
      <c r="B60" s="81"/>
      <c r="C60" s="81"/>
      <c r="D60" s="81"/>
      <c r="E60" s="81"/>
      <c r="F60" s="81"/>
      <c r="G60" s="61"/>
    </row>
    <row r="61" spans="1:12" ht="16.5" x14ac:dyDescent="0.2">
      <c r="A61" s="171" t="s">
        <v>219</v>
      </c>
      <c r="B61" s="81"/>
      <c r="C61" s="81"/>
      <c r="D61" s="81"/>
      <c r="E61" s="81"/>
      <c r="F61" s="81"/>
      <c r="G61" s="61"/>
    </row>
    <row r="62" spans="1:12" x14ac:dyDescent="0.2">
      <c r="A62" s="172" t="s">
        <v>136</v>
      </c>
      <c r="B62" s="73"/>
      <c r="C62" s="73"/>
      <c r="D62" s="73"/>
      <c r="E62" s="73"/>
      <c r="F62" s="73"/>
      <c r="G62" s="114"/>
    </row>
  </sheetData>
  <mergeCells count="2">
    <mergeCell ref="I37:K37"/>
    <mergeCell ref="I46:J46"/>
  </mergeCells>
  <phoneticPr fontId="6" type="noConversion"/>
  <pageMargins left="0.95" right="0.7" top="0.75" bottom="0.75" header="0.3" footer="0.3"/>
  <pageSetup scale="6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62"/>
  <sheetViews>
    <sheetView showGridLines="0" zoomScale="80" zoomScaleNormal="80" workbookViewId="0">
      <selection activeCell="C7" sqref="C7"/>
    </sheetView>
  </sheetViews>
  <sheetFormatPr defaultRowHeight="15" x14ac:dyDescent="0.2"/>
  <cols>
    <col min="1" max="1" width="10.77734375" style="53" customWidth="1"/>
    <col min="2" max="2" width="10.109375" style="53" customWidth="1"/>
    <col min="3" max="3" width="11.109375" style="53" customWidth="1"/>
    <col min="4" max="4" width="8.88671875" style="53"/>
    <col min="5" max="5" width="10.77734375" style="53" customWidth="1"/>
    <col min="6" max="6" width="1.77734375" style="53" customWidth="1"/>
    <col min="7" max="13" width="8.44140625" style="53" customWidth="1"/>
    <col min="14" max="14" width="4.77734375" style="53" customWidth="1"/>
    <col min="15" max="20" width="8.88671875" style="53"/>
    <col min="21" max="21" width="17.77734375" style="53" customWidth="1"/>
    <col min="22" max="22" width="8.88671875" style="53"/>
    <col min="23" max="23" width="6.77734375" style="53" customWidth="1"/>
    <col min="24" max="24" width="11.77734375" style="53" customWidth="1"/>
    <col min="25" max="25" width="10.77734375" style="53" customWidth="1"/>
    <col min="26" max="26" width="6.77734375" style="53" customWidth="1"/>
    <col min="27" max="27" width="8.88671875" style="53"/>
    <col min="28" max="28" width="3.77734375" style="53" customWidth="1"/>
    <col min="29" max="16384" width="8.88671875" style="53"/>
  </cols>
  <sheetData>
    <row r="1" spans="1:47" ht="30" x14ac:dyDescent="0.4">
      <c r="D1" s="54" t="s">
        <v>37</v>
      </c>
      <c r="E1" s="55"/>
      <c r="F1" s="56"/>
      <c r="U1" s="57"/>
      <c r="X1" s="57"/>
      <c r="AU1" s="57"/>
    </row>
    <row r="3" spans="1:47" ht="15.75" x14ac:dyDescent="0.25">
      <c r="A3" s="153"/>
      <c r="B3" s="154" t="s">
        <v>38</v>
      </c>
      <c r="C3" s="58" t="s">
        <v>446</v>
      </c>
      <c r="D3" s="59"/>
      <c r="E3" s="60"/>
      <c r="F3" s="61"/>
      <c r="G3" s="160" t="s">
        <v>39</v>
      </c>
      <c r="H3" s="160" t="s">
        <v>40</v>
      </c>
      <c r="I3" s="160" t="s">
        <v>41</v>
      </c>
      <c r="J3" s="161" t="s">
        <v>42</v>
      </c>
      <c r="K3" s="162"/>
      <c r="L3" s="163" t="s">
        <v>43</v>
      </c>
      <c r="M3" s="163" t="s">
        <v>44</v>
      </c>
      <c r="U3" s="57"/>
      <c r="X3" s="57"/>
    </row>
    <row r="4" spans="1:47" ht="15.75" x14ac:dyDescent="0.25">
      <c r="A4" s="155"/>
      <c r="B4" s="156" t="s">
        <v>46</v>
      </c>
      <c r="C4" s="62" t="s">
        <v>447</v>
      </c>
      <c r="D4" s="63"/>
      <c r="E4" s="64"/>
      <c r="F4" s="61"/>
      <c r="G4" s="164" t="s">
        <v>47</v>
      </c>
      <c r="H4" s="164" t="s">
        <v>48</v>
      </c>
      <c r="I4" s="164" t="s">
        <v>48</v>
      </c>
      <c r="J4" s="160" t="s">
        <v>49</v>
      </c>
      <c r="K4" s="160" t="s">
        <v>50</v>
      </c>
      <c r="L4" s="164" t="s">
        <v>51</v>
      </c>
      <c r="M4" s="165" t="s">
        <v>52</v>
      </c>
      <c r="U4" s="57"/>
      <c r="AU4" s="57"/>
    </row>
    <row r="5" spans="1:47" ht="15.75" x14ac:dyDescent="0.25">
      <c r="A5" s="155"/>
      <c r="B5" s="157" t="s">
        <v>53</v>
      </c>
      <c r="C5" s="65" t="s">
        <v>243</v>
      </c>
      <c r="D5" s="63"/>
      <c r="E5" s="64"/>
      <c r="F5" s="61"/>
      <c r="G5" s="166"/>
      <c r="H5" s="166"/>
      <c r="I5" s="167"/>
      <c r="J5" s="164" t="s">
        <v>54</v>
      </c>
      <c r="K5" s="164" t="s">
        <v>54</v>
      </c>
      <c r="L5" s="164" t="s">
        <v>54</v>
      </c>
      <c r="M5" s="165" t="s">
        <v>40</v>
      </c>
      <c r="W5" s="57"/>
    </row>
    <row r="6" spans="1:47" ht="15.75" x14ac:dyDescent="0.25">
      <c r="A6" s="155"/>
      <c r="B6" s="157" t="s">
        <v>220</v>
      </c>
      <c r="C6" s="65" t="s">
        <v>258</v>
      </c>
      <c r="D6" s="63"/>
      <c r="E6" s="64"/>
      <c r="G6" s="66" t="s">
        <v>1</v>
      </c>
      <c r="H6" s="185">
        <v>0.05</v>
      </c>
      <c r="I6" s="186">
        <f t="shared" ref="I6:I29" si="0">H6*$J$35</f>
        <v>2.3000000000000003</v>
      </c>
      <c r="J6" s="187">
        <v>74</v>
      </c>
      <c r="K6" s="187">
        <f>J6</f>
        <v>74</v>
      </c>
      <c r="L6" s="187">
        <v>107</v>
      </c>
      <c r="M6" s="188">
        <f t="shared" ref="M6:M30" si="1">SQRT(H6)</f>
        <v>0.22360679774997896</v>
      </c>
      <c r="N6" s="67"/>
      <c r="U6" s="57"/>
      <c r="X6" s="63"/>
      <c r="AU6" s="57"/>
    </row>
    <row r="7" spans="1:47" ht="15.75" x14ac:dyDescent="0.25">
      <c r="A7" s="155"/>
      <c r="B7" s="157" t="s">
        <v>55</v>
      </c>
      <c r="C7" s="68">
        <v>41855</v>
      </c>
      <c r="D7" s="63"/>
      <c r="E7" s="64"/>
      <c r="G7" s="69" t="s">
        <v>2</v>
      </c>
      <c r="H7" s="189">
        <v>0.05</v>
      </c>
      <c r="I7" s="186">
        <f t="shared" si="0"/>
        <v>2.3000000000000003</v>
      </c>
      <c r="J7" s="190">
        <v>75</v>
      </c>
      <c r="K7" s="190">
        <f>J7</f>
        <v>75</v>
      </c>
      <c r="L7" s="190">
        <v>107</v>
      </c>
      <c r="M7" s="173">
        <f t="shared" si="1"/>
        <v>0.22360679774997896</v>
      </c>
      <c r="N7" s="67"/>
      <c r="Z7" s="57"/>
    </row>
    <row r="8" spans="1:47" ht="15.75" x14ac:dyDescent="0.25">
      <c r="A8" s="155"/>
      <c r="B8" s="157" t="s">
        <v>56</v>
      </c>
      <c r="C8" s="115" t="s">
        <v>57</v>
      </c>
      <c r="D8" s="63"/>
      <c r="E8" s="64"/>
      <c r="G8" s="69" t="s">
        <v>58</v>
      </c>
      <c r="H8" s="189">
        <v>6.5000000000000002E-2</v>
      </c>
      <c r="I8" s="186">
        <f t="shared" si="0"/>
        <v>2.99</v>
      </c>
      <c r="J8" s="190">
        <v>75</v>
      </c>
      <c r="K8" s="190">
        <f t="shared" ref="K8:K29" si="2">J8</f>
        <v>75</v>
      </c>
      <c r="L8" s="190">
        <v>109</v>
      </c>
      <c r="M8" s="173">
        <f t="shared" si="1"/>
        <v>0.25495097567963926</v>
      </c>
      <c r="N8" s="67"/>
      <c r="U8" s="57"/>
      <c r="AU8" s="57"/>
    </row>
    <row r="9" spans="1:47" ht="15.75" x14ac:dyDescent="0.25">
      <c r="A9" s="155"/>
      <c r="B9" s="156" t="s">
        <v>60</v>
      </c>
      <c r="C9" s="70">
        <v>2</v>
      </c>
      <c r="D9" s="71"/>
      <c r="E9" s="64"/>
      <c r="G9" s="69" t="s">
        <v>61</v>
      </c>
      <c r="H9" s="189">
        <v>0.06</v>
      </c>
      <c r="I9" s="186">
        <f t="shared" si="0"/>
        <v>2.76</v>
      </c>
      <c r="J9" s="190">
        <v>75</v>
      </c>
      <c r="K9" s="190">
        <f t="shared" si="2"/>
        <v>75</v>
      </c>
      <c r="L9" s="190">
        <v>108</v>
      </c>
      <c r="M9" s="173">
        <f t="shared" si="1"/>
        <v>0.2449489742783178</v>
      </c>
      <c r="N9" s="67"/>
      <c r="U9" s="57"/>
    </row>
    <row r="10" spans="1:47" ht="15.75" x14ac:dyDescent="0.25">
      <c r="A10" s="158"/>
      <c r="B10" s="159" t="s">
        <v>65</v>
      </c>
      <c r="C10" s="72" t="s">
        <v>248</v>
      </c>
      <c r="D10" s="73"/>
      <c r="E10" s="74" t="s">
        <v>445</v>
      </c>
      <c r="G10" s="69" t="s">
        <v>66</v>
      </c>
      <c r="H10" s="189">
        <v>0.06</v>
      </c>
      <c r="I10" s="186">
        <f t="shared" si="0"/>
        <v>2.76</v>
      </c>
      <c r="J10" s="190">
        <v>75</v>
      </c>
      <c r="K10" s="190">
        <f t="shared" si="2"/>
        <v>75</v>
      </c>
      <c r="L10" s="190">
        <v>108</v>
      </c>
      <c r="M10" s="173">
        <f t="shared" si="1"/>
        <v>0.2449489742783178</v>
      </c>
      <c r="N10" s="67"/>
    </row>
    <row r="11" spans="1:47" x14ac:dyDescent="0.2">
      <c r="G11" s="69" t="s">
        <v>67</v>
      </c>
      <c r="H11" s="189">
        <v>0.06</v>
      </c>
      <c r="I11" s="186">
        <f t="shared" si="0"/>
        <v>2.76</v>
      </c>
      <c r="J11" s="190">
        <v>76</v>
      </c>
      <c r="K11" s="190">
        <f t="shared" si="2"/>
        <v>76</v>
      </c>
      <c r="L11" s="190">
        <v>109</v>
      </c>
      <c r="M11" s="173">
        <f t="shared" si="1"/>
        <v>0.2449489742783178</v>
      </c>
      <c r="N11" s="67"/>
      <c r="U11" s="57"/>
      <c r="W11" s="57"/>
      <c r="X11" s="57"/>
    </row>
    <row r="12" spans="1:47" ht="15.75" x14ac:dyDescent="0.25">
      <c r="A12" s="151"/>
      <c r="B12" s="152" t="s">
        <v>68</v>
      </c>
      <c r="C12" s="149"/>
      <c r="D12" s="149"/>
      <c r="E12" s="150"/>
      <c r="G12" s="69" t="s">
        <v>69</v>
      </c>
      <c r="H12" s="189">
        <v>5.5E-2</v>
      </c>
      <c r="I12" s="186">
        <f t="shared" si="0"/>
        <v>2.5299999999999998</v>
      </c>
      <c r="J12" s="190">
        <v>76</v>
      </c>
      <c r="K12" s="190">
        <f t="shared" si="2"/>
        <v>76</v>
      </c>
      <c r="L12" s="190">
        <v>108</v>
      </c>
      <c r="M12" s="173">
        <f t="shared" si="1"/>
        <v>0.23452078799117149</v>
      </c>
      <c r="N12" s="67"/>
      <c r="U12" s="57"/>
      <c r="V12" s="63"/>
      <c r="W12" s="57"/>
      <c r="X12" s="57"/>
      <c r="AA12" s="63"/>
    </row>
    <row r="13" spans="1:47" x14ac:dyDescent="0.2">
      <c r="A13" s="75" t="s">
        <v>70</v>
      </c>
      <c r="B13" s="76"/>
      <c r="C13" s="76"/>
      <c r="D13" s="76"/>
      <c r="E13" s="77">
        <v>905.46500000000003</v>
      </c>
      <c r="G13" s="69" t="s">
        <v>71</v>
      </c>
      <c r="H13" s="189">
        <v>5.5E-2</v>
      </c>
      <c r="I13" s="186">
        <f t="shared" si="0"/>
        <v>2.5299999999999998</v>
      </c>
      <c r="J13" s="190">
        <v>76</v>
      </c>
      <c r="K13" s="190">
        <f t="shared" si="2"/>
        <v>76</v>
      </c>
      <c r="L13" s="190">
        <v>108</v>
      </c>
      <c r="M13" s="173">
        <f t="shared" si="1"/>
        <v>0.23452078799117149</v>
      </c>
      <c r="N13" s="67"/>
      <c r="U13" s="57"/>
      <c r="V13" s="63"/>
      <c r="W13" s="57"/>
      <c r="X13" s="57"/>
      <c r="AA13" s="63"/>
    </row>
    <row r="14" spans="1:47" x14ac:dyDescent="0.2">
      <c r="A14" s="78" t="s">
        <v>72</v>
      </c>
      <c r="B14" s="79"/>
      <c r="C14" s="79"/>
      <c r="D14" s="79"/>
      <c r="E14" s="80">
        <v>1020.374</v>
      </c>
      <c r="F14" s="81"/>
      <c r="G14" s="69" t="s">
        <v>73</v>
      </c>
      <c r="H14" s="189">
        <v>0.06</v>
      </c>
      <c r="I14" s="186">
        <f t="shared" si="0"/>
        <v>2.76</v>
      </c>
      <c r="J14" s="190">
        <v>77</v>
      </c>
      <c r="K14" s="190">
        <f t="shared" si="2"/>
        <v>77</v>
      </c>
      <c r="L14" s="190">
        <v>108</v>
      </c>
      <c r="M14" s="173">
        <f t="shared" si="1"/>
        <v>0.2449489742783178</v>
      </c>
      <c r="N14" s="67"/>
    </row>
    <row r="15" spans="1:47" x14ac:dyDescent="0.2">
      <c r="A15" s="82" t="s">
        <v>74</v>
      </c>
      <c r="B15" s="79"/>
      <c r="C15" s="79"/>
      <c r="D15" s="79"/>
      <c r="E15" s="80">
        <f>E14-E13</f>
        <v>114.90899999999999</v>
      </c>
      <c r="F15" s="81"/>
      <c r="G15" s="69" t="s">
        <v>75</v>
      </c>
      <c r="H15" s="189">
        <v>5.5E-2</v>
      </c>
      <c r="I15" s="186">
        <f t="shared" si="0"/>
        <v>2.5299999999999998</v>
      </c>
      <c r="J15" s="190">
        <v>77</v>
      </c>
      <c r="K15" s="190">
        <f t="shared" si="2"/>
        <v>77</v>
      </c>
      <c r="L15" s="190">
        <v>108</v>
      </c>
      <c r="M15" s="173">
        <f t="shared" si="1"/>
        <v>0.23452078799117149</v>
      </c>
      <c r="N15" s="67"/>
      <c r="U15" s="57"/>
    </row>
    <row r="16" spans="1:47" x14ac:dyDescent="0.2">
      <c r="A16" s="82" t="s">
        <v>76</v>
      </c>
      <c r="B16" s="79"/>
      <c r="C16" s="79"/>
      <c r="D16" s="79"/>
      <c r="E16" s="83">
        <f>K46</f>
        <v>261.20000000000016</v>
      </c>
      <c r="F16" s="81"/>
      <c r="G16" s="69" t="s">
        <v>77</v>
      </c>
      <c r="H16" s="189">
        <v>4.4999999999999998E-2</v>
      </c>
      <c r="I16" s="186">
        <f t="shared" si="0"/>
        <v>2.0699999999999998</v>
      </c>
      <c r="J16" s="190">
        <v>77</v>
      </c>
      <c r="K16" s="190">
        <f t="shared" si="2"/>
        <v>77</v>
      </c>
      <c r="L16" s="190">
        <v>108</v>
      </c>
      <c r="M16" s="173">
        <f t="shared" si="1"/>
        <v>0.21213203435596426</v>
      </c>
      <c r="N16" s="67"/>
    </row>
    <row r="17" spans="1:24" ht="15.75" x14ac:dyDescent="0.25">
      <c r="A17" s="84" t="s">
        <v>78</v>
      </c>
      <c r="B17" s="79"/>
      <c r="C17" s="79"/>
      <c r="D17" s="79"/>
      <c r="E17" s="282">
        <v>-8.5000000000000006E-2</v>
      </c>
      <c r="F17" s="81"/>
      <c r="G17" s="69" t="s">
        <v>79</v>
      </c>
      <c r="H17" s="189">
        <v>4.4999999999999998E-2</v>
      </c>
      <c r="I17" s="186">
        <f t="shared" si="0"/>
        <v>2.0699999999999998</v>
      </c>
      <c r="J17" s="190">
        <v>77</v>
      </c>
      <c r="K17" s="190">
        <f t="shared" si="2"/>
        <v>77</v>
      </c>
      <c r="L17" s="190">
        <v>108</v>
      </c>
      <c r="M17" s="173">
        <f t="shared" si="1"/>
        <v>0.21213203435596426</v>
      </c>
      <c r="N17" s="67"/>
      <c r="U17" s="57"/>
    </row>
    <row r="18" spans="1:24" ht="15.75" x14ac:dyDescent="0.25">
      <c r="A18" s="84" t="s">
        <v>80</v>
      </c>
      <c r="B18" s="79"/>
      <c r="C18" s="79"/>
      <c r="D18" s="79"/>
      <c r="E18" s="85">
        <v>30.02</v>
      </c>
      <c r="F18" s="81"/>
      <c r="G18" s="69" t="s">
        <v>81</v>
      </c>
      <c r="H18" s="189">
        <v>0.05</v>
      </c>
      <c r="I18" s="186">
        <f t="shared" si="0"/>
        <v>2.3000000000000003</v>
      </c>
      <c r="J18" s="190">
        <v>78</v>
      </c>
      <c r="K18" s="190">
        <f t="shared" si="2"/>
        <v>78</v>
      </c>
      <c r="L18" s="190">
        <v>108</v>
      </c>
      <c r="M18" s="173">
        <f t="shared" si="1"/>
        <v>0.22360679774997896</v>
      </c>
      <c r="N18" s="67"/>
    </row>
    <row r="19" spans="1:24" x14ac:dyDescent="0.2">
      <c r="A19" s="82" t="s">
        <v>247</v>
      </c>
      <c r="B19" s="79"/>
      <c r="C19" s="79"/>
      <c r="D19" s="79"/>
      <c r="E19" s="86">
        <f>CEMS!E28</f>
        <v>7.503079096045207</v>
      </c>
      <c r="F19" s="81"/>
      <c r="G19" s="69" t="s">
        <v>82</v>
      </c>
      <c r="H19" s="189">
        <v>5.5E-2</v>
      </c>
      <c r="I19" s="186">
        <f t="shared" si="0"/>
        <v>2.5299999999999998</v>
      </c>
      <c r="J19" s="190">
        <v>78</v>
      </c>
      <c r="K19" s="190">
        <f t="shared" si="2"/>
        <v>78</v>
      </c>
      <c r="L19" s="190">
        <v>108</v>
      </c>
      <c r="M19" s="173">
        <f t="shared" si="1"/>
        <v>0.23452078799117149</v>
      </c>
      <c r="N19" s="67"/>
      <c r="U19" s="57"/>
      <c r="W19" s="57"/>
      <c r="X19" s="57"/>
    </row>
    <row r="20" spans="1:24" x14ac:dyDescent="0.2">
      <c r="A20" s="82" t="s">
        <v>83</v>
      </c>
      <c r="B20" s="79"/>
      <c r="C20" s="79"/>
      <c r="D20" s="79"/>
      <c r="E20" s="86">
        <f>CEMS!E21</f>
        <v>12.26253591954023</v>
      </c>
      <c r="F20" s="81"/>
      <c r="G20" s="69" t="s">
        <v>84</v>
      </c>
      <c r="H20" s="189">
        <v>5.5E-2</v>
      </c>
      <c r="I20" s="186">
        <f t="shared" si="0"/>
        <v>2.5299999999999998</v>
      </c>
      <c r="J20" s="190">
        <v>78</v>
      </c>
      <c r="K20" s="190">
        <f t="shared" si="2"/>
        <v>78</v>
      </c>
      <c r="L20" s="190">
        <v>107</v>
      </c>
      <c r="M20" s="173">
        <f t="shared" si="1"/>
        <v>0.23452078799117149</v>
      </c>
      <c r="N20" s="67"/>
      <c r="U20" s="57"/>
      <c r="W20" s="57"/>
    </row>
    <row r="21" spans="1:24" x14ac:dyDescent="0.2">
      <c r="A21" s="82" t="s">
        <v>85</v>
      </c>
      <c r="B21" s="79"/>
      <c r="C21" s="79"/>
      <c r="D21" s="79"/>
      <c r="E21" s="80">
        <v>0.502</v>
      </c>
      <c r="F21" s="81"/>
      <c r="G21" s="69" t="s">
        <v>86</v>
      </c>
      <c r="H21" s="189">
        <v>0.06</v>
      </c>
      <c r="I21" s="186">
        <f t="shared" si="0"/>
        <v>2.76</v>
      </c>
      <c r="J21" s="190">
        <v>78</v>
      </c>
      <c r="K21" s="190">
        <f t="shared" si="2"/>
        <v>78</v>
      </c>
      <c r="L21" s="190">
        <v>108</v>
      </c>
      <c r="M21" s="173">
        <f t="shared" si="1"/>
        <v>0.2449489742783178</v>
      </c>
      <c r="N21" s="67"/>
      <c r="W21" s="57"/>
      <c r="X21" s="57"/>
    </row>
    <row r="22" spans="1:24" x14ac:dyDescent="0.2">
      <c r="A22" s="82" t="s">
        <v>87</v>
      </c>
      <c r="B22" s="79"/>
      <c r="C22" s="79"/>
      <c r="D22" s="79"/>
      <c r="E22" s="87">
        <v>0.83</v>
      </c>
      <c r="F22" s="81"/>
      <c r="G22" s="69" t="s">
        <v>88</v>
      </c>
      <c r="H22" s="189">
        <v>0.06</v>
      </c>
      <c r="I22" s="186">
        <f t="shared" si="0"/>
        <v>2.76</v>
      </c>
      <c r="J22" s="190">
        <v>79</v>
      </c>
      <c r="K22" s="190">
        <f t="shared" si="2"/>
        <v>79</v>
      </c>
      <c r="L22" s="190">
        <v>108</v>
      </c>
      <c r="M22" s="173">
        <f t="shared" si="1"/>
        <v>0.2449489742783178</v>
      </c>
      <c r="N22" s="67"/>
      <c r="W22" s="57"/>
    </row>
    <row r="23" spans="1:24" x14ac:dyDescent="0.2">
      <c r="A23" s="82" t="s">
        <v>89</v>
      </c>
      <c r="B23" s="79"/>
      <c r="C23" s="79"/>
      <c r="D23" s="79"/>
      <c r="E23" s="86">
        <v>0.99</v>
      </c>
      <c r="F23" s="81"/>
      <c r="G23" s="69" t="s">
        <v>90</v>
      </c>
      <c r="H23" s="189">
        <v>6.5000000000000002E-2</v>
      </c>
      <c r="I23" s="186">
        <f t="shared" si="0"/>
        <v>2.99</v>
      </c>
      <c r="J23" s="190">
        <v>79</v>
      </c>
      <c r="K23" s="190">
        <f t="shared" si="2"/>
        <v>79</v>
      </c>
      <c r="L23" s="190">
        <v>108</v>
      </c>
      <c r="M23" s="173">
        <f t="shared" si="1"/>
        <v>0.25495097567963926</v>
      </c>
      <c r="N23" s="67"/>
      <c r="U23" s="57"/>
      <c r="W23" s="57"/>
      <c r="X23" s="57"/>
    </row>
    <row r="24" spans="1:24" x14ac:dyDescent="0.2">
      <c r="A24" s="82" t="s">
        <v>91</v>
      </c>
      <c r="B24" s="79"/>
      <c r="C24" s="79"/>
      <c r="D24" s="79"/>
      <c r="E24" s="83">
        <v>85</v>
      </c>
      <c r="G24" s="69" t="s">
        <v>92</v>
      </c>
      <c r="H24" s="189">
        <v>6.5000000000000002E-2</v>
      </c>
      <c r="I24" s="186">
        <f t="shared" si="0"/>
        <v>2.99</v>
      </c>
      <c r="J24" s="190">
        <v>79</v>
      </c>
      <c r="K24" s="190">
        <f t="shared" si="2"/>
        <v>79</v>
      </c>
      <c r="L24" s="190">
        <v>107</v>
      </c>
      <c r="M24" s="173">
        <f t="shared" si="1"/>
        <v>0.25495097567963926</v>
      </c>
      <c r="N24" s="67"/>
      <c r="W24" s="57"/>
      <c r="X24" s="57"/>
    </row>
    <row r="25" spans="1:24" x14ac:dyDescent="0.2">
      <c r="A25" s="82" t="s">
        <v>93</v>
      </c>
      <c r="B25" s="79"/>
      <c r="C25" s="79"/>
      <c r="D25" s="79"/>
      <c r="E25" s="80">
        <f>E24*E24/183.3465</f>
        <v>39.406260823086342</v>
      </c>
      <c r="G25" s="69" t="s">
        <v>94</v>
      </c>
      <c r="H25" s="189">
        <v>6.5000000000000002E-2</v>
      </c>
      <c r="I25" s="186">
        <f t="shared" si="0"/>
        <v>2.99</v>
      </c>
      <c r="J25" s="190">
        <v>79</v>
      </c>
      <c r="K25" s="190">
        <f t="shared" si="2"/>
        <v>79</v>
      </c>
      <c r="L25" s="190">
        <v>108</v>
      </c>
      <c r="M25" s="173">
        <f t="shared" si="1"/>
        <v>0.25495097567963926</v>
      </c>
      <c r="N25" s="67"/>
      <c r="W25" s="57"/>
      <c r="X25" s="57"/>
    </row>
    <row r="26" spans="1:24" x14ac:dyDescent="0.2">
      <c r="A26" s="88" t="s">
        <v>95</v>
      </c>
      <c r="B26" s="89"/>
      <c r="C26" s="89"/>
      <c r="D26" s="89"/>
      <c r="E26" s="90">
        <v>120</v>
      </c>
      <c r="G26" s="69" t="s">
        <v>96</v>
      </c>
      <c r="H26" s="189">
        <v>6.5000000000000002E-2</v>
      </c>
      <c r="I26" s="186">
        <f t="shared" si="0"/>
        <v>2.99</v>
      </c>
      <c r="J26" s="190">
        <v>79</v>
      </c>
      <c r="K26" s="190">
        <f t="shared" si="2"/>
        <v>79</v>
      </c>
      <c r="L26" s="190">
        <v>108</v>
      </c>
      <c r="M26" s="173">
        <f t="shared" si="1"/>
        <v>0.25495097567963926</v>
      </c>
      <c r="N26" s="67"/>
    </row>
    <row r="27" spans="1:24" x14ac:dyDescent="0.2">
      <c r="G27" s="69" t="s">
        <v>97</v>
      </c>
      <c r="H27" s="189">
        <v>0.06</v>
      </c>
      <c r="I27" s="186">
        <f t="shared" si="0"/>
        <v>2.76</v>
      </c>
      <c r="J27" s="190">
        <v>79</v>
      </c>
      <c r="K27" s="190">
        <f t="shared" si="2"/>
        <v>79</v>
      </c>
      <c r="L27" s="190">
        <v>108</v>
      </c>
      <c r="M27" s="173">
        <f t="shared" si="1"/>
        <v>0.2449489742783178</v>
      </c>
      <c r="N27" s="67"/>
      <c r="U27" s="57"/>
    </row>
    <row r="28" spans="1:24" x14ac:dyDescent="0.2">
      <c r="A28" s="174"/>
      <c r="E28" s="81"/>
      <c r="F28" s="81"/>
      <c r="G28" s="69" t="s">
        <v>98</v>
      </c>
      <c r="H28" s="189">
        <v>0.05</v>
      </c>
      <c r="I28" s="186">
        <f t="shared" si="0"/>
        <v>2.3000000000000003</v>
      </c>
      <c r="J28" s="190">
        <v>80</v>
      </c>
      <c r="K28" s="190">
        <f t="shared" si="2"/>
        <v>80</v>
      </c>
      <c r="L28" s="190">
        <v>107</v>
      </c>
      <c r="M28" s="173">
        <f t="shared" si="1"/>
        <v>0.22360679774997896</v>
      </c>
      <c r="N28" s="67"/>
      <c r="U28" s="57"/>
    </row>
    <row r="29" spans="1:24" x14ac:dyDescent="0.2">
      <c r="E29" s="81"/>
      <c r="F29" s="81"/>
      <c r="G29" s="69" t="s">
        <v>99</v>
      </c>
      <c r="H29" s="189">
        <v>0.05</v>
      </c>
      <c r="I29" s="186">
        <f t="shared" si="0"/>
        <v>2.3000000000000003</v>
      </c>
      <c r="J29" s="190">
        <v>80</v>
      </c>
      <c r="K29" s="190">
        <f t="shared" si="2"/>
        <v>80</v>
      </c>
      <c r="L29" s="190">
        <v>107</v>
      </c>
      <c r="M29" s="173">
        <f t="shared" si="1"/>
        <v>0.22360679774997896</v>
      </c>
      <c r="N29" s="67"/>
      <c r="U29" s="57"/>
    </row>
    <row r="30" spans="1:24" ht="15.75" x14ac:dyDescent="0.25">
      <c r="A30" s="151"/>
      <c r="B30" s="152" t="s">
        <v>100</v>
      </c>
      <c r="C30" s="149"/>
      <c r="D30" s="149"/>
      <c r="E30" s="150"/>
      <c r="F30" s="67"/>
      <c r="G30" s="91">
        <v>25</v>
      </c>
      <c r="H30" s="191"/>
      <c r="I30" s="192"/>
      <c r="J30" s="191"/>
      <c r="K30" s="191"/>
      <c r="L30" s="191"/>
      <c r="M30" s="193">
        <f t="shared" si="1"/>
        <v>0</v>
      </c>
      <c r="N30" s="67"/>
      <c r="U30" s="57"/>
    </row>
    <row r="31" spans="1:24" ht="15.75" x14ac:dyDescent="0.25">
      <c r="A31" s="84" t="s">
        <v>101</v>
      </c>
      <c r="B31" s="92"/>
      <c r="C31" s="92"/>
      <c r="D31" s="92"/>
      <c r="E31" s="93">
        <f>((K49+460)/K50)*E15*E23*(E18+(I33/13.6))/(K33+460)</f>
        <v>112.87362548733758</v>
      </c>
      <c r="F31" s="67"/>
      <c r="G31" s="67"/>
      <c r="H31" s="69"/>
      <c r="I31" s="94" t="s">
        <v>102</v>
      </c>
      <c r="J31" s="69"/>
      <c r="K31" s="95" t="s">
        <v>103</v>
      </c>
      <c r="L31" s="69" t="s">
        <v>104</v>
      </c>
      <c r="M31" s="173" t="s">
        <v>105</v>
      </c>
      <c r="N31" s="67"/>
      <c r="U31" s="57"/>
    </row>
    <row r="32" spans="1:24" ht="15.75" x14ac:dyDescent="0.25">
      <c r="A32" s="82" t="s">
        <v>106</v>
      </c>
      <c r="B32" s="92"/>
      <c r="C32" s="92"/>
      <c r="D32" s="92"/>
      <c r="E32" s="96">
        <f>(E16/21.2)</f>
        <v>12.32075471698114</v>
      </c>
      <c r="F32" s="67"/>
      <c r="G32" s="97"/>
      <c r="H32" s="194"/>
      <c r="I32" s="195"/>
      <c r="J32" s="194"/>
      <c r="K32" s="196"/>
      <c r="L32" s="194"/>
      <c r="M32" s="197"/>
      <c r="N32" s="67"/>
      <c r="U32" s="57"/>
    </row>
    <row r="33" spans="1:21" ht="15.75" x14ac:dyDescent="0.25">
      <c r="A33" s="84" t="s">
        <v>107</v>
      </c>
      <c r="B33" s="92"/>
      <c r="C33" s="92"/>
      <c r="D33" s="92"/>
      <c r="E33" s="98">
        <f>(E32/(E31+E32))*100</f>
        <v>9.8413001421258048</v>
      </c>
      <c r="F33" s="67"/>
      <c r="G33" s="169" t="s">
        <v>218</v>
      </c>
      <c r="H33" s="198">
        <f>AVERAGE($H$6:$H$30)</f>
        <v>5.6666666666666678E-2</v>
      </c>
      <c r="I33" s="199">
        <f>AVERAGE($I$6:$I$30)</f>
        <v>2.6066666666666669</v>
      </c>
      <c r="J33" s="169"/>
      <c r="K33" s="200">
        <f>(AVERAGE($J$6:$J$30)+AVERAGE($K$6:$K$30))/2</f>
        <v>77.333333333333329</v>
      </c>
      <c r="L33" s="201">
        <f>AVERAGE($L$6:$L$30)</f>
        <v>107.83333333333333</v>
      </c>
      <c r="M33" s="202">
        <f>SUM($M$6:$M$30)/COUNTA($H$6:$H$30)</f>
        <v>0.23767915399017095</v>
      </c>
      <c r="N33" s="67"/>
      <c r="U33" s="57"/>
    </row>
    <row r="34" spans="1:21" x14ac:dyDescent="0.2">
      <c r="A34" s="82" t="s">
        <v>108</v>
      </c>
      <c r="B34" s="92"/>
      <c r="C34" s="92"/>
      <c r="D34" s="92"/>
      <c r="E34" s="96">
        <f>(E19*0.44)+(E20*0.32)+((100-(E19+E20))*0.28)</f>
        <v>29.690994092148841</v>
      </c>
      <c r="F34" s="67"/>
    </row>
    <row r="35" spans="1:21" x14ac:dyDescent="0.2">
      <c r="A35" s="82" t="s">
        <v>109</v>
      </c>
      <c r="B35" s="92"/>
      <c r="C35" s="92"/>
      <c r="D35" s="92"/>
      <c r="E35" s="99">
        <f>(0.18*E33)+(((100-E33)*E34)/100)</f>
        <v>28.540448273942282</v>
      </c>
      <c r="F35" s="67"/>
      <c r="I35" s="204" t="s">
        <v>45</v>
      </c>
      <c r="J35" s="203">
        <v>46</v>
      </c>
    </row>
    <row r="36" spans="1:21" x14ac:dyDescent="0.2">
      <c r="A36" s="82" t="s">
        <v>110</v>
      </c>
      <c r="B36" s="92"/>
      <c r="C36" s="92"/>
      <c r="D36" s="92"/>
      <c r="E36" s="99">
        <f>(E17/13.6)+E18</f>
        <v>30.013749999999998</v>
      </c>
      <c r="F36" s="67"/>
    </row>
    <row r="37" spans="1:21" ht="15.75" x14ac:dyDescent="0.25">
      <c r="A37" s="100" t="s">
        <v>112</v>
      </c>
      <c r="B37" s="76"/>
      <c r="C37" s="76"/>
      <c r="D37" s="76"/>
      <c r="E37" s="101"/>
      <c r="F37" s="67"/>
      <c r="I37" s="444" t="s">
        <v>59</v>
      </c>
      <c r="J37" s="445"/>
      <c r="K37" s="446"/>
    </row>
    <row r="38" spans="1:21" ht="15.75" x14ac:dyDescent="0.25">
      <c r="A38" s="102"/>
      <c r="B38" s="103" t="s">
        <v>114</v>
      </c>
      <c r="C38" s="104"/>
      <c r="D38" s="104"/>
      <c r="E38" s="98">
        <f>(((L33+460)/(E35*E36))^0.5)*M33*85.49*E22</f>
        <v>13.731071182355134</v>
      </c>
      <c r="F38" s="67"/>
      <c r="I38" s="205" t="s">
        <v>62</v>
      </c>
      <c r="J38" s="205" t="s">
        <v>63</v>
      </c>
      <c r="K38" s="205" t="s">
        <v>64</v>
      </c>
    </row>
    <row r="39" spans="1:21" x14ac:dyDescent="0.2">
      <c r="A39" s="102"/>
      <c r="B39" s="105" t="s">
        <v>116</v>
      </c>
      <c r="C39" s="92"/>
      <c r="D39" s="92"/>
      <c r="E39" s="99">
        <f>(((K49+460)/K50)*E36*E38)/(L33+460)</f>
        <v>12.807846956248213</v>
      </c>
      <c r="F39" s="67"/>
      <c r="I39" s="206">
        <v>593.1</v>
      </c>
      <c r="J39" s="206">
        <v>541.4</v>
      </c>
      <c r="K39" s="206">
        <f t="shared" ref="K39:K45" si="3">I39-J39</f>
        <v>51.700000000000045</v>
      </c>
    </row>
    <row r="40" spans="1:21" x14ac:dyDescent="0.2">
      <c r="A40" s="102"/>
      <c r="B40" s="105" t="s">
        <v>118</v>
      </c>
      <c r="C40" s="92"/>
      <c r="D40" s="92"/>
      <c r="E40" s="99">
        <f>(E31+E32)/(((((E21/2)^2)*3.14)/144)*E26*60)</f>
        <v>12.657202813009512</v>
      </c>
      <c r="F40" s="67"/>
      <c r="I40" s="206">
        <v>820.1</v>
      </c>
      <c r="J40" s="206">
        <v>688.8</v>
      </c>
      <c r="K40" s="206">
        <f t="shared" si="3"/>
        <v>131.30000000000007</v>
      </c>
    </row>
    <row r="41" spans="1:21" x14ac:dyDescent="0.2">
      <c r="A41" s="100" t="s">
        <v>120</v>
      </c>
      <c r="B41" s="76"/>
      <c r="C41" s="76"/>
      <c r="D41" s="76"/>
      <c r="E41" s="106"/>
      <c r="F41" s="81"/>
      <c r="I41" s="206">
        <v>847.9</v>
      </c>
      <c r="J41" s="206">
        <v>804.5</v>
      </c>
      <c r="K41" s="206">
        <f t="shared" si="3"/>
        <v>43.399999999999977</v>
      </c>
    </row>
    <row r="42" spans="1:21" ht="15.75" x14ac:dyDescent="0.25">
      <c r="A42" s="107"/>
      <c r="B42" s="108" t="s">
        <v>122</v>
      </c>
      <c r="C42" s="109"/>
      <c r="D42" s="109"/>
      <c r="E42" s="110">
        <f>(E25*E38*60)</f>
        <v>32465.410343535055</v>
      </c>
      <c r="F42" s="81"/>
      <c r="I42" s="206">
        <v>659.8</v>
      </c>
      <c r="J42" s="206">
        <v>651.4</v>
      </c>
      <c r="K42" s="206">
        <f t="shared" si="3"/>
        <v>8.3999999999999773</v>
      </c>
    </row>
    <row r="43" spans="1:21" ht="15.75" x14ac:dyDescent="0.25">
      <c r="A43" s="107"/>
      <c r="B43" s="108" t="s">
        <v>124</v>
      </c>
      <c r="C43" s="109"/>
      <c r="D43" s="109"/>
      <c r="E43" s="110">
        <f>(E39*E25*60)</f>
        <v>30282.561464405379</v>
      </c>
      <c r="I43" s="206">
        <v>734.2</v>
      </c>
      <c r="J43" s="206">
        <v>728.5</v>
      </c>
      <c r="K43" s="206">
        <f t="shared" si="3"/>
        <v>5.7000000000000455</v>
      </c>
    </row>
    <row r="44" spans="1:21" ht="15.75" x14ac:dyDescent="0.25">
      <c r="A44" s="107"/>
      <c r="B44" s="108" t="s">
        <v>126</v>
      </c>
      <c r="C44" s="109"/>
      <c r="D44" s="109"/>
      <c r="E44" s="110">
        <f>(100-E33)/100*E43</f>
        <v>27302.363699969515</v>
      </c>
      <c r="I44" s="206">
        <v>771.6</v>
      </c>
      <c r="J44" s="206">
        <v>769.4</v>
      </c>
      <c r="K44" s="206">
        <f t="shared" si="3"/>
        <v>2.2000000000000455</v>
      </c>
    </row>
    <row r="45" spans="1:21" ht="15.75" x14ac:dyDescent="0.25">
      <c r="A45" s="111" t="s">
        <v>128</v>
      </c>
      <c r="B45" s="112"/>
      <c r="C45" s="112"/>
      <c r="D45" s="112"/>
      <c r="E45" s="113">
        <f>(E40/E39)*100</f>
        <v>98.823813684272594</v>
      </c>
      <c r="I45" s="206">
        <v>927.5</v>
      </c>
      <c r="J45" s="206">
        <v>909</v>
      </c>
      <c r="K45" s="206">
        <f t="shared" si="3"/>
        <v>18.5</v>
      </c>
    </row>
    <row r="46" spans="1:21" x14ac:dyDescent="0.2">
      <c r="I46" s="449" t="s">
        <v>221</v>
      </c>
      <c r="J46" s="450"/>
      <c r="K46" s="208">
        <f>SUM(K39:K45)</f>
        <v>261.20000000000016</v>
      </c>
    </row>
    <row r="48" spans="1:21" ht="15.75" x14ac:dyDescent="0.25">
      <c r="A48" s="148" t="s">
        <v>111</v>
      </c>
      <c r="B48" s="149"/>
      <c r="C48" s="149"/>
      <c r="D48" s="149"/>
      <c r="E48" s="149"/>
      <c r="F48" s="149"/>
      <c r="G48" s="150"/>
      <c r="H48" s="174"/>
      <c r="I48" s="174"/>
    </row>
    <row r="49" spans="1:12" x14ac:dyDescent="0.2">
      <c r="A49" s="170" t="s">
        <v>113</v>
      </c>
      <c r="B49" s="81"/>
      <c r="C49" s="81"/>
      <c r="D49" s="81"/>
      <c r="E49" s="81"/>
      <c r="F49" s="81"/>
      <c r="G49" s="61"/>
      <c r="H49" s="174"/>
      <c r="I49" s="174"/>
      <c r="J49" s="175" t="s">
        <v>132</v>
      </c>
      <c r="K49" s="174">
        <v>68</v>
      </c>
      <c r="L49" s="174" t="s">
        <v>133</v>
      </c>
    </row>
    <row r="50" spans="1:12" x14ac:dyDescent="0.2">
      <c r="A50" s="170" t="s">
        <v>115</v>
      </c>
      <c r="B50" s="81"/>
      <c r="C50" s="81"/>
      <c r="D50" s="81"/>
      <c r="E50" s="81"/>
      <c r="F50" s="81"/>
      <c r="G50" s="61"/>
      <c r="J50" s="174"/>
      <c r="K50" s="174">
        <v>29.92</v>
      </c>
      <c r="L50" s="174" t="s">
        <v>135</v>
      </c>
    </row>
    <row r="51" spans="1:12" x14ac:dyDescent="0.2">
      <c r="A51" s="170" t="s">
        <v>117</v>
      </c>
      <c r="B51" s="81"/>
      <c r="C51" s="81"/>
      <c r="D51" s="81"/>
      <c r="E51" s="81"/>
      <c r="F51" s="81"/>
      <c r="G51" s="61"/>
    </row>
    <row r="52" spans="1:12" x14ac:dyDescent="0.2">
      <c r="A52" s="170" t="s">
        <v>119</v>
      </c>
      <c r="B52" s="81"/>
      <c r="C52" s="81"/>
      <c r="D52" s="81"/>
      <c r="E52" s="81"/>
      <c r="F52" s="81"/>
      <c r="G52" s="61"/>
    </row>
    <row r="53" spans="1:12" ht="15.75" x14ac:dyDescent="0.25">
      <c r="A53" s="170" t="s">
        <v>121</v>
      </c>
      <c r="B53" s="81"/>
      <c r="C53" s="81"/>
      <c r="D53" s="81"/>
      <c r="E53" s="81"/>
      <c r="F53" s="81"/>
      <c r="G53" s="61"/>
      <c r="I53" s="168" t="s">
        <v>217</v>
      </c>
    </row>
    <row r="54" spans="1:12" x14ac:dyDescent="0.2">
      <c r="A54" s="170" t="s">
        <v>123</v>
      </c>
      <c r="B54" s="81"/>
      <c r="C54" s="81"/>
      <c r="D54" s="81"/>
      <c r="E54" s="81"/>
      <c r="F54" s="81"/>
      <c r="G54" s="61"/>
    </row>
    <row r="55" spans="1:12" x14ac:dyDescent="0.2">
      <c r="A55" s="170" t="s">
        <v>125</v>
      </c>
      <c r="B55" s="81"/>
      <c r="C55" s="81"/>
      <c r="D55" s="81"/>
      <c r="E55" s="81"/>
      <c r="F55" s="81"/>
      <c r="G55" s="61"/>
    </row>
    <row r="56" spans="1:12" x14ac:dyDescent="0.2">
      <c r="A56" s="170" t="s">
        <v>127</v>
      </c>
      <c r="B56" s="81"/>
      <c r="C56" s="81"/>
      <c r="D56" s="81"/>
      <c r="E56" s="81"/>
      <c r="F56" s="81"/>
      <c r="G56" s="61"/>
    </row>
    <row r="57" spans="1:12" x14ac:dyDescent="0.2">
      <c r="A57" s="170" t="s">
        <v>129</v>
      </c>
      <c r="B57" s="81"/>
      <c r="C57" s="81"/>
      <c r="D57" s="81"/>
      <c r="E57" s="81"/>
      <c r="F57" s="81"/>
      <c r="G57" s="61"/>
    </row>
    <row r="58" spans="1:12" x14ac:dyDescent="0.2">
      <c r="A58" s="170" t="s">
        <v>130</v>
      </c>
      <c r="B58" s="81"/>
      <c r="C58" s="81"/>
      <c r="D58" s="81"/>
      <c r="E58" s="81"/>
      <c r="F58" s="81"/>
      <c r="G58" s="61"/>
    </row>
    <row r="59" spans="1:12" x14ac:dyDescent="0.2">
      <c r="A59" s="170" t="s">
        <v>131</v>
      </c>
      <c r="B59" s="81"/>
      <c r="C59" s="81"/>
      <c r="D59" s="81"/>
      <c r="E59" s="81"/>
      <c r="F59" s="81"/>
      <c r="G59" s="61"/>
    </row>
    <row r="60" spans="1:12" x14ac:dyDescent="0.2">
      <c r="A60" s="170" t="s">
        <v>134</v>
      </c>
      <c r="B60" s="81"/>
      <c r="C60" s="81"/>
      <c r="D60" s="81"/>
      <c r="E60" s="81"/>
      <c r="F60" s="81"/>
      <c r="G60" s="61"/>
    </row>
    <row r="61" spans="1:12" ht="16.5" x14ac:dyDescent="0.2">
      <c r="A61" s="171" t="s">
        <v>219</v>
      </c>
      <c r="B61" s="81"/>
      <c r="C61" s="81"/>
      <c r="D61" s="81"/>
      <c r="E61" s="81"/>
      <c r="F61" s="81"/>
      <c r="G61" s="61"/>
    </row>
    <row r="62" spans="1:12" x14ac:dyDescent="0.2">
      <c r="A62" s="172" t="s">
        <v>136</v>
      </c>
      <c r="B62" s="73"/>
      <c r="C62" s="73"/>
      <c r="D62" s="73"/>
      <c r="E62" s="73"/>
      <c r="F62" s="73"/>
      <c r="G62" s="114"/>
    </row>
  </sheetData>
  <mergeCells count="2">
    <mergeCell ref="I37:K37"/>
    <mergeCell ref="I46:J46"/>
  </mergeCells>
  <phoneticPr fontId="6" type="noConversion"/>
  <pageMargins left="0.95" right="0.7" top="0.75" bottom="0.75" header="0.3" footer="0.3"/>
  <pageSetup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44</vt:i4>
      </vt:variant>
    </vt:vector>
  </HeadingPairs>
  <TitlesOfParts>
    <vt:vector size="66" baseType="lpstr">
      <vt:lpstr>TSPB1A (2)</vt:lpstr>
      <vt:lpstr>TSPB1A</vt:lpstr>
      <vt:lpstr>LBSHG</vt:lpstr>
      <vt:lpstr>CEMS</vt:lpstr>
      <vt:lpstr>CEMS Run 001</vt:lpstr>
      <vt:lpstr>CEMS Run 002</vt:lpstr>
      <vt:lpstr>CEMS Run 003</vt:lpstr>
      <vt:lpstr>TSP HG-ISO Run1</vt:lpstr>
      <vt:lpstr>TSP HG-ISO Run2</vt:lpstr>
      <vt:lpstr>TSP HG-ISO Run3</vt:lpstr>
      <vt:lpstr>TSP HG- stack cond</vt:lpstr>
      <vt:lpstr>lbmmbtu Hg Coal</vt:lpstr>
      <vt:lpstr>Data Sheet 1</vt:lpstr>
      <vt:lpstr>Data Sheet 2</vt:lpstr>
      <vt:lpstr>Data Sheet 3</vt:lpstr>
      <vt:lpstr>Data Sheet 4</vt:lpstr>
      <vt:lpstr>Data Sheet 5</vt:lpstr>
      <vt:lpstr>Data Sheet 6</vt:lpstr>
      <vt:lpstr>Data Sheet 7</vt:lpstr>
      <vt:lpstr>Data Sheet 8</vt:lpstr>
      <vt:lpstr>Data Sheet 9</vt:lpstr>
      <vt:lpstr>HeaderExport</vt:lpstr>
      <vt:lpstr>'TSP HG-ISO Run2'!\a</vt:lpstr>
      <vt:lpstr>'TSP HG-ISO Run3'!\a</vt:lpstr>
      <vt:lpstr>'TSP HG-ISO Run2'!\k</vt:lpstr>
      <vt:lpstr>'TSP HG-ISO Run3'!\k</vt:lpstr>
      <vt:lpstr>'TSP HG-ISO Run2'!\l</vt:lpstr>
      <vt:lpstr>'TSP HG-ISO Run3'!\l</vt:lpstr>
      <vt:lpstr>'TSP HG-ISO Run2'!\p</vt:lpstr>
      <vt:lpstr>'TSP HG-ISO Run3'!\p</vt:lpstr>
      <vt:lpstr>TSPB1A!\p</vt:lpstr>
      <vt:lpstr>'TSPB1A (2)'!\p</vt:lpstr>
      <vt:lpstr>PointHeaders</vt:lpstr>
      <vt:lpstr>CEMS!Print_Area</vt:lpstr>
      <vt:lpstr>'Data Sheet 1'!Print_Area</vt:lpstr>
      <vt:lpstr>'Data Sheet 2'!Print_Area</vt:lpstr>
      <vt:lpstr>'Data Sheet 3'!Print_Area</vt:lpstr>
      <vt:lpstr>'Data Sheet 4'!Print_Area</vt:lpstr>
      <vt:lpstr>'Data Sheet 5'!Print_Area</vt:lpstr>
      <vt:lpstr>'Data Sheet 6'!Print_Area</vt:lpstr>
      <vt:lpstr>'Data Sheet 7'!Print_Area</vt:lpstr>
      <vt:lpstr>'Data Sheet 8'!Print_Area</vt:lpstr>
      <vt:lpstr>'Data Sheet 9'!Print_Area</vt:lpstr>
      <vt:lpstr>LBSHG!Print_Area</vt:lpstr>
      <vt:lpstr>'TSP HG-ISO Run1'!Print_Area</vt:lpstr>
      <vt:lpstr>'TSP HG-ISO Run2'!Print_Area</vt:lpstr>
      <vt:lpstr>'TSP HG-ISO Run3'!Print_Area</vt:lpstr>
      <vt:lpstr>TSPB1A!Print_Area</vt:lpstr>
      <vt:lpstr>'TSPB1A (2)'!Print_Area</vt:lpstr>
      <vt:lpstr>LBSHG!Print_Area_MI</vt:lpstr>
      <vt:lpstr>'TSP HG-ISO Run2'!Print_Area_MI</vt:lpstr>
      <vt:lpstr>'TSP HG-ISO Run3'!Print_Area_MI</vt:lpstr>
      <vt:lpstr>TSPB1A!Print_Area_MI</vt:lpstr>
      <vt:lpstr>'TSPB1A (2)'!Print_Area_MI</vt:lpstr>
      <vt:lpstr>'CEMS Run 001'!Print_Titles</vt:lpstr>
      <vt:lpstr>'CEMS Run 002'!Print_Titles</vt:lpstr>
      <vt:lpstr>'CEMS Run 003'!Print_Titles</vt:lpstr>
      <vt:lpstr>Run1PointData</vt:lpstr>
      <vt:lpstr>Run2PointData</vt:lpstr>
      <vt:lpstr>Run3PointData</vt:lpstr>
      <vt:lpstr>Run4PointData</vt:lpstr>
      <vt:lpstr>Run5PointData</vt:lpstr>
      <vt:lpstr>Run6PointData</vt:lpstr>
      <vt:lpstr>Run7PointData</vt:lpstr>
      <vt:lpstr>Run8PointData</vt:lpstr>
      <vt:lpstr>Run9PointData</vt:lpstr>
    </vt:vector>
  </TitlesOfParts>
  <Company>LFR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Joseph Dmochowski</dc:creator>
  <cp:lastModifiedBy>Ron Myers - EPA</cp:lastModifiedBy>
  <cp:lastPrinted>2014-03-24T16:14:42Z</cp:lastPrinted>
  <dcterms:created xsi:type="dcterms:W3CDTF">2002-06-13T15:29:36Z</dcterms:created>
  <dcterms:modified xsi:type="dcterms:W3CDTF">2014-08-12T17:06:34Z</dcterms:modified>
</cp:coreProperties>
</file>