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595"/>
  </bookViews>
  <sheets>
    <sheet name="Sheet1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7" i="3" l="1"/>
  <c r="Y16" i="3"/>
  <c r="N84" i="3" l="1"/>
  <c r="K84" i="3"/>
  <c r="J84" i="3"/>
  <c r="L84" i="3" s="1"/>
  <c r="I84" i="3"/>
  <c r="N83" i="3"/>
  <c r="M83" i="3"/>
  <c r="K83" i="3"/>
  <c r="J83" i="3"/>
  <c r="L83" i="3" s="1"/>
  <c r="I83" i="3"/>
  <c r="N82" i="3"/>
  <c r="K82" i="3"/>
  <c r="J82" i="3"/>
  <c r="I82" i="3"/>
  <c r="N75" i="3"/>
  <c r="M75" i="3"/>
  <c r="K75" i="3"/>
  <c r="J75" i="3"/>
  <c r="I75" i="3"/>
  <c r="N74" i="3"/>
  <c r="K74" i="3"/>
  <c r="J74" i="3"/>
  <c r="I74" i="3"/>
  <c r="N73" i="3"/>
  <c r="K73" i="3"/>
  <c r="J73" i="3"/>
  <c r="I73" i="3"/>
  <c r="N66" i="3"/>
  <c r="K66" i="3"/>
  <c r="M66" i="3" s="1"/>
  <c r="J66" i="3"/>
  <c r="L66" i="3" s="1"/>
  <c r="I66" i="3"/>
  <c r="N65" i="3"/>
  <c r="K65" i="3"/>
  <c r="J65" i="3"/>
  <c r="I65" i="3"/>
  <c r="N64" i="3"/>
  <c r="K64" i="3"/>
  <c r="J64" i="3"/>
  <c r="I64" i="3"/>
  <c r="N57" i="3"/>
  <c r="M57" i="3"/>
  <c r="L57" i="3"/>
  <c r="K57" i="3"/>
  <c r="J57" i="3"/>
  <c r="I57" i="3"/>
  <c r="N56" i="3"/>
  <c r="K56" i="3"/>
  <c r="J56" i="3"/>
  <c r="L56" i="3" s="1"/>
  <c r="I56" i="3"/>
  <c r="N55" i="3"/>
  <c r="K55" i="3"/>
  <c r="M55" i="3" s="1"/>
  <c r="J55" i="3"/>
  <c r="I55" i="3"/>
  <c r="N48" i="3"/>
  <c r="K48" i="3"/>
  <c r="M48" i="3" s="1"/>
  <c r="J48" i="3"/>
  <c r="I48" i="3"/>
  <c r="N47" i="3"/>
  <c r="K47" i="3"/>
  <c r="J47" i="3"/>
  <c r="I47" i="3"/>
  <c r="N46" i="3"/>
  <c r="K46" i="3"/>
  <c r="M46" i="3" s="1"/>
  <c r="J46" i="3"/>
  <c r="I46" i="3"/>
  <c r="N38" i="3"/>
  <c r="L38" i="3"/>
  <c r="K38" i="3"/>
  <c r="J38" i="3"/>
  <c r="I38" i="3"/>
  <c r="H38" i="3"/>
  <c r="N37" i="3"/>
  <c r="K37" i="3"/>
  <c r="J37" i="3"/>
  <c r="I37" i="3"/>
  <c r="N36" i="3"/>
  <c r="M36" i="3"/>
  <c r="L36" i="3"/>
  <c r="K36" i="3"/>
  <c r="J36" i="3"/>
  <c r="I36" i="3"/>
  <c r="H36" i="3"/>
  <c r="N28" i="3"/>
  <c r="K28" i="3"/>
  <c r="J28" i="3"/>
  <c r="L28" i="3" s="1"/>
  <c r="I28" i="3"/>
  <c r="N27" i="3"/>
  <c r="K27" i="3"/>
  <c r="M27" i="3" s="1"/>
  <c r="J27" i="3"/>
  <c r="I27" i="3"/>
  <c r="N26" i="3"/>
  <c r="K26" i="3"/>
  <c r="J26" i="3"/>
  <c r="I26" i="3"/>
  <c r="N18" i="3"/>
  <c r="K18" i="3"/>
  <c r="J18" i="3"/>
  <c r="I18" i="3"/>
  <c r="N17" i="3"/>
  <c r="M17" i="3"/>
  <c r="K17" i="3"/>
  <c r="J17" i="3"/>
  <c r="L17" i="3" s="1"/>
  <c r="I17" i="3"/>
  <c r="N16" i="3"/>
  <c r="K16" i="3"/>
  <c r="J16" i="3"/>
  <c r="L16" i="3" s="1"/>
  <c r="I16" i="3"/>
  <c r="N9" i="3"/>
  <c r="M9" i="3"/>
  <c r="K9" i="3"/>
  <c r="J9" i="3"/>
  <c r="I9" i="3"/>
  <c r="H9" i="3"/>
  <c r="N8" i="3"/>
  <c r="K8" i="3"/>
  <c r="J8" i="3"/>
  <c r="I8" i="3"/>
  <c r="H8" i="3"/>
  <c r="H83" i="3" s="1"/>
  <c r="N7" i="3"/>
  <c r="M7" i="3"/>
  <c r="K7" i="3"/>
  <c r="J7" i="3"/>
  <c r="I7" i="3"/>
  <c r="H7" i="3"/>
  <c r="H16" i="3" s="1"/>
  <c r="P7" i="3" l="1"/>
  <c r="S7" i="3" s="1"/>
  <c r="P83" i="3"/>
  <c r="S83" i="3" s="1"/>
  <c r="O38" i="3"/>
  <c r="Q38" i="3" s="1"/>
  <c r="P57" i="3"/>
  <c r="S57" i="3" s="1"/>
  <c r="O83" i="3"/>
  <c r="Q83" i="3" s="1"/>
  <c r="P36" i="3"/>
  <c r="S36" i="3" s="1"/>
  <c r="P9" i="3"/>
  <c r="S9" i="3" s="1"/>
  <c r="O16" i="3"/>
  <c r="Q16" i="3" s="1"/>
  <c r="O36" i="3"/>
  <c r="Q36" i="3" s="1"/>
  <c r="O57" i="3"/>
  <c r="O7" i="3"/>
  <c r="Q7" i="3" s="1"/>
  <c r="O9" i="3"/>
  <c r="Q9" i="3" s="1"/>
  <c r="L7" i="3"/>
  <c r="L9" i="3"/>
  <c r="O28" i="3"/>
  <c r="Q28" i="3" s="1"/>
  <c r="L46" i="3"/>
  <c r="O46" i="3" s="1"/>
  <c r="H65" i="3"/>
  <c r="L82" i="3"/>
  <c r="O82" i="3" s="1"/>
  <c r="Q82" i="3" s="1"/>
  <c r="M18" i="3"/>
  <c r="P18" i="3" s="1"/>
  <c r="L18" i="3"/>
  <c r="O18" i="3" s="1"/>
  <c r="M73" i="3"/>
  <c r="P73" i="3" s="1"/>
  <c r="S73" i="3" s="1"/>
  <c r="L73" i="3"/>
  <c r="O73" i="3" s="1"/>
  <c r="L37" i="3"/>
  <c r="O37" i="3" s="1"/>
  <c r="Q37" i="3" s="1"/>
  <c r="P56" i="3"/>
  <c r="S56" i="3" s="1"/>
  <c r="M56" i="3"/>
  <c r="M65" i="3"/>
  <c r="P65" i="3"/>
  <c r="S65" i="3" s="1"/>
  <c r="L8" i="3"/>
  <c r="O8" i="3" s="1"/>
  <c r="H84" i="3"/>
  <c r="H66" i="3"/>
  <c r="H48" i="3"/>
  <c r="H28" i="3"/>
  <c r="H75" i="3"/>
  <c r="H18" i="3"/>
  <c r="M26" i="3"/>
  <c r="P26" i="3" s="1"/>
  <c r="S26" i="3" s="1"/>
  <c r="M47" i="3"/>
  <c r="P47" i="3" s="1"/>
  <c r="S47" i="3" s="1"/>
  <c r="L47" i="3"/>
  <c r="O47" i="3" s="1"/>
  <c r="L65" i="3"/>
  <c r="O65" i="3" s="1"/>
  <c r="M74" i="3"/>
  <c r="P74" i="3" s="1"/>
  <c r="H82" i="3"/>
  <c r="H64" i="3"/>
  <c r="H46" i="3"/>
  <c r="H26" i="3"/>
  <c r="H55" i="3"/>
  <c r="H73" i="3"/>
  <c r="M8" i="3"/>
  <c r="P8" i="3" s="1"/>
  <c r="M16" i="3"/>
  <c r="P16" i="3"/>
  <c r="S16" i="3" s="1"/>
  <c r="M28" i="3"/>
  <c r="P28" i="3" s="1"/>
  <c r="M38" i="3"/>
  <c r="P38" i="3" s="1"/>
  <c r="S38" i="3" s="1"/>
  <c r="T38" i="3" s="1"/>
  <c r="P48" i="3"/>
  <c r="S48" i="3" s="1"/>
  <c r="O56" i="3"/>
  <c r="Q56" i="3" s="1"/>
  <c r="H57" i="3"/>
  <c r="Q57" i="3"/>
  <c r="L64" i="3"/>
  <c r="O64" i="3" s="1"/>
  <c r="P82" i="3"/>
  <c r="S82" i="3" s="1"/>
  <c r="M82" i="3"/>
  <c r="O84" i="3"/>
  <c r="H74" i="3"/>
  <c r="H56" i="3"/>
  <c r="H37" i="3"/>
  <c r="H17" i="3"/>
  <c r="O17" i="3"/>
  <c r="Q17" i="3" s="1"/>
  <c r="H47" i="3"/>
  <c r="O66" i="3"/>
  <c r="Q66" i="3" s="1"/>
  <c r="P17" i="3"/>
  <c r="L26" i="3"/>
  <c r="O26" i="3"/>
  <c r="H27" i="3"/>
  <c r="L27" i="3"/>
  <c r="O27" i="3" s="1"/>
  <c r="P27" i="3"/>
  <c r="S27" i="3" s="1"/>
  <c r="M37" i="3"/>
  <c r="P37" i="3" s="1"/>
  <c r="P46" i="3"/>
  <c r="L48" i="3"/>
  <c r="O48" i="3" s="1"/>
  <c r="L55" i="3"/>
  <c r="O55" i="3" s="1"/>
  <c r="P55" i="3"/>
  <c r="S55" i="3" s="1"/>
  <c r="M64" i="3"/>
  <c r="P64" i="3" s="1"/>
  <c r="S64" i="3" s="1"/>
  <c r="P66" i="3"/>
  <c r="L74" i="3"/>
  <c r="O74" i="3"/>
  <c r="L75" i="3"/>
  <c r="O75" i="3" s="1"/>
  <c r="P75" i="3"/>
  <c r="S75" i="3" s="1"/>
  <c r="M84" i="3"/>
  <c r="P84" i="3" s="1"/>
  <c r="T83" i="3" l="1"/>
  <c r="U83" i="3" s="1"/>
  <c r="Y83" i="3" s="1"/>
  <c r="R57" i="3"/>
  <c r="T57" i="3"/>
  <c r="R83" i="3"/>
  <c r="R36" i="3"/>
  <c r="R7" i="3"/>
  <c r="R9" i="3"/>
  <c r="T36" i="3"/>
  <c r="U36" i="3" s="1"/>
  <c r="Y36" i="3" s="1"/>
  <c r="T16" i="3"/>
  <c r="U16" i="3" s="1"/>
  <c r="S18" i="3"/>
  <c r="T18" i="3" s="1"/>
  <c r="U18" i="3" s="1"/>
  <c r="Y18" i="3" s="1"/>
  <c r="R18" i="3"/>
  <c r="T82" i="3"/>
  <c r="U82" i="3" s="1"/>
  <c r="Y82" i="3" s="1"/>
  <c r="AE27" i="3" s="1"/>
  <c r="R56" i="3"/>
  <c r="T9" i="3"/>
  <c r="U9" i="3" s="1"/>
  <c r="Y9" i="3" s="1"/>
  <c r="T7" i="3"/>
  <c r="U7" i="3" s="1"/>
  <c r="S84" i="3"/>
  <c r="T84" i="3" s="1"/>
  <c r="R84" i="3"/>
  <c r="T48" i="3"/>
  <c r="U48" i="3" s="1"/>
  <c r="Y48" i="3" s="1"/>
  <c r="Q48" i="3"/>
  <c r="U38" i="3"/>
  <c r="Y38" i="3" s="1"/>
  <c r="S37" i="3"/>
  <c r="T37" i="3" s="1"/>
  <c r="R37" i="3"/>
  <c r="S8" i="3"/>
  <c r="T8" i="3" s="1"/>
  <c r="R8" i="3"/>
  <c r="S74" i="3"/>
  <c r="T74" i="3" s="1"/>
  <c r="R74" i="3"/>
  <c r="T64" i="3"/>
  <c r="U64" i="3" s="1"/>
  <c r="Y64" i="3" s="1"/>
  <c r="Q64" i="3"/>
  <c r="S28" i="3"/>
  <c r="T28" i="3" s="1"/>
  <c r="R28" i="3"/>
  <c r="S17" i="3"/>
  <c r="T17" i="3" s="1"/>
  <c r="R17" i="3"/>
  <c r="U57" i="3"/>
  <c r="Q73" i="3"/>
  <c r="T73" i="3"/>
  <c r="U73" i="3" s="1"/>
  <c r="Y73" i="3" s="1"/>
  <c r="T75" i="3"/>
  <c r="U75" i="3" s="1"/>
  <c r="Y75" i="3" s="1"/>
  <c r="Q75" i="3"/>
  <c r="S66" i="3"/>
  <c r="T66" i="3" s="1"/>
  <c r="R66" i="3"/>
  <c r="Q46" i="3"/>
  <c r="T26" i="3"/>
  <c r="U26" i="3" s="1"/>
  <c r="Y26" i="3" s="1"/>
  <c r="Q26" i="3"/>
  <c r="Q84" i="3"/>
  <c r="Q18" i="3"/>
  <c r="Q74" i="3"/>
  <c r="R64" i="3"/>
  <c r="T55" i="3"/>
  <c r="Q55" i="3"/>
  <c r="S46" i="3"/>
  <c r="T46" i="3" s="1"/>
  <c r="R46" i="3"/>
  <c r="R55" i="3"/>
  <c r="R27" i="3"/>
  <c r="T56" i="3"/>
  <c r="U56" i="3" s="1"/>
  <c r="Y56" i="3" s="1"/>
  <c r="R16" i="3"/>
  <c r="Q65" i="3"/>
  <c r="T65" i="3"/>
  <c r="R47" i="3"/>
  <c r="Q8" i="3"/>
  <c r="R65" i="3"/>
  <c r="T27" i="3"/>
  <c r="Q27" i="3"/>
  <c r="R75" i="3"/>
  <c r="R82" i="3"/>
  <c r="R48" i="3"/>
  <c r="R38" i="3"/>
  <c r="Q47" i="3"/>
  <c r="T47" i="3"/>
  <c r="R26" i="3"/>
  <c r="R73" i="3"/>
  <c r="V57" i="3" l="1"/>
  <c r="Y57" i="3"/>
  <c r="W7" i="3"/>
  <c r="Y7" i="3"/>
  <c r="AI27" i="3" s="1"/>
  <c r="V7" i="3"/>
  <c r="U66" i="3"/>
  <c r="U17" i="3"/>
  <c r="Y17" i="3" s="1"/>
  <c r="U74" i="3"/>
  <c r="U84" i="3"/>
  <c r="Y84" i="3" s="1"/>
  <c r="W18" i="3"/>
  <c r="W75" i="3"/>
  <c r="W73" i="3"/>
  <c r="W64" i="3"/>
  <c r="W82" i="3"/>
  <c r="W38" i="3"/>
  <c r="W36" i="3"/>
  <c r="W83" i="3"/>
  <c r="W26" i="3"/>
  <c r="V64" i="3"/>
  <c r="V82" i="3"/>
  <c r="V38" i="3"/>
  <c r="W48" i="3"/>
  <c r="U27" i="3"/>
  <c r="W56" i="3"/>
  <c r="U55" i="3"/>
  <c r="Y55" i="3" s="1"/>
  <c r="V36" i="3"/>
  <c r="V26" i="3"/>
  <c r="U8" i="3"/>
  <c r="V83" i="3"/>
  <c r="U28" i="3"/>
  <c r="W9" i="3"/>
  <c r="W16" i="3"/>
  <c r="V48" i="3"/>
  <c r="U37" i="3"/>
  <c r="Y37" i="3" s="1"/>
  <c r="U47" i="3"/>
  <c r="Y47" i="3" s="1"/>
  <c r="AF27" i="3" s="1"/>
  <c r="U65" i="3"/>
  <c r="V56" i="3"/>
  <c r="V18" i="3"/>
  <c r="V75" i="3"/>
  <c r="V73" i="3"/>
  <c r="W57" i="3"/>
  <c r="U46" i="3"/>
  <c r="Y46" i="3" s="1"/>
  <c r="V9" i="3"/>
  <c r="V16" i="3"/>
  <c r="V65" i="3" l="1"/>
  <c r="Y65" i="3"/>
  <c r="V8" i="3"/>
  <c r="X9" i="3" s="1"/>
  <c r="Z9" i="3" s="1"/>
  <c r="AI17" i="3" s="1"/>
  <c r="Y8" i="3"/>
  <c r="V74" i="3"/>
  <c r="X74" i="3" s="1"/>
  <c r="Y74" i="3"/>
  <c r="V27" i="3"/>
  <c r="Y27" i="3"/>
  <c r="AG27" i="3" s="1"/>
  <c r="V28" i="3"/>
  <c r="Y28" i="3"/>
  <c r="V66" i="3"/>
  <c r="X65" i="3" s="1"/>
  <c r="Y66" i="3"/>
  <c r="X8" i="3"/>
  <c r="X7" i="3"/>
  <c r="Z7" i="3" s="1"/>
  <c r="AI15" i="3" s="1"/>
  <c r="X75" i="3"/>
  <c r="Z75" i="3" s="1"/>
  <c r="X73" i="3"/>
  <c r="Z73" i="3" s="1"/>
  <c r="W46" i="3"/>
  <c r="W47" i="3"/>
  <c r="W37" i="3"/>
  <c r="W55" i="3"/>
  <c r="W27" i="3"/>
  <c r="W84" i="3"/>
  <c r="W17" i="3"/>
  <c r="W8" i="3"/>
  <c r="V47" i="3"/>
  <c r="V37" i="3"/>
  <c r="X38" i="3" s="1"/>
  <c r="Z38" i="3" s="1"/>
  <c r="V84" i="3"/>
  <c r="X82" i="3" s="1"/>
  <c r="Z82" i="3" s="1"/>
  <c r="V17" i="3"/>
  <c r="X16" i="3" s="1"/>
  <c r="Z16" i="3" s="1"/>
  <c r="W65" i="3"/>
  <c r="W28" i="3"/>
  <c r="V55" i="3"/>
  <c r="V46" i="3"/>
  <c r="W74" i="3"/>
  <c r="W66" i="3"/>
  <c r="X66" i="3" l="1"/>
  <c r="X64" i="3"/>
  <c r="Z64" i="3" s="1"/>
  <c r="AE15" i="3" s="1"/>
  <c r="Z8" i="3"/>
  <c r="AI16" i="3" s="1"/>
  <c r="AI22" i="3" s="1"/>
  <c r="X28" i="3"/>
  <c r="X36" i="3"/>
  <c r="Z36" i="3" s="1"/>
  <c r="Z28" i="3"/>
  <c r="X26" i="3"/>
  <c r="Z26" i="3" s="1"/>
  <c r="AG15" i="3" s="1"/>
  <c r="X17" i="3"/>
  <c r="Z17" i="3" s="1"/>
  <c r="X27" i="3"/>
  <c r="Z27" i="3" s="1"/>
  <c r="AG16" i="3" s="1"/>
  <c r="X18" i="3"/>
  <c r="Z18" i="3" s="1"/>
  <c r="Z66" i="3"/>
  <c r="Z74" i="3"/>
  <c r="Z65" i="3"/>
  <c r="X84" i="3"/>
  <c r="Z84" i="3" s="1"/>
  <c r="AE17" i="3" s="1"/>
  <c r="X47" i="3"/>
  <c r="Z47" i="3" s="1"/>
  <c r="X48" i="3"/>
  <c r="Z48" i="3" s="1"/>
  <c r="X46" i="3"/>
  <c r="Z46" i="3" s="1"/>
  <c r="X37" i="3"/>
  <c r="Z37" i="3" s="1"/>
  <c r="X83" i="3"/>
  <c r="Z83" i="3" s="1"/>
  <c r="AE16" i="3" s="1"/>
  <c r="X55" i="3"/>
  <c r="Z55" i="3" s="1"/>
  <c r="AF15" i="3" s="1"/>
  <c r="X56" i="3"/>
  <c r="Z56" i="3" s="1"/>
  <c r="X57" i="3"/>
  <c r="Z57" i="3" s="1"/>
  <c r="AF17" i="3" s="1"/>
  <c r="AH15" i="3" l="1"/>
  <c r="AE22" i="3"/>
  <c r="AG17" i="3"/>
  <c r="AH17" i="3" s="1"/>
  <c r="AF16" i="3"/>
  <c r="AF22" i="3"/>
  <c r="AH16" i="3"/>
  <c r="AG22" i="3"/>
  <c r="AH22" i="3" l="1"/>
</calcChain>
</file>

<file path=xl/sharedStrings.xml><?xml version="1.0" encoding="utf-8"?>
<sst xmlns="http://schemas.openxmlformats.org/spreadsheetml/2006/main" count="492" uniqueCount="50">
  <si>
    <t>Adj. Baseline</t>
  </si>
  <si>
    <t>BB1 HRI</t>
  </si>
  <si>
    <t>BB3 - RE</t>
  </si>
  <si>
    <t>BB2 - NGCC</t>
  </si>
  <si>
    <t>Final Rates</t>
  </si>
  <si>
    <t>Interconnection</t>
  </si>
  <si>
    <t>Coal</t>
  </si>
  <si>
    <t>NGCC</t>
  </si>
  <si>
    <t>OG Steam</t>
  </si>
  <si>
    <t>Fossil Steam Rate</t>
  </si>
  <si>
    <t>NGCC Emission Rate</t>
  </si>
  <si>
    <t>Baseline  Fossil Steam Gen</t>
  </si>
  <si>
    <t>Baseline NGCC Gen</t>
  </si>
  <si>
    <t>Fossil Steam Share of Total Fossil</t>
  </si>
  <si>
    <t>NGCC Share of Total Fossil</t>
  </si>
  <si>
    <t>Potential BB3</t>
  </si>
  <si>
    <t>Remaining Fossil Steam</t>
  </si>
  <si>
    <t>Remaining NGCC Gen</t>
  </si>
  <si>
    <t>BB3 Replacing Fossil Steam</t>
  </si>
  <si>
    <t>BB3 Replacing NGCC</t>
  </si>
  <si>
    <t>Difference between NGCC generation levels at 75% utilization and Post BB3 NGCC levels (MWh)</t>
  </si>
  <si>
    <t>Remaining  Fossil Steam</t>
  </si>
  <si>
    <t>NGCC Rate</t>
  </si>
  <si>
    <t>Emissions (tons)</t>
  </si>
  <si>
    <t>Gen (MWh)</t>
  </si>
  <si>
    <t>Gen(MWh)</t>
  </si>
  <si>
    <t>lbs/MWh</t>
  </si>
  <si>
    <t>MWh</t>
  </si>
  <si>
    <t>lb/MWh</t>
  </si>
  <si>
    <t>Eastern</t>
  </si>
  <si>
    <t>Western</t>
  </si>
  <si>
    <t>ERCOT</t>
  </si>
  <si>
    <t>Category-specific rate calculation</t>
  </si>
  <si>
    <t>Interim</t>
  </si>
  <si>
    <t>Final</t>
  </si>
  <si>
    <t>BB3</t>
  </si>
  <si>
    <t>BB2</t>
  </si>
  <si>
    <t>2022-2024</t>
  </si>
  <si>
    <t>2025-2027</t>
  </si>
  <si>
    <t>2028-2029</t>
  </si>
  <si>
    <t>Potential BB2</t>
  </si>
  <si>
    <t>Incremental Generation Factor</t>
  </si>
  <si>
    <t>GS-ERC Generation</t>
  </si>
  <si>
    <t>Average GS-ERC Emission Factor</t>
  </si>
  <si>
    <t>Regional Average GS-ERC Generation Rate</t>
  </si>
  <si>
    <t>Step, Interim, and Final Category-specific GS-ERC Rates</t>
  </si>
  <si>
    <t xml:space="preserve">Western </t>
  </si>
  <si>
    <t xml:space="preserve">Corresponding Applied Incremental Generation Factor </t>
  </si>
  <si>
    <t>GS-ERC Rate</t>
  </si>
  <si>
    <t>IGF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</si>
</sst>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0" borderId="10" xfId="0" applyBorder="1"/>
    <xf numFmtId="0" fontId="0" fillId="2" borderId="12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3" borderId="12" xfId="0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2" xfId="0" applyFill="1" applyBorder="1"/>
    <xf numFmtId="0" fontId="0" fillId="2" borderId="21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12" xfId="0" applyFill="1" applyBorder="1"/>
    <xf numFmtId="0" fontId="0" fillId="4" borderId="14" xfId="0" applyFill="1" applyBorder="1"/>
    <xf numFmtId="0" fontId="0" fillId="4" borderId="13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6" xfId="0" applyBorder="1"/>
    <xf numFmtId="164" fontId="0" fillId="0" borderId="16" xfId="1" applyNumberFormat="1" applyFont="1" applyBorder="1"/>
    <xf numFmtId="164" fontId="0" fillId="2" borderId="12" xfId="1" applyNumberFormat="1" applyFont="1" applyFill="1" applyBorder="1"/>
    <xf numFmtId="1" fontId="0" fillId="2" borderId="13" xfId="0" applyNumberFormat="1" applyFill="1" applyBorder="1"/>
    <xf numFmtId="164" fontId="0" fillId="3" borderId="12" xfId="0" applyNumberFormat="1" applyFill="1" applyBorder="1"/>
    <xf numFmtId="164" fontId="0" fillId="3" borderId="14" xfId="0" applyNumberFormat="1" applyFill="1" applyBorder="1"/>
    <xf numFmtId="9" fontId="0" fillId="3" borderId="14" xfId="2" applyFont="1" applyFill="1" applyBorder="1"/>
    <xf numFmtId="164" fontId="0" fillId="3" borderId="14" xfId="1" applyNumberFormat="1" applyFont="1" applyFill="1" applyBorder="1"/>
    <xf numFmtId="43" fontId="0" fillId="3" borderId="14" xfId="0" applyNumberFormat="1" applyFill="1" applyBorder="1"/>
    <xf numFmtId="43" fontId="0" fillId="3" borderId="15" xfId="0" applyNumberFormat="1" applyFill="1" applyBorder="1"/>
    <xf numFmtId="164" fontId="0" fillId="4" borderId="12" xfId="1" applyNumberFormat="1" applyFont="1" applyFill="1" applyBorder="1"/>
    <xf numFmtId="43" fontId="0" fillId="4" borderId="14" xfId="0" applyNumberFormat="1" applyFill="1" applyBorder="1"/>
    <xf numFmtId="43" fontId="0" fillId="4" borderId="13" xfId="0" applyNumberFormat="1" applyFill="1" applyBorder="1"/>
    <xf numFmtId="164" fontId="0" fillId="0" borderId="12" xfId="0" applyNumberFormat="1" applyFill="1" applyBorder="1"/>
    <xf numFmtId="164" fontId="0" fillId="0" borderId="13" xfId="0" applyNumberFormat="1" applyFill="1" applyBorder="1"/>
    <xf numFmtId="164" fontId="0" fillId="0" borderId="18" xfId="1" applyNumberFormat="1" applyFont="1" applyBorder="1"/>
    <xf numFmtId="164" fontId="0" fillId="2" borderId="22" xfId="1" applyNumberFormat="1" applyFont="1" applyFill="1" applyBorder="1"/>
    <xf numFmtId="1" fontId="0" fillId="2" borderId="23" xfId="0" applyNumberFormat="1" applyFill="1" applyBorder="1"/>
    <xf numFmtId="164" fontId="0" fillId="3" borderId="22" xfId="0" applyNumberFormat="1" applyFill="1" applyBorder="1"/>
    <xf numFmtId="164" fontId="0" fillId="3" borderId="24" xfId="0" applyNumberFormat="1" applyFill="1" applyBorder="1"/>
    <xf numFmtId="9" fontId="0" fillId="3" borderId="24" xfId="2" applyFont="1" applyFill="1" applyBorder="1"/>
    <xf numFmtId="164" fontId="0" fillId="3" borderId="24" xfId="1" applyNumberFormat="1" applyFont="1" applyFill="1" applyBorder="1"/>
    <xf numFmtId="43" fontId="0" fillId="3" borderId="24" xfId="0" applyNumberFormat="1" applyFill="1" applyBorder="1"/>
    <xf numFmtId="43" fontId="0" fillId="3" borderId="25" xfId="0" applyNumberFormat="1" applyFill="1" applyBorder="1"/>
    <xf numFmtId="164" fontId="0" fillId="4" borderId="22" xfId="1" applyNumberFormat="1" applyFont="1" applyFill="1" applyBorder="1"/>
    <xf numFmtId="43" fontId="0" fillId="4" borderId="24" xfId="0" applyNumberFormat="1" applyFill="1" applyBorder="1"/>
    <xf numFmtId="43" fontId="0" fillId="4" borderId="23" xfId="0" applyNumberFormat="1" applyFill="1" applyBorder="1"/>
    <xf numFmtId="164" fontId="0" fillId="0" borderId="22" xfId="0" applyNumberFormat="1" applyFill="1" applyBorder="1"/>
    <xf numFmtId="164" fontId="0" fillId="0" borderId="23" xfId="0" applyNumberFormat="1" applyFill="1" applyBorder="1"/>
    <xf numFmtId="43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0" fontId="0" fillId="5" borderId="0" xfId="0" applyFill="1"/>
    <xf numFmtId="164" fontId="0" fillId="0" borderId="0" xfId="0" applyNumberFormat="1"/>
    <xf numFmtId="0" fontId="0" fillId="0" borderId="22" xfId="0" applyBorder="1"/>
    <xf numFmtId="0" fontId="0" fillId="0" borderId="24" xfId="0" applyBorder="1" applyAlignment="1">
      <alignment horizontal="center"/>
    </xf>
    <xf numFmtId="0" fontId="0" fillId="4" borderId="15" xfId="0" applyFill="1" applyBorder="1" applyAlignment="1">
      <alignment wrapText="1"/>
    </xf>
    <xf numFmtId="0" fontId="0" fillId="4" borderId="15" xfId="0" applyFill="1" applyBorder="1"/>
    <xf numFmtId="0" fontId="0" fillId="0" borderId="23" xfId="0" applyBorder="1" applyAlignment="1">
      <alignment horizontal="center"/>
    </xf>
    <xf numFmtId="43" fontId="0" fillId="4" borderId="15" xfId="0" applyNumberFormat="1" applyFill="1" applyBorder="1"/>
    <xf numFmtId="43" fontId="0" fillId="4" borderId="25" xfId="0" applyNumberFormat="1" applyFill="1" applyBorder="1"/>
    <xf numFmtId="0" fontId="0" fillId="4" borderId="12" xfId="0" applyFill="1" applyBorder="1" applyAlignment="1">
      <alignment wrapText="1"/>
    </xf>
    <xf numFmtId="0" fontId="0" fillId="0" borderId="26" xfId="0" applyBorder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0" fillId="0" borderId="27" xfId="0" applyBorder="1"/>
    <xf numFmtId="43" fontId="0" fillId="0" borderId="28" xfId="0" applyNumberFormat="1" applyBorder="1" applyAlignment="1">
      <alignment horizontal="center"/>
    </xf>
    <xf numFmtId="43" fontId="0" fillId="0" borderId="29" xfId="0" applyNumberFormat="1" applyBorder="1" applyAlignment="1">
      <alignment horizontal="center"/>
    </xf>
    <xf numFmtId="0" fontId="0" fillId="0" borderId="15" xfId="0" applyFill="1" applyBorder="1" applyAlignment="1">
      <alignment wrapText="1"/>
    </xf>
    <xf numFmtId="0" fontId="0" fillId="0" borderId="15" xfId="0" applyFill="1" applyBorder="1"/>
    <xf numFmtId="164" fontId="0" fillId="0" borderId="15" xfId="0" applyNumberFormat="1" applyFill="1" applyBorder="1"/>
    <xf numFmtId="164" fontId="0" fillId="0" borderId="25" xfId="0" applyNumberFormat="1" applyFill="1" applyBorder="1"/>
    <xf numFmtId="0" fontId="0" fillId="0" borderId="14" xfId="0" applyFill="1" applyBorder="1" applyAlignment="1">
      <alignment wrapText="1"/>
    </xf>
    <xf numFmtId="0" fontId="0" fillId="0" borderId="14" xfId="0" applyFill="1" applyBorder="1"/>
    <xf numFmtId="43" fontId="0" fillId="0" borderId="14" xfId="0" applyNumberFormat="1" applyFill="1" applyBorder="1"/>
    <xf numFmtId="43" fontId="0" fillId="0" borderId="12" xfId="0" applyNumberFormat="1" applyFill="1" applyBorder="1"/>
    <xf numFmtId="43" fontId="0" fillId="0" borderId="13" xfId="0" applyNumberFormat="1" applyFill="1" applyBorder="1"/>
    <xf numFmtId="43" fontId="0" fillId="0" borderId="22" xfId="0" applyNumberFormat="1" applyFill="1" applyBorder="1"/>
    <xf numFmtId="43" fontId="0" fillId="0" borderId="24" xfId="0" applyNumberFormat="1" applyFill="1" applyBorder="1"/>
    <xf numFmtId="43" fontId="0" fillId="0" borderId="23" xfId="0" applyNumberFormat="1" applyFill="1" applyBorder="1"/>
    <xf numFmtId="0" fontId="0" fillId="0" borderId="14" xfId="0" applyBorder="1" applyAlignment="1">
      <alignment horizontal="center"/>
    </xf>
    <xf numFmtId="43" fontId="0" fillId="0" borderId="14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43" fontId="0" fillId="0" borderId="13" xfId="0" applyNumberFormat="1" applyBorder="1"/>
    <xf numFmtId="43" fontId="0" fillId="0" borderId="24" xfId="0" applyNumberFormat="1" applyBorder="1"/>
    <xf numFmtId="43" fontId="0" fillId="0" borderId="23" xfId="0" applyNumberFormat="1" applyBorder="1"/>
    <xf numFmtId="0" fontId="0" fillId="0" borderId="33" xfId="0" applyBorder="1"/>
    <xf numFmtId="43" fontId="0" fillId="0" borderId="34" xfId="0" applyNumberForma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43" fontId="0" fillId="5" borderId="34" xfId="0" applyNumberFormat="1" applyFill="1" applyBorder="1"/>
    <xf numFmtId="43" fontId="0" fillId="5" borderId="35" xfId="0" applyNumberFormat="1" applyFill="1" applyBorder="1"/>
    <xf numFmtId="43" fontId="0" fillId="5" borderId="14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3" fillId="0" borderId="0" xfId="0" applyFont="1" applyFill="1" applyBorder="1" applyAlignment="1"/>
    <xf numFmtId="0" fontId="3" fillId="7" borderId="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epa.sharepoint.com/Users/NSwans02/AppData/Local/Microsoft/Windows/Temporary%20Internet%20Files/Content.Outlook/SCOIUDL7/Baseline%20Category-specific%20rates%20and%20State%20Goal%20Quantification%20(Draft%20OMB%20version%207-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1 - All Units"/>
      <sheetName val="Appendix 2 - Under construction"/>
      <sheetName val="Appendix 3 - State-level data"/>
      <sheetName val="Appendix 4 - Category-spec calc"/>
      <sheetName val="Appendix 5- State goals"/>
      <sheetName val="BB2"/>
      <sheetName val="BB3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Eastern</v>
          </cell>
          <cell r="B4">
            <v>987955585.20000005</v>
          </cell>
          <cell r="C4">
            <v>734541766.32822895</v>
          </cell>
          <cell r="D4">
            <v>896140954.92043924</v>
          </cell>
          <cell r="E4">
            <v>940948002.66646123</v>
          </cell>
          <cell r="F4">
            <v>987955585.20000005</v>
          </cell>
          <cell r="G4">
            <v>987955585.20000005</v>
          </cell>
          <cell r="H4">
            <v>987955585.20000005</v>
          </cell>
          <cell r="I4">
            <v>987955585.20000005</v>
          </cell>
          <cell r="J4">
            <v>987955585.20000005</v>
          </cell>
          <cell r="K4">
            <v>987955585.20000005</v>
          </cell>
          <cell r="L4">
            <v>987955585.20000005</v>
          </cell>
        </row>
        <row r="5">
          <cell r="A5" t="str">
            <v>Western</v>
          </cell>
          <cell r="B5">
            <v>305994812.39999998</v>
          </cell>
          <cell r="C5">
            <v>198151365.95778704</v>
          </cell>
          <cell r="D5">
            <v>241744666.46850017</v>
          </cell>
          <cell r="E5">
            <v>253831899.79192519</v>
          </cell>
          <cell r="F5">
            <v>266523494.78152147</v>
          </cell>
          <cell r="G5">
            <v>279849669.52059758</v>
          </cell>
          <cell r="H5">
            <v>293842152.99662745</v>
          </cell>
          <cell r="I5">
            <v>305994812.39999998</v>
          </cell>
          <cell r="J5">
            <v>305994812.39999998</v>
          </cell>
          <cell r="K5">
            <v>305994812.39999998</v>
          </cell>
          <cell r="L5">
            <v>305994812.39999998</v>
          </cell>
        </row>
        <row r="6">
          <cell r="A6" t="str">
            <v>ERCOT</v>
          </cell>
          <cell r="B6">
            <v>203650232.39999995</v>
          </cell>
          <cell r="C6">
            <v>137182895.18000007</v>
          </cell>
          <cell r="D6">
            <v>167363132.11960009</v>
          </cell>
          <cell r="E6">
            <v>175731288.7255801</v>
          </cell>
          <cell r="F6">
            <v>184517853.1618591</v>
          </cell>
          <cell r="G6">
            <v>193743745.81995207</v>
          </cell>
          <cell r="H6">
            <v>203430933.1109497</v>
          </cell>
          <cell r="I6">
            <v>203650232.39999995</v>
          </cell>
          <cell r="J6">
            <v>203650232.39999995</v>
          </cell>
          <cell r="K6">
            <v>203650232.39999995</v>
          </cell>
          <cell r="L6">
            <v>203650232.39999995</v>
          </cell>
        </row>
      </sheetData>
      <sheetData sheetId="6">
        <row r="3">
          <cell r="A3" t="str">
            <v>Eastern</v>
          </cell>
          <cell r="B3">
            <v>166253133.88248348</v>
          </cell>
          <cell r="C3">
            <v>181542775.22580782</v>
          </cell>
          <cell r="D3">
            <v>218243050.15373981</v>
          </cell>
          <cell r="E3">
            <v>254943325.0816718</v>
          </cell>
          <cell r="F3">
            <v>291643600.0096038</v>
          </cell>
          <cell r="G3">
            <v>328343874.93753582</v>
          </cell>
          <cell r="H3">
            <v>365044149.86546785</v>
          </cell>
          <cell r="I3">
            <v>401744424.79339987</v>
          </cell>
          <cell r="J3">
            <v>438444699.72133189</v>
          </cell>
        </row>
        <row r="4">
          <cell r="A4" t="str">
            <v>Western</v>
          </cell>
          <cell r="B4">
            <v>56663540.941620365</v>
          </cell>
          <cell r="C4">
            <v>60956363.472270653</v>
          </cell>
          <cell r="D4">
            <v>75244720.918827727</v>
          </cell>
          <cell r="E4">
            <v>89533078.365384802</v>
          </cell>
          <cell r="F4">
            <v>103821435.81194188</v>
          </cell>
          <cell r="G4">
            <v>118109793.25849895</v>
          </cell>
          <cell r="H4">
            <v>132398150.70505603</v>
          </cell>
          <cell r="I4">
            <v>146686508.15161309</v>
          </cell>
          <cell r="J4">
            <v>160974865.59817016</v>
          </cell>
        </row>
        <row r="5">
          <cell r="A5" t="str">
            <v>ERCOT</v>
          </cell>
          <cell r="B5">
            <v>18963672.368572205</v>
          </cell>
          <cell r="C5">
            <v>28177430.894597579</v>
          </cell>
          <cell r="D5">
            <v>39382161.760108508</v>
          </cell>
          <cell r="E5">
            <v>50586892.625619441</v>
          </cell>
          <cell r="F5">
            <v>61791623.491130367</v>
          </cell>
          <cell r="G5">
            <v>72996354.356641293</v>
          </cell>
          <cell r="H5">
            <v>84201085.222152218</v>
          </cell>
          <cell r="I5">
            <v>95405816.087663144</v>
          </cell>
          <cell r="J5">
            <v>106610546.95317407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4"/>
  <sheetViews>
    <sheetView tabSelected="1" topLeftCell="H25" zoomScale="85" zoomScaleNormal="85" workbookViewId="0">
      <selection activeCell="J34" sqref="J34"/>
    </sheetView>
  </sheetViews>
  <sheetFormatPr defaultRowHeight="15" x14ac:dyDescent="0.25"/>
  <cols>
    <col min="1" max="1" width="15.7109375" customWidth="1"/>
    <col min="2" max="2" width="16.85546875" customWidth="1"/>
    <col min="3" max="3" width="14.42578125" customWidth="1"/>
    <col min="4" max="4" width="15.85546875" customWidth="1"/>
    <col min="5" max="5" width="14.42578125" customWidth="1"/>
    <col min="6" max="6" width="17.28515625" customWidth="1"/>
    <col min="7" max="7" width="14.7109375" customWidth="1"/>
    <col min="8" max="8" width="14.85546875" customWidth="1"/>
    <col min="9" max="9" width="13.42578125" bestFit="1" customWidth="1"/>
    <col min="10" max="10" width="15.85546875" customWidth="1"/>
    <col min="11" max="11" width="13.5703125" customWidth="1"/>
    <col min="12" max="13" width="10.42578125" customWidth="1"/>
    <col min="14" max="14" width="14.28515625" customWidth="1"/>
    <col min="15" max="15" width="17.28515625" customWidth="1"/>
    <col min="16" max="16" width="15.42578125" customWidth="1"/>
    <col min="17" max="18" width="15.28515625" bestFit="1" customWidth="1"/>
    <col min="19" max="19" width="14.85546875" customWidth="1"/>
    <col min="20" max="21" width="15.28515625" bestFit="1" customWidth="1"/>
    <col min="22" max="22" width="20.5703125" bestFit="1" customWidth="1"/>
    <col min="23" max="23" width="9.5703125" bestFit="1" customWidth="1"/>
    <col min="24" max="24" width="9.5703125" customWidth="1"/>
    <col min="25" max="25" width="12.28515625" customWidth="1"/>
    <col min="26" max="26" width="13.28515625" customWidth="1"/>
    <col min="27" max="28" width="10.42578125" customWidth="1"/>
    <col min="30" max="30" width="13" customWidth="1"/>
    <col min="31" max="33" width="10.140625" bestFit="1" customWidth="1"/>
    <col min="34" max="35" width="9" bestFit="1" customWidth="1"/>
    <col min="36" max="36" width="7.7109375" bestFit="1" customWidth="1"/>
    <col min="37" max="39" width="7" bestFit="1" customWidth="1"/>
    <col min="40" max="40" width="7.5703125" bestFit="1" customWidth="1"/>
    <col min="41" max="41" width="7" bestFit="1" customWidth="1"/>
  </cols>
  <sheetData>
    <row r="1" spans="1:35" x14ac:dyDescent="0.25">
      <c r="A1" t="s">
        <v>32</v>
      </c>
      <c r="I1" s="58"/>
    </row>
    <row r="2" spans="1:35" x14ac:dyDescent="0.25">
      <c r="I2" s="58"/>
    </row>
    <row r="3" spans="1:35" ht="15.75" thickBot="1" x14ac:dyDescent="0.3">
      <c r="A3" s="59">
        <v>2030</v>
      </c>
    </row>
    <row r="4" spans="1:35" ht="15.75" thickBot="1" x14ac:dyDescent="0.3">
      <c r="A4" s="1"/>
      <c r="B4" s="131" t="s">
        <v>0</v>
      </c>
      <c r="C4" s="132"/>
      <c r="D4" s="132"/>
      <c r="E4" s="132"/>
      <c r="F4" s="132"/>
      <c r="G4" s="132"/>
      <c r="H4" s="113" t="s">
        <v>1</v>
      </c>
      <c r="I4" s="114"/>
      <c r="J4" s="115" t="s">
        <v>2</v>
      </c>
      <c r="K4" s="116"/>
      <c r="L4" s="116"/>
      <c r="M4" s="116"/>
      <c r="N4" s="116"/>
      <c r="O4" s="116"/>
      <c r="P4" s="116"/>
      <c r="Q4" s="116"/>
      <c r="R4" s="117"/>
      <c r="S4" s="118" t="s">
        <v>3</v>
      </c>
      <c r="T4" s="119"/>
      <c r="U4" s="120"/>
      <c r="V4" s="126" t="s">
        <v>4</v>
      </c>
      <c r="W4" s="127"/>
      <c r="X4" s="110" t="s">
        <v>42</v>
      </c>
      <c r="Y4" s="111"/>
      <c r="Z4" s="112"/>
    </row>
    <row r="5" spans="1:35" ht="105" x14ac:dyDescent="0.25">
      <c r="A5" s="2" t="s">
        <v>5</v>
      </c>
      <c r="B5" s="131" t="s">
        <v>6</v>
      </c>
      <c r="C5" s="132"/>
      <c r="D5" s="131" t="s">
        <v>7</v>
      </c>
      <c r="E5" s="133"/>
      <c r="F5" s="131" t="s">
        <v>8</v>
      </c>
      <c r="G5" s="133"/>
      <c r="H5" s="3" t="s">
        <v>9</v>
      </c>
      <c r="I5" s="4" t="s">
        <v>10</v>
      </c>
      <c r="J5" s="5" t="s">
        <v>11</v>
      </c>
      <c r="K5" s="6" t="s">
        <v>12</v>
      </c>
      <c r="L5" s="6" t="s">
        <v>13</v>
      </c>
      <c r="M5" s="6" t="s">
        <v>14</v>
      </c>
      <c r="N5" s="6" t="s">
        <v>15</v>
      </c>
      <c r="O5" s="6" t="s">
        <v>16</v>
      </c>
      <c r="P5" s="6" t="s">
        <v>17</v>
      </c>
      <c r="Q5" s="6" t="s">
        <v>18</v>
      </c>
      <c r="R5" s="7" t="s">
        <v>19</v>
      </c>
      <c r="S5" s="8" t="s">
        <v>20</v>
      </c>
      <c r="T5" s="9" t="s">
        <v>21</v>
      </c>
      <c r="U5" s="10" t="s">
        <v>17</v>
      </c>
      <c r="V5" s="11" t="s">
        <v>9</v>
      </c>
      <c r="W5" s="76" t="s">
        <v>22</v>
      </c>
      <c r="X5" s="11" t="s">
        <v>43</v>
      </c>
      <c r="Y5" s="80" t="s">
        <v>41</v>
      </c>
      <c r="Z5" s="12" t="s">
        <v>44</v>
      </c>
      <c r="AA5" s="57"/>
      <c r="AB5" s="57"/>
      <c r="AC5" s="57"/>
    </row>
    <row r="6" spans="1:35" ht="15.75" thickBot="1" x14ac:dyDescent="0.3">
      <c r="A6" s="13"/>
      <c r="B6" s="14" t="s">
        <v>23</v>
      </c>
      <c r="C6" s="15" t="s">
        <v>24</v>
      </c>
      <c r="D6" s="14" t="s">
        <v>23</v>
      </c>
      <c r="E6" s="16" t="s">
        <v>25</v>
      </c>
      <c r="F6" s="14" t="s">
        <v>23</v>
      </c>
      <c r="G6" s="16" t="s">
        <v>25</v>
      </c>
      <c r="H6" s="17" t="s">
        <v>26</v>
      </c>
      <c r="I6" s="18" t="s">
        <v>26</v>
      </c>
      <c r="J6" s="19" t="s">
        <v>27</v>
      </c>
      <c r="K6" s="20" t="s">
        <v>27</v>
      </c>
      <c r="L6" s="20"/>
      <c r="M6" s="20"/>
      <c r="N6" s="20" t="s">
        <v>27</v>
      </c>
      <c r="O6" s="20" t="s">
        <v>27</v>
      </c>
      <c r="P6" s="20" t="s">
        <v>27</v>
      </c>
      <c r="Q6" s="20" t="s">
        <v>27</v>
      </c>
      <c r="R6" s="21" t="s">
        <v>27</v>
      </c>
      <c r="S6" s="22" t="s">
        <v>27</v>
      </c>
      <c r="T6" s="23" t="s">
        <v>27</v>
      </c>
      <c r="U6" s="24" t="s">
        <v>27</v>
      </c>
      <c r="V6" s="25" t="s">
        <v>28</v>
      </c>
      <c r="W6" s="77" t="s">
        <v>28</v>
      </c>
      <c r="X6" s="25"/>
      <c r="Y6" s="81"/>
      <c r="Z6" s="26"/>
    </row>
    <row r="7" spans="1:35" x14ac:dyDescent="0.25">
      <c r="A7" s="27" t="s">
        <v>29</v>
      </c>
      <c r="B7" s="28">
        <v>1356050504.7965584</v>
      </c>
      <c r="C7" s="28">
        <v>1230433631.2946141</v>
      </c>
      <c r="D7" s="28">
        <v>328232619.7211892</v>
      </c>
      <c r="E7" s="28">
        <v>734541766.32822895</v>
      </c>
      <c r="F7" s="28">
        <v>52979246.469569653</v>
      </c>
      <c r="G7" s="28">
        <v>74240792.865668803</v>
      </c>
      <c r="H7" s="29">
        <f>(((B7*0.957)+(F7))*2000)/(G7+C7)</f>
        <v>2070.5848977291462</v>
      </c>
      <c r="I7" s="30">
        <f>D7*2000/E7</f>
        <v>893.70716484083198</v>
      </c>
      <c r="J7" s="31">
        <f>G7+C7</f>
        <v>1304674424.1602829</v>
      </c>
      <c r="K7" s="32">
        <f>E7</f>
        <v>734541766.32822895</v>
      </c>
      <c r="L7" s="33">
        <f t="shared" ref="L7:M9" si="0">J7/($J7+$K7)</f>
        <v>0.6397921074997629</v>
      </c>
      <c r="M7" s="33">
        <f t="shared" si="0"/>
        <v>0.36020789250023716</v>
      </c>
      <c r="N7" s="34">
        <f>VLOOKUP(A7,[1]BB3!$A$3:$J$5,10,0)</f>
        <v>438444699.72133189</v>
      </c>
      <c r="O7" s="35">
        <f>J7-(N7*L7)</f>
        <v>1024160965.7034712</v>
      </c>
      <c r="P7" s="35">
        <f>K7-(N7*M7)</f>
        <v>576610525.06370866</v>
      </c>
      <c r="Q7" s="35">
        <f t="shared" ref="Q7:R9" si="1">J7-O7</f>
        <v>280513458.45681167</v>
      </c>
      <c r="R7" s="36">
        <f t="shared" si="1"/>
        <v>157931241.26452029</v>
      </c>
      <c r="S7" s="37">
        <f>VLOOKUP(A7,[1]BB2!$A$4:$L$6,12,0)-P7</f>
        <v>411345060.13629138</v>
      </c>
      <c r="T7" s="38">
        <f>MAX(O7-S7,0)</f>
        <v>612815905.5671798</v>
      </c>
      <c r="U7" s="39">
        <f>(O7-T7)+P7</f>
        <v>987955585.20000005</v>
      </c>
      <c r="V7" s="40">
        <f>ROUNDUP((T7*H7+(MAX(0,U7-K7)*I7))/(MAX(0,U7-K7)+T7+Q7),0)</f>
        <v>1305</v>
      </c>
      <c r="W7" s="78">
        <f>(U7*I7)/(U7+R7)</f>
        <v>770.53245106408872</v>
      </c>
      <c r="X7" s="83">
        <f>1-(I7/MAX($V$7:$V$9))</f>
        <v>0.3151669234936153</v>
      </c>
      <c r="Y7" s="82">
        <f>1-(K7/U7)</f>
        <v>0.2565032504173459</v>
      </c>
      <c r="Z7" s="84">
        <f>Y7*X7</f>
        <v>8.0841340300147307E-2</v>
      </c>
      <c r="AA7" s="56"/>
      <c r="AB7" s="56"/>
      <c r="AC7" s="56"/>
    </row>
    <row r="8" spans="1:35" x14ac:dyDescent="0.25">
      <c r="A8" s="27" t="s">
        <v>30</v>
      </c>
      <c r="B8" s="28">
        <v>229424715.80883861</v>
      </c>
      <c r="C8" s="28">
        <v>203976917.82870078</v>
      </c>
      <c r="D8" s="28">
        <v>89046465.077493206</v>
      </c>
      <c r="E8" s="28">
        <v>198151365.95778704</v>
      </c>
      <c r="F8" s="28">
        <v>9433180.3000000007</v>
      </c>
      <c r="G8" s="28">
        <v>13326187</v>
      </c>
      <c r="H8" s="29">
        <f>(((B8*0.979)+(F8))*2000)/(G8+C8)</f>
        <v>2154.0417221497669</v>
      </c>
      <c r="I8" s="30">
        <f>D8*2000/E8</f>
        <v>898.77215478255278</v>
      </c>
      <c r="J8" s="31">
        <f>G8+C8</f>
        <v>217303104.82870078</v>
      </c>
      <c r="K8" s="32">
        <f>E8</f>
        <v>198151365.95778704</v>
      </c>
      <c r="L8" s="33">
        <f t="shared" si="0"/>
        <v>0.52304914282744153</v>
      </c>
      <c r="M8" s="33">
        <f t="shared" si="0"/>
        <v>0.47695085717255853</v>
      </c>
      <c r="N8" s="34">
        <f>VLOOKUP(A8,[1]BB3!$A$3:$J$5,10,0)</f>
        <v>160974865.59817016</v>
      </c>
      <c r="O8" s="35">
        <f>J8-(N8*L8)</f>
        <v>133105339.36081527</v>
      </c>
      <c r="P8" s="35">
        <f>K8-(N8*M8)</f>
        <v>121374265.82750237</v>
      </c>
      <c r="Q8" s="35">
        <f t="shared" si="1"/>
        <v>84197765.467885509</v>
      </c>
      <c r="R8" s="36">
        <f t="shared" si="1"/>
        <v>76777100.130284667</v>
      </c>
      <c r="S8" s="37">
        <f>VLOOKUP(A8,[1]BB2!$A$4:$L$6,12,0)-P8</f>
        <v>184620546.57249761</v>
      </c>
      <c r="T8" s="38">
        <f>MAX(O8-S8,0)</f>
        <v>0</v>
      </c>
      <c r="U8" s="39">
        <f>(O8-T8)+P8</f>
        <v>254479605.18831766</v>
      </c>
      <c r="V8" s="40">
        <f>(T8*H8+(MAX(0,U8-K8)*I8))/(MAX(0,U8-K8)+T8+Q8)</f>
        <v>360.2625226340171</v>
      </c>
      <c r="W8" s="78">
        <f>(U8*I8)/(U8+R8)</f>
        <v>690.45902899787552</v>
      </c>
      <c r="X8" s="83">
        <f t="shared" ref="X8:X9" si="2">1-(I8/MAX($V$7:$V$9))</f>
        <v>0.31128570514746912</v>
      </c>
      <c r="Y8" s="82">
        <f t="shared" ref="Y8:Y9" si="3">1-(K8/U8)</f>
        <v>0.22134677232325595</v>
      </c>
      <c r="Z8" s="84">
        <f t="shared" ref="Z8:Z9" si="4">Y8*X8</f>
        <v>6.8902086104761034E-2</v>
      </c>
      <c r="AA8" s="56"/>
      <c r="AB8" s="56"/>
      <c r="AC8" s="56"/>
    </row>
    <row r="9" spans="1:35" ht="15.75" thickBot="1" x14ac:dyDescent="0.3">
      <c r="A9" s="14" t="s">
        <v>31</v>
      </c>
      <c r="B9" s="42">
        <v>129404297.86275788</v>
      </c>
      <c r="C9" s="42">
        <v>115050132.40000001</v>
      </c>
      <c r="D9" s="42">
        <v>65236948.462444693</v>
      </c>
      <c r="E9" s="42">
        <v>137182895.18000007</v>
      </c>
      <c r="F9" s="42">
        <v>5835640.9800000014</v>
      </c>
      <c r="G9" s="42">
        <v>8331348</v>
      </c>
      <c r="H9" s="43">
        <f>(((B9*0.977)+(F9))*2000)/(G9+C9)</f>
        <v>2143.9788137266414</v>
      </c>
      <c r="I9" s="44">
        <f>D9*2000/E9</f>
        <v>951.09449872516768</v>
      </c>
      <c r="J9" s="45">
        <f>G9+C9</f>
        <v>123381480.40000001</v>
      </c>
      <c r="K9" s="46">
        <f>E9</f>
        <v>137182895.18000007</v>
      </c>
      <c r="L9" s="47">
        <f t="shared" si="0"/>
        <v>0.47351630523305621</v>
      </c>
      <c r="M9" s="47">
        <f t="shared" si="0"/>
        <v>0.52648369476694379</v>
      </c>
      <c r="N9" s="48">
        <f>VLOOKUP(A9,[1]BB3!$A$3:$J$5,10,0)</f>
        <v>106610546.95317407</v>
      </c>
      <c r="O9" s="49">
        <f>J9-(N9*L9)</f>
        <v>72899648.107857764</v>
      </c>
      <c r="P9" s="49">
        <f>K9-(N9*M9)</f>
        <v>81054180.518968239</v>
      </c>
      <c r="Q9" s="49">
        <f t="shared" si="1"/>
        <v>50481832.292142242</v>
      </c>
      <c r="R9" s="50">
        <f t="shared" si="1"/>
        <v>56128714.661031827</v>
      </c>
      <c r="S9" s="51">
        <f>VLOOKUP(A9,[1]BB2!$A$4:$L$6,12,0)-P9</f>
        <v>122596051.88103171</v>
      </c>
      <c r="T9" s="52">
        <f>MAX(O9-S9,0)</f>
        <v>0</v>
      </c>
      <c r="U9" s="53">
        <f>(O9-T9)+P9</f>
        <v>153953828.62682599</v>
      </c>
      <c r="V9" s="54">
        <f>(T9*H9+(MAX(0,U9-K9)*I9))/(MAX(0,U9-K9)+T9+Q9)</f>
        <v>237.17600851796249</v>
      </c>
      <c r="W9" s="79">
        <f>(U9*I9)/(U9+R9)</f>
        <v>696.98622823705296</v>
      </c>
      <c r="X9" s="85">
        <f t="shared" si="2"/>
        <v>0.27119195499987148</v>
      </c>
      <c r="Y9" s="86">
        <f t="shared" si="3"/>
        <v>0.10893482543703126</v>
      </c>
      <c r="Z9" s="87">
        <f t="shared" si="4"/>
        <v>2.9542248277838235E-2</v>
      </c>
      <c r="AA9" s="56"/>
      <c r="AB9" s="56"/>
      <c r="AC9" s="56"/>
    </row>
    <row r="10" spans="1:35" x14ac:dyDescent="0.25">
      <c r="F10" s="60"/>
      <c r="G10" s="60"/>
      <c r="H10" s="60"/>
      <c r="Q10" s="56"/>
      <c r="V10" s="60"/>
      <c r="W10" s="60"/>
      <c r="X10" s="60"/>
      <c r="Y10" s="60"/>
      <c r="Z10" s="60"/>
    </row>
    <row r="11" spans="1:35" x14ac:dyDescent="0.25">
      <c r="H11" s="60"/>
      <c r="V11" s="60"/>
      <c r="W11" s="60"/>
      <c r="X11" s="60"/>
      <c r="Y11" s="60"/>
      <c r="Z11" s="60"/>
    </row>
    <row r="12" spans="1:35" ht="15.75" thickBot="1" x14ac:dyDescent="0.3">
      <c r="A12" s="59">
        <v>2029</v>
      </c>
      <c r="V12" s="60"/>
      <c r="W12" s="60"/>
      <c r="X12" s="60"/>
      <c r="Y12" s="60"/>
      <c r="Z12" s="60"/>
    </row>
    <row r="13" spans="1:35" ht="15.75" thickBot="1" x14ac:dyDescent="0.3">
      <c r="A13" s="1"/>
      <c r="B13" s="131" t="s">
        <v>0</v>
      </c>
      <c r="C13" s="132"/>
      <c r="D13" s="132"/>
      <c r="E13" s="132"/>
      <c r="F13" s="132"/>
      <c r="G13" s="132"/>
      <c r="H13" s="113" t="s">
        <v>1</v>
      </c>
      <c r="I13" s="114"/>
      <c r="J13" s="115" t="s">
        <v>35</v>
      </c>
      <c r="K13" s="116"/>
      <c r="L13" s="116"/>
      <c r="M13" s="116"/>
      <c r="N13" s="116"/>
      <c r="O13" s="116"/>
      <c r="P13" s="116"/>
      <c r="Q13" s="116"/>
      <c r="R13" s="117"/>
      <c r="S13" s="118" t="s">
        <v>36</v>
      </c>
      <c r="T13" s="119"/>
      <c r="U13" s="120"/>
      <c r="V13" s="121" t="s">
        <v>4</v>
      </c>
      <c r="W13" s="122"/>
      <c r="X13" s="110" t="s">
        <v>42</v>
      </c>
      <c r="Y13" s="111"/>
      <c r="Z13" s="112"/>
      <c r="AD13" s="128" t="s">
        <v>45</v>
      </c>
      <c r="AE13" s="129"/>
      <c r="AF13" s="129"/>
      <c r="AG13" s="129"/>
      <c r="AH13" s="129"/>
      <c r="AI13" s="130"/>
    </row>
    <row r="14" spans="1:35" ht="105.75" thickBot="1" x14ac:dyDescent="0.3">
      <c r="A14" s="2" t="s">
        <v>5</v>
      </c>
      <c r="B14" s="131" t="s">
        <v>6</v>
      </c>
      <c r="C14" s="132"/>
      <c r="D14" s="131" t="s">
        <v>7</v>
      </c>
      <c r="E14" s="133"/>
      <c r="F14" s="131" t="s">
        <v>8</v>
      </c>
      <c r="G14" s="133"/>
      <c r="H14" s="3" t="s">
        <v>9</v>
      </c>
      <c r="I14" s="4" t="s">
        <v>10</v>
      </c>
      <c r="J14" s="5" t="s">
        <v>11</v>
      </c>
      <c r="K14" s="6" t="s">
        <v>12</v>
      </c>
      <c r="L14" s="6" t="s">
        <v>13</v>
      </c>
      <c r="M14" s="6" t="s">
        <v>14</v>
      </c>
      <c r="N14" s="6" t="s">
        <v>15</v>
      </c>
      <c r="O14" s="6" t="s">
        <v>16</v>
      </c>
      <c r="P14" s="6" t="s">
        <v>17</v>
      </c>
      <c r="Q14" s="6" t="s">
        <v>18</v>
      </c>
      <c r="R14" s="7" t="s">
        <v>19</v>
      </c>
      <c r="S14" s="8" t="s">
        <v>20</v>
      </c>
      <c r="T14" s="9" t="s">
        <v>21</v>
      </c>
      <c r="U14" s="63" t="s">
        <v>17</v>
      </c>
      <c r="V14" s="11" t="s">
        <v>9</v>
      </c>
      <c r="W14" s="12" t="s">
        <v>22</v>
      </c>
      <c r="X14" s="11" t="s">
        <v>43</v>
      </c>
      <c r="Y14" s="80" t="s">
        <v>41</v>
      </c>
      <c r="Z14" s="12" t="s">
        <v>44</v>
      </c>
      <c r="AA14" s="57"/>
      <c r="AB14" s="57"/>
      <c r="AC14" s="57"/>
      <c r="AD14" s="73"/>
      <c r="AE14" s="97" t="s">
        <v>37</v>
      </c>
      <c r="AF14" s="97" t="s">
        <v>38</v>
      </c>
      <c r="AG14" s="97" t="s">
        <v>39</v>
      </c>
      <c r="AH14" s="97" t="s">
        <v>33</v>
      </c>
      <c r="AI14" s="98" t="s">
        <v>34</v>
      </c>
    </row>
    <row r="15" spans="1:35" ht="15.75" thickBot="1" x14ac:dyDescent="0.3">
      <c r="A15" s="13"/>
      <c r="B15" s="14" t="s">
        <v>23</v>
      </c>
      <c r="C15" s="15" t="s">
        <v>24</v>
      </c>
      <c r="D15" s="14" t="s">
        <v>23</v>
      </c>
      <c r="E15" s="16" t="s">
        <v>25</v>
      </c>
      <c r="F15" s="14" t="s">
        <v>23</v>
      </c>
      <c r="G15" s="16" t="s">
        <v>25</v>
      </c>
      <c r="H15" s="17" t="s">
        <v>26</v>
      </c>
      <c r="I15" s="18" t="s">
        <v>26</v>
      </c>
      <c r="J15" s="19" t="s">
        <v>27</v>
      </c>
      <c r="K15" s="20" t="s">
        <v>27</v>
      </c>
      <c r="L15" s="20"/>
      <c r="M15" s="20"/>
      <c r="N15" s="20" t="s">
        <v>27</v>
      </c>
      <c r="O15" s="20" t="s">
        <v>27</v>
      </c>
      <c r="P15" s="20" t="s">
        <v>27</v>
      </c>
      <c r="Q15" s="20" t="s">
        <v>27</v>
      </c>
      <c r="R15" s="21" t="s">
        <v>27</v>
      </c>
      <c r="S15" s="22" t="s">
        <v>27</v>
      </c>
      <c r="T15" s="23" t="s">
        <v>27</v>
      </c>
      <c r="U15" s="64" t="s">
        <v>27</v>
      </c>
      <c r="V15" s="25" t="s">
        <v>28</v>
      </c>
      <c r="W15" s="26" t="s">
        <v>28</v>
      </c>
      <c r="X15" s="25"/>
      <c r="Y15" s="81"/>
      <c r="Z15" s="26"/>
      <c r="AD15" s="95" t="s">
        <v>29</v>
      </c>
      <c r="AE15" s="99">
        <f>AVERAGE(Z82,Z73,Z64)</f>
        <v>0.10097411809157764</v>
      </c>
      <c r="AF15" s="96">
        <f>AVERAGE(Z55,Z46,Z36)</f>
        <v>0.10353401049366155</v>
      </c>
      <c r="AG15" s="96">
        <f>AVERAGE(Z26,Z16)</f>
        <v>9.0264203939959833E-2</v>
      </c>
      <c r="AH15" s="96">
        <f>AVERAGE(AE15:AG15)</f>
        <v>9.8257444175066336E-2</v>
      </c>
      <c r="AI15" s="100">
        <f>AVERAGE(Z7)</f>
        <v>8.0841340300147307E-2</v>
      </c>
    </row>
    <row r="16" spans="1:35" x14ac:dyDescent="0.25">
      <c r="A16" s="27" t="s">
        <v>29</v>
      </c>
      <c r="B16" s="28">
        <v>1356050504.7965584</v>
      </c>
      <c r="C16" s="28">
        <v>1230433631.2946141</v>
      </c>
      <c r="D16" s="28">
        <v>328232619.7211892</v>
      </c>
      <c r="E16" s="28">
        <v>734541766.32822895</v>
      </c>
      <c r="F16" s="28">
        <v>52979246.469569653</v>
      </c>
      <c r="G16" s="28">
        <v>74240792.865668803</v>
      </c>
      <c r="H16" s="29">
        <f>$H$7</f>
        <v>2070.5848977291462</v>
      </c>
      <c r="I16" s="30">
        <f>D16*2000/E16</f>
        <v>893.70716484083198</v>
      </c>
      <c r="J16" s="31">
        <f>G16+C16</f>
        <v>1304674424.1602829</v>
      </c>
      <c r="K16" s="32">
        <f>E16</f>
        <v>734541766.32822895</v>
      </c>
      <c r="L16" s="33">
        <f t="shared" ref="L16:M18" si="5">J16/($J16+$K16)</f>
        <v>0.6397921074997629</v>
      </c>
      <c r="M16" s="33">
        <f t="shared" si="5"/>
        <v>0.36020789250023716</v>
      </c>
      <c r="N16" s="34">
        <f>VLOOKUP(A16,[1]BB3!$A$3:$J$5,9,0)</f>
        <v>401744424.79339987</v>
      </c>
      <c r="O16" s="35">
        <f>J16-(N16*L16)</f>
        <v>1047641511.9454336</v>
      </c>
      <c r="P16" s="35">
        <f>K16-(N16*M16)</f>
        <v>589830253.74967837</v>
      </c>
      <c r="Q16" s="35">
        <f t="shared" ref="Q16:R18" si="6">J16-O16</f>
        <v>257032912.21484923</v>
      </c>
      <c r="R16" s="35">
        <f t="shared" si="6"/>
        <v>144711512.57855058</v>
      </c>
      <c r="S16" s="37">
        <f>VLOOKUP(A16,[1]BB2!$A$4:$L$6,11,0)-P16</f>
        <v>398125331.45032167</v>
      </c>
      <c r="T16" s="38">
        <f>MAX(O16-S16,0)</f>
        <v>649516180.49511194</v>
      </c>
      <c r="U16" s="66">
        <f>(O16-T16)+P16</f>
        <v>987955585.20000005</v>
      </c>
      <c r="V16" s="40">
        <f>(T16*H16+(MAX(0,U16-K16)*I16))/(MAX(0,U16-K16)+T16+Q16)</f>
        <v>1354.6606741215244</v>
      </c>
      <c r="W16" s="41">
        <f>(U16*I16)/(U16+R16)</f>
        <v>779.52558767658536</v>
      </c>
      <c r="X16" s="83">
        <f>1-(I16/MAX($V$16:$V$18))</f>
        <v>0.34027230441277356</v>
      </c>
      <c r="Y16" s="82">
        <f>1-(K16/U16)</f>
        <v>0.2565032504173459</v>
      </c>
      <c r="Z16" s="84">
        <f>Y16*X16</f>
        <v>8.7280952108877013E-2</v>
      </c>
      <c r="AA16" s="56"/>
      <c r="AB16" s="56"/>
      <c r="AC16" s="56"/>
      <c r="AD16" s="90" t="s">
        <v>46</v>
      </c>
      <c r="AE16" s="89">
        <f t="shared" ref="AE16:AE17" si="7">AVERAGE(Z83,Z74,Z65)</f>
        <v>0.10031109486744078</v>
      </c>
      <c r="AF16" s="101">
        <f t="shared" ref="AF16:AF17" si="8">AVERAGE(Z56,Z47,Z37)</f>
        <v>0.12664832844806004</v>
      </c>
      <c r="AG16" s="101">
        <f t="shared" ref="AG16:AG17" si="9">AVERAGE(Z27,Z17)</f>
        <v>9.819202923766962E-2</v>
      </c>
      <c r="AH16" s="89">
        <f t="shared" ref="AH16:AH17" si="10">AVERAGE(AE16:AG16)</f>
        <v>0.10838381751772348</v>
      </c>
      <c r="AI16" s="92">
        <f t="shared" ref="AI16:AI17" si="11">AVERAGE(Z8)</f>
        <v>6.8902086104761034E-2</v>
      </c>
    </row>
    <row r="17" spans="1:41" ht="15.75" thickBot="1" x14ac:dyDescent="0.3">
      <c r="A17" s="27" t="s">
        <v>30</v>
      </c>
      <c r="B17" s="28">
        <v>229424715.80883861</v>
      </c>
      <c r="C17" s="28">
        <v>203976917.82870078</v>
      </c>
      <c r="D17" s="28">
        <v>89046465.077493206</v>
      </c>
      <c r="E17" s="28">
        <v>198151365.95778704</v>
      </c>
      <c r="F17" s="28">
        <v>9433180.3000000007</v>
      </c>
      <c r="G17" s="28">
        <v>13326187</v>
      </c>
      <c r="H17" s="29">
        <f>$H$8</f>
        <v>2154.0417221497669</v>
      </c>
      <c r="I17" s="30">
        <f>D17*2000/E17</f>
        <v>898.77215478255278</v>
      </c>
      <c r="J17" s="31">
        <f>G17+C17</f>
        <v>217303104.82870078</v>
      </c>
      <c r="K17" s="32">
        <f>E17</f>
        <v>198151365.95778704</v>
      </c>
      <c r="L17" s="33">
        <f t="shared" si="5"/>
        <v>0.52304914282744153</v>
      </c>
      <c r="M17" s="33">
        <f t="shared" si="5"/>
        <v>0.47695085717255853</v>
      </c>
      <c r="N17" s="34">
        <f>VLOOKUP(A17,[1]BB3!$A$3:$J$5,9,0)</f>
        <v>146686508.15161309</v>
      </c>
      <c r="O17" s="35">
        <f>J17-(N17*L17)</f>
        <v>140578852.47564906</v>
      </c>
      <c r="P17" s="35">
        <f>K17-(N17*M17)</f>
        <v>128189110.15922569</v>
      </c>
      <c r="Q17" s="35">
        <f t="shared" si="6"/>
        <v>76724252.353051722</v>
      </c>
      <c r="R17" s="35">
        <f t="shared" si="6"/>
        <v>69962255.79856135</v>
      </c>
      <c r="S17" s="37">
        <f>VLOOKUP(A17,[1]BB2!$A$4:$L$6,11,0)-P17</f>
        <v>177805702.24077427</v>
      </c>
      <c r="T17" s="38">
        <f>MAX(O17-S17,0)</f>
        <v>0</v>
      </c>
      <c r="U17" s="66">
        <f>(O17-T17)+P17</f>
        <v>268767962.63487476</v>
      </c>
      <c r="V17" s="40">
        <f>(T17*H17+(MAX(0,U17-K17)*I17))/(MAX(0,U17-K17)+T17+Q17)</f>
        <v>430.75787316722864</v>
      </c>
      <c r="W17" s="41">
        <f>(U17*I17)/(U17+R17)</f>
        <v>713.13732217644531</v>
      </c>
      <c r="X17" s="83">
        <f t="shared" ref="X17:X18" si="12">1-(I17/MAX($V$16:$V$18))</f>
        <v>0.33653336813265655</v>
      </c>
      <c r="Y17" s="82">
        <f t="shared" ref="Y17:Y18" si="13">1-(K17/U17)</f>
        <v>0.26274186843102809</v>
      </c>
      <c r="Z17" s="84">
        <f t="shared" ref="Z17:Z18" si="14">Y17*X17</f>
        <v>8.842140593256119E-2</v>
      </c>
      <c r="AA17" s="56"/>
      <c r="AB17" s="56"/>
      <c r="AC17" s="56"/>
      <c r="AD17" s="61" t="s">
        <v>31</v>
      </c>
      <c r="AE17" s="93">
        <f t="shared" si="7"/>
        <v>9.3416695004114689E-2</v>
      </c>
      <c r="AF17" s="93">
        <f t="shared" si="8"/>
        <v>0.10615875976426074</v>
      </c>
      <c r="AG17" s="93">
        <f t="shared" si="9"/>
        <v>6.1072031046918523E-2</v>
      </c>
      <c r="AH17" s="93">
        <f t="shared" si="10"/>
        <v>8.6882495271764656E-2</v>
      </c>
      <c r="AI17" s="94">
        <f t="shared" si="11"/>
        <v>2.9542248277838235E-2</v>
      </c>
    </row>
    <row r="18" spans="1:41" ht="15.75" thickBot="1" x14ac:dyDescent="0.3">
      <c r="A18" s="14" t="s">
        <v>31</v>
      </c>
      <c r="B18" s="42">
        <v>129404297.86275788</v>
      </c>
      <c r="C18" s="42">
        <v>115050132.40000001</v>
      </c>
      <c r="D18" s="42">
        <v>65236948.462444693</v>
      </c>
      <c r="E18" s="42">
        <v>137182895.18000007</v>
      </c>
      <c r="F18" s="42">
        <v>5835640.9800000014</v>
      </c>
      <c r="G18" s="42">
        <v>8331348</v>
      </c>
      <c r="H18" s="43">
        <f>$H$9</f>
        <v>2143.9788137266414</v>
      </c>
      <c r="I18" s="44">
        <f>D18*2000/E18</f>
        <v>951.09449872516768</v>
      </c>
      <c r="J18" s="45">
        <f>G18+C18</f>
        <v>123381480.40000001</v>
      </c>
      <c r="K18" s="46">
        <f>E18</f>
        <v>137182895.18000007</v>
      </c>
      <c r="L18" s="47">
        <f t="shared" si="5"/>
        <v>0.47351630523305621</v>
      </c>
      <c r="M18" s="47">
        <f t="shared" si="5"/>
        <v>0.52648369476694379</v>
      </c>
      <c r="N18" s="48">
        <f>VLOOKUP(A18,[1]BB3!$A$3:$J$5,9,0)</f>
        <v>95405816.087663144</v>
      </c>
      <c r="O18" s="49">
        <f>J18-(N18*L18)</f>
        <v>78205270.86842528</v>
      </c>
      <c r="P18" s="49">
        <f>K18-(N18*M18)</f>
        <v>86953288.623911649</v>
      </c>
      <c r="Q18" s="49">
        <f t="shared" si="6"/>
        <v>45176209.531574726</v>
      </c>
      <c r="R18" s="49">
        <f t="shared" si="6"/>
        <v>50229606.556088418</v>
      </c>
      <c r="S18" s="51">
        <f>VLOOKUP(A18,[1]BB2!$A$4:$L$6,11,0)-P18</f>
        <v>116696943.7760883</v>
      </c>
      <c r="T18" s="52">
        <f>MAX(O18-S18,0)</f>
        <v>0</v>
      </c>
      <c r="U18" s="67">
        <f>(O18-T18)+P18</f>
        <v>165158559.49233693</v>
      </c>
      <c r="V18" s="54">
        <f>(T18*H18+(MAX(0,U18-K18)*I18))/(MAX(0,U18-K18)+T18+Q18)</f>
        <v>363.72958104148591</v>
      </c>
      <c r="W18" s="55">
        <f>(U18*I18)/(U18+R18)</f>
        <v>729.29446511568619</v>
      </c>
      <c r="X18" s="85">
        <f t="shared" si="12"/>
        <v>0.29790941975787621</v>
      </c>
      <c r="Y18" s="86">
        <f t="shared" si="13"/>
        <v>0.16938670571073178</v>
      </c>
      <c r="Z18" s="87">
        <f t="shared" si="14"/>
        <v>5.0461895212982243E-2</v>
      </c>
      <c r="AA18" s="56"/>
      <c r="AB18" s="56"/>
      <c r="AC18" s="56"/>
    </row>
    <row r="19" spans="1:41" ht="15.75" thickBot="1" x14ac:dyDescent="0.3">
      <c r="V19" s="60"/>
      <c r="W19" s="60"/>
      <c r="X19" s="60"/>
      <c r="Y19" s="60"/>
      <c r="Z19" s="60"/>
    </row>
    <row r="20" spans="1:41" x14ac:dyDescent="0.25">
      <c r="V20" s="60"/>
      <c r="W20" s="60"/>
      <c r="X20" s="60"/>
      <c r="Y20" s="60"/>
      <c r="Z20" s="60"/>
      <c r="AC20" s="70"/>
      <c r="AD20" s="123" t="s">
        <v>45</v>
      </c>
      <c r="AE20" s="124"/>
      <c r="AF20" s="124"/>
      <c r="AG20" s="124"/>
      <c r="AH20" s="124"/>
      <c r="AI20" s="125"/>
      <c r="AJ20" s="106"/>
      <c r="AK20" s="106"/>
      <c r="AL20" s="106"/>
      <c r="AM20" s="106"/>
      <c r="AN20" s="106"/>
      <c r="AO20" s="106"/>
    </row>
    <row r="21" spans="1:41" ht="15.75" thickBot="1" x14ac:dyDescent="0.3">
      <c r="V21" s="60"/>
      <c r="W21" s="60"/>
      <c r="X21" s="60"/>
      <c r="Y21" s="60"/>
      <c r="Z21" s="60"/>
      <c r="AC21" s="70"/>
      <c r="AD21" s="61"/>
      <c r="AE21" s="62" t="s">
        <v>37</v>
      </c>
      <c r="AF21" s="62" t="s">
        <v>38</v>
      </c>
      <c r="AG21" s="62" t="s">
        <v>39</v>
      </c>
      <c r="AH21" s="62" t="s">
        <v>33</v>
      </c>
      <c r="AI21" s="65" t="s">
        <v>34</v>
      </c>
      <c r="AJ21" s="103"/>
      <c r="AK21" s="103"/>
      <c r="AL21" s="103"/>
      <c r="AM21" s="103"/>
      <c r="AN21" s="102"/>
      <c r="AO21" s="102"/>
    </row>
    <row r="22" spans="1:41" ht="15.75" thickBot="1" x14ac:dyDescent="0.3">
      <c r="A22" s="59">
        <v>2028</v>
      </c>
      <c r="V22" s="60"/>
      <c r="W22" s="60"/>
      <c r="X22" s="60"/>
      <c r="Y22" s="60"/>
      <c r="Z22" s="60"/>
      <c r="AC22" s="70"/>
      <c r="AD22" s="73" t="s">
        <v>48</v>
      </c>
      <c r="AE22" s="74">
        <f>MAX(AE15:AE17)</f>
        <v>0.10097411809157764</v>
      </c>
      <c r="AF22" s="74">
        <f>MAX(AF15:AF17)</f>
        <v>0.12664832844806004</v>
      </c>
      <c r="AG22" s="74">
        <f>MAX(AG15:AG17)</f>
        <v>9.819202923766962E-2</v>
      </c>
      <c r="AH22" s="74">
        <f>AVERAGE(AE22:AG22)</f>
        <v>0.10860482525910242</v>
      </c>
      <c r="AI22" s="75">
        <f>MAX(AI15:AI17)</f>
        <v>8.0841340300147307E-2</v>
      </c>
      <c r="AJ22" s="104"/>
      <c r="AK22" s="104"/>
      <c r="AL22" s="104"/>
      <c r="AM22" s="104"/>
      <c r="AN22" s="105"/>
      <c r="AO22" s="105"/>
    </row>
    <row r="23" spans="1:41" ht="15.75" thickBot="1" x14ac:dyDescent="0.3">
      <c r="A23" s="1"/>
      <c r="B23" s="131" t="s">
        <v>0</v>
      </c>
      <c r="C23" s="132"/>
      <c r="D23" s="132"/>
      <c r="E23" s="132"/>
      <c r="F23" s="132"/>
      <c r="G23" s="132"/>
      <c r="H23" s="113" t="s">
        <v>1</v>
      </c>
      <c r="I23" s="114"/>
      <c r="J23" s="115" t="s">
        <v>35</v>
      </c>
      <c r="K23" s="116"/>
      <c r="L23" s="116"/>
      <c r="M23" s="116"/>
      <c r="N23" s="116"/>
      <c r="O23" s="116"/>
      <c r="P23" s="116"/>
      <c r="Q23" s="116"/>
      <c r="R23" s="117"/>
      <c r="S23" s="118" t="s">
        <v>36</v>
      </c>
      <c r="T23" s="119"/>
      <c r="U23" s="120"/>
      <c r="V23" s="121" t="s">
        <v>4</v>
      </c>
      <c r="W23" s="122"/>
      <c r="X23" s="110" t="s">
        <v>42</v>
      </c>
      <c r="Y23" s="111"/>
      <c r="Z23" s="112"/>
      <c r="AC23" s="70"/>
      <c r="AD23" s="70"/>
      <c r="AE23" s="71"/>
      <c r="AF23" s="71"/>
      <c r="AG23" s="71"/>
      <c r="AH23" s="71"/>
      <c r="AI23" s="71"/>
      <c r="AJ23" s="71"/>
      <c r="AK23" s="71"/>
      <c r="AL23" s="71"/>
      <c r="AM23" s="71"/>
      <c r="AN23" s="72"/>
      <c r="AO23" s="72"/>
    </row>
    <row r="24" spans="1:41" ht="105.75" thickBot="1" x14ac:dyDescent="0.3">
      <c r="A24" s="2" t="s">
        <v>5</v>
      </c>
      <c r="B24" s="131" t="s">
        <v>6</v>
      </c>
      <c r="C24" s="132"/>
      <c r="D24" s="131" t="s">
        <v>7</v>
      </c>
      <c r="E24" s="133"/>
      <c r="F24" s="131" t="s">
        <v>8</v>
      </c>
      <c r="G24" s="133"/>
      <c r="H24" s="3" t="s">
        <v>9</v>
      </c>
      <c r="I24" s="4" t="s">
        <v>10</v>
      </c>
      <c r="J24" s="5" t="s">
        <v>11</v>
      </c>
      <c r="K24" s="6" t="s">
        <v>12</v>
      </c>
      <c r="L24" s="6" t="s">
        <v>13</v>
      </c>
      <c r="M24" s="6" t="s">
        <v>14</v>
      </c>
      <c r="N24" s="6" t="s">
        <v>15</v>
      </c>
      <c r="O24" s="6" t="s">
        <v>16</v>
      </c>
      <c r="P24" s="6" t="s">
        <v>17</v>
      </c>
      <c r="Q24" s="6" t="s">
        <v>18</v>
      </c>
      <c r="R24" s="7" t="s">
        <v>19</v>
      </c>
      <c r="S24" s="8" t="s">
        <v>20</v>
      </c>
      <c r="T24" s="9" t="s">
        <v>21</v>
      </c>
      <c r="U24" s="63" t="s">
        <v>17</v>
      </c>
      <c r="V24" s="11" t="s">
        <v>9</v>
      </c>
      <c r="W24" s="12" t="s">
        <v>22</v>
      </c>
      <c r="X24" s="11" t="s">
        <v>43</v>
      </c>
      <c r="Y24" s="80" t="s">
        <v>41</v>
      </c>
      <c r="Z24" s="12" t="s">
        <v>44</v>
      </c>
      <c r="AA24" s="57"/>
      <c r="AB24" s="57"/>
      <c r="AC24" s="57"/>
    </row>
    <row r="25" spans="1:41" ht="15.75" thickBot="1" x14ac:dyDescent="0.3">
      <c r="A25" s="13"/>
      <c r="B25" s="14" t="s">
        <v>23</v>
      </c>
      <c r="C25" s="15" t="s">
        <v>24</v>
      </c>
      <c r="D25" s="14" t="s">
        <v>23</v>
      </c>
      <c r="E25" s="16" t="s">
        <v>25</v>
      </c>
      <c r="F25" s="14" t="s">
        <v>23</v>
      </c>
      <c r="G25" s="16" t="s">
        <v>25</v>
      </c>
      <c r="H25" s="17" t="s">
        <v>26</v>
      </c>
      <c r="I25" s="18" t="s">
        <v>26</v>
      </c>
      <c r="J25" s="19" t="s">
        <v>27</v>
      </c>
      <c r="K25" s="20" t="s">
        <v>27</v>
      </c>
      <c r="L25" s="20"/>
      <c r="M25" s="20"/>
      <c r="N25" s="20" t="s">
        <v>27</v>
      </c>
      <c r="O25" s="20" t="s">
        <v>27</v>
      </c>
      <c r="P25" s="20" t="s">
        <v>27</v>
      </c>
      <c r="Q25" s="20" t="s">
        <v>27</v>
      </c>
      <c r="R25" s="21" t="s">
        <v>27</v>
      </c>
      <c r="S25" s="22" t="s">
        <v>27</v>
      </c>
      <c r="T25" s="23" t="s">
        <v>27</v>
      </c>
      <c r="U25" s="64" t="s">
        <v>27</v>
      </c>
      <c r="V25" s="25" t="s">
        <v>28</v>
      </c>
      <c r="W25" s="26" t="s">
        <v>28</v>
      </c>
      <c r="X25" s="25"/>
      <c r="Y25" s="81"/>
      <c r="Z25" s="26"/>
      <c r="AD25" s="107" t="s">
        <v>47</v>
      </c>
      <c r="AE25" s="108"/>
      <c r="AF25" s="108"/>
      <c r="AG25" s="108"/>
      <c r="AH25" s="108"/>
      <c r="AI25" s="109"/>
    </row>
    <row r="26" spans="1:41" x14ac:dyDescent="0.25">
      <c r="A26" s="27" t="s">
        <v>29</v>
      </c>
      <c r="B26" s="28">
        <v>1356050504.7965584</v>
      </c>
      <c r="C26" s="28">
        <v>1230433631.2946141</v>
      </c>
      <c r="D26" s="28">
        <v>328232619.7211892</v>
      </c>
      <c r="E26" s="28">
        <v>734541766.32822895</v>
      </c>
      <c r="F26" s="28">
        <v>52979246.469569653</v>
      </c>
      <c r="G26" s="28">
        <v>74240792.865668803</v>
      </c>
      <c r="H26" s="29">
        <f>$H$7</f>
        <v>2070.5848977291462</v>
      </c>
      <c r="I26" s="30">
        <f>D26*2000/E26</f>
        <v>893.70716484083198</v>
      </c>
      <c r="J26" s="31">
        <f>G26+C26</f>
        <v>1304674424.1602829</v>
      </c>
      <c r="K26" s="32">
        <f>E26</f>
        <v>734541766.32822895</v>
      </c>
      <c r="L26" s="33">
        <f t="shared" ref="L26:M28" si="15">J26/($J26+$K26)</f>
        <v>0.6397921074997629</v>
      </c>
      <c r="M26" s="33">
        <f t="shared" si="15"/>
        <v>0.36020789250023716</v>
      </c>
      <c r="N26" s="34">
        <f>VLOOKUP(A26,[1]BB3!$A$3:$J$5,8,0)</f>
        <v>365044149.86546785</v>
      </c>
      <c r="O26" s="35">
        <f>J26-(N26*L26)</f>
        <v>1071122058.1873959</v>
      </c>
      <c r="P26" s="35">
        <f>K26-(N26*M26)</f>
        <v>603049982.43564808</v>
      </c>
      <c r="Q26" s="35">
        <f t="shared" ref="Q26:R28" si="16">J26-O26</f>
        <v>233552365.97288692</v>
      </c>
      <c r="R26" s="35">
        <f t="shared" si="16"/>
        <v>131491783.89258087</v>
      </c>
      <c r="S26" s="37">
        <f>VLOOKUP(A26,[1]BB2!$A$4:$L$6,10,0)-P26</f>
        <v>384905602.76435196</v>
      </c>
      <c r="T26" s="38">
        <f>MAX(O26-S26,0)</f>
        <v>686216455.42304397</v>
      </c>
      <c r="U26" s="66">
        <f>(O26-T26)+P26</f>
        <v>987955585.20000005</v>
      </c>
      <c r="V26" s="40">
        <f>(T26*H26+(MAX(0,U26-K26)*I26))/(MAX(0,U26-K26)+T26+Q26)</f>
        <v>1404.1694091140491</v>
      </c>
      <c r="W26" s="41">
        <f>(U26*I26)/(U26+R26)</f>
        <v>788.73112699658839</v>
      </c>
      <c r="X26" s="83">
        <f>1-(I26/MAX($V$26:$V$28))</f>
        <v>0.36353323250026481</v>
      </c>
      <c r="Y26" s="82">
        <f>1-(K26/U26)</f>
        <v>0.2565032504173459</v>
      </c>
      <c r="Z26" s="84">
        <f>Y26*X26</f>
        <v>9.3247455771042653E-2</v>
      </c>
      <c r="AA26" s="56"/>
      <c r="AB26" s="56"/>
      <c r="AC26" s="56"/>
      <c r="AD26" s="90"/>
      <c r="AE26" s="88" t="s">
        <v>37</v>
      </c>
      <c r="AF26" s="88" t="s">
        <v>38</v>
      </c>
      <c r="AG26" s="88" t="s">
        <v>39</v>
      </c>
      <c r="AH26" s="88" t="s">
        <v>33</v>
      </c>
      <c r="AI26" s="91" t="s">
        <v>34</v>
      </c>
    </row>
    <row r="27" spans="1:41" ht="15.75" thickBot="1" x14ac:dyDescent="0.3">
      <c r="A27" s="27" t="s">
        <v>30</v>
      </c>
      <c r="B27" s="28">
        <v>229424715.80883861</v>
      </c>
      <c r="C27" s="28">
        <v>203976917.82870078</v>
      </c>
      <c r="D27" s="28">
        <v>89046465.077493206</v>
      </c>
      <c r="E27" s="28">
        <v>198151365.95778704</v>
      </c>
      <c r="F27" s="28">
        <v>9433180.3000000007</v>
      </c>
      <c r="G27" s="28">
        <v>13326187</v>
      </c>
      <c r="H27" s="29">
        <f>$H$8</f>
        <v>2154.0417221497669</v>
      </c>
      <c r="I27" s="30">
        <f>D27*2000/E27</f>
        <v>898.77215478255278</v>
      </c>
      <c r="J27" s="31">
        <f>G27+C27</f>
        <v>217303104.82870078</v>
      </c>
      <c r="K27" s="32">
        <f>E27</f>
        <v>198151365.95778704</v>
      </c>
      <c r="L27" s="33">
        <f t="shared" si="15"/>
        <v>0.52304914282744153</v>
      </c>
      <c r="M27" s="33">
        <f t="shared" si="15"/>
        <v>0.47695085717255853</v>
      </c>
      <c r="N27" s="34">
        <f>VLOOKUP(A27,[1]BB3!$A$3:$J$5,8,0)</f>
        <v>132398150.70505603</v>
      </c>
      <c r="O27" s="35">
        <f>J27-(N27*L27)</f>
        <v>148052365.5904828</v>
      </c>
      <c r="P27" s="35">
        <f>K27-(N27*M27)</f>
        <v>135003954.49094898</v>
      </c>
      <c r="Q27" s="35">
        <f t="shared" si="16"/>
        <v>69250739.23821798</v>
      </c>
      <c r="R27" s="35">
        <f t="shared" si="16"/>
        <v>63147411.466838062</v>
      </c>
      <c r="S27" s="37">
        <f>VLOOKUP(A27,[1]BB2!$A$4:$L$6,10,0)-P27</f>
        <v>170990857.909051</v>
      </c>
      <c r="T27" s="38">
        <f>MAX(O27-S27,0)</f>
        <v>0</v>
      </c>
      <c r="U27" s="66">
        <f>(O27-T27)+P27</f>
        <v>283056320.08143175</v>
      </c>
      <c r="V27" s="40">
        <f>(T27*H27+(MAX(0,U27-K27)*I27))/(MAX(0,U27-K27)+T27+Q27)</f>
        <v>495.0203713222096</v>
      </c>
      <c r="W27" s="41">
        <f>(U27*I27)/(U27+R27)</f>
        <v>734.83650100096611</v>
      </c>
      <c r="X27" s="83">
        <f t="shared" ref="X27:X28" si="17">1-(I27/MAX($V$26:$V$28))</f>
        <v>0.3599261250466731</v>
      </c>
      <c r="Y27" s="82">
        <f t="shared" ref="Y27:Y28" si="18">1-(K27/U27)</f>
        <v>0.29995781086682194</v>
      </c>
      <c r="Z27" s="84">
        <f t="shared" ref="Z27:Z28" si="19">Y27*X27</f>
        <v>0.10796265254277806</v>
      </c>
      <c r="AA27" s="56"/>
      <c r="AB27" s="56"/>
      <c r="AC27" s="56"/>
      <c r="AD27" s="61" t="s">
        <v>49</v>
      </c>
      <c r="AE27" s="93">
        <f>AVERAGE(Y82,Y73,Y64)</f>
        <v>0.21873033145579493</v>
      </c>
      <c r="AF27" s="93">
        <f>AVERAGE(Y56,Y47,Y37)</f>
        <v>0.31706238944686554</v>
      </c>
      <c r="AG27" s="93">
        <f>AVERAGE(Y27,Y17)</f>
        <v>0.28134983964892502</v>
      </c>
      <c r="AH27" s="93">
        <f>3/8*AE27+3/8*AF27+2/8*AG27</f>
        <v>0.27125973025072891</v>
      </c>
      <c r="AI27" s="94">
        <f>Y7</f>
        <v>0.2565032504173459</v>
      </c>
    </row>
    <row r="28" spans="1:41" ht="15.75" thickBot="1" x14ac:dyDescent="0.3">
      <c r="A28" s="14" t="s">
        <v>31</v>
      </c>
      <c r="B28" s="42">
        <v>129404297.86275788</v>
      </c>
      <c r="C28" s="42">
        <v>115050132.40000001</v>
      </c>
      <c r="D28" s="42">
        <v>65236948.462444693</v>
      </c>
      <c r="E28" s="42">
        <v>137182895.18000007</v>
      </c>
      <c r="F28" s="42">
        <v>5835640.9800000014</v>
      </c>
      <c r="G28" s="42">
        <v>8331348</v>
      </c>
      <c r="H28" s="43">
        <f>$H$9</f>
        <v>2143.9788137266414</v>
      </c>
      <c r="I28" s="44">
        <f>D28*2000/E28</f>
        <v>951.09449872516768</v>
      </c>
      <c r="J28" s="45">
        <f>G28+C28</f>
        <v>123381480.40000001</v>
      </c>
      <c r="K28" s="46">
        <f>E28</f>
        <v>137182895.18000007</v>
      </c>
      <c r="L28" s="47">
        <f t="shared" si="15"/>
        <v>0.47351630523305621</v>
      </c>
      <c r="M28" s="47">
        <f t="shared" si="15"/>
        <v>0.52648369476694379</v>
      </c>
      <c r="N28" s="48">
        <f>VLOOKUP(A28,[1]BB3!$A$3:$J$5,8,0)</f>
        <v>84201085.222152218</v>
      </c>
      <c r="O28" s="49">
        <f>J28-(N28*L28)</f>
        <v>83510893.628992796</v>
      </c>
      <c r="P28" s="49">
        <f>K28-(N28*M28)</f>
        <v>92852396.728855059</v>
      </c>
      <c r="Q28" s="49">
        <f t="shared" si="16"/>
        <v>39870586.77100721</v>
      </c>
      <c r="R28" s="49">
        <f t="shared" si="16"/>
        <v>44330498.451145008</v>
      </c>
      <c r="S28" s="51">
        <f>VLOOKUP(A28,[1]BB2!$A$4:$L$6,10,0)-P28</f>
        <v>110797835.67114489</v>
      </c>
      <c r="T28" s="52">
        <f>MAX(O28-S28,0)</f>
        <v>0</v>
      </c>
      <c r="U28" s="67">
        <f>(O28-T28)+P28</f>
        <v>176363290.35784787</v>
      </c>
      <c r="V28" s="54">
        <f>(T28*H28+(MAX(0,U28-K28)*I28))/(MAX(0,U28-K28)+T28+Q28)</f>
        <v>471.39526154954837</v>
      </c>
      <c r="W28" s="55">
        <f>(U28*I28)/(U28+R28)</f>
        <v>760.04927978101534</v>
      </c>
      <c r="X28" s="85">
        <f t="shared" si="17"/>
        <v>0.32266399442126137</v>
      </c>
      <c r="Y28" s="86">
        <f t="shared" si="18"/>
        <v>0.22215731572227582</v>
      </c>
      <c r="Z28" s="87">
        <f t="shared" si="19"/>
        <v>7.1682166880854811E-2</v>
      </c>
      <c r="AA28" s="56"/>
      <c r="AB28" s="56"/>
      <c r="AC28" s="56"/>
    </row>
    <row r="29" spans="1:41" x14ac:dyDescent="0.25">
      <c r="V29" s="60"/>
      <c r="W29" s="60"/>
      <c r="X29" s="60"/>
      <c r="Y29" s="60"/>
      <c r="Z29" s="60"/>
    </row>
    <row r="30" spans="1:41" x14ac:dyDescent="0.25">
      <c r="V30" s="60"/>
      <c r="W30" s="60"/>
      <c r="X30" s="60"/>
      <c r="Y30" s="60"/>
      <c r="Z30" s="60"/>
    </row>
    <row r="31" spans="1:41" x14ac:dyDescent="0.25">
      <c r="V31" s="60"/>
      <c r="W31" s="60"/>
      <c r="X31" s="60"/>
      <c r="Y31" s="60"/>
      <c r="Z31" s="60"/>
    </row>
    <row r="32" spans="1:41" ht="15.75" thickBot="1" x14ac:dyDescent="0.3">
      <c r="A32" s="59">
        <v>2027</v>
      </c>
      <c r="V32" s="60"/>
      <c r="W32" s="60"/>
      <c r="X32" s="60"/>
      <c r="Y32" s="60"/>
      <c r="Z32" s="60"/>
    </row>
    <row r="33" spans="1:29" ht="15.75" thickBot="1" x14ac:dyDescent="0.3">
      <c r="A33" s="1"/>
      <c r="B33" s="131" t="s">
        <v>0</v>
      </c>
      <c r="C33" s="132"/>
      <c r="D33" s="132"/>
      <c r="E33" s="132"/>
      <c r="F33" s="132"/>
      <c r="G33" s="132"/>
      <c r="H33" s="113" t="s">
        <v>1</v>
      </c>
      <c r="I33" s="114"/>
      <c r="J33" s="115" t="s">
        <v>35</v>
      </c>
      <c r="K33" s="116"/>
      <c r="L33" s="116"/>
      <c r="M33" s="116"/>
      <c r="N33" s="116"/>
      <c r="O33" s="116"/>
      <c r="P33" s="116"/>
      <c r="Q33" s="116"/>
      <c r="R33" s="117"/>
      <c r="S33" s="118" t="s">
        <v>36</v>
      </c>
      <c r="T33" s="119"/>
      <c r="U33" s="120"/>
      <c r="V33" s="121" t="s">
        <v>4</v>
      </c>
      <c r="W33" s="122"/>
      <c r="X33" s="110" t="s">
        <v>42</v>
      </c>
      <c r="Y33" s="111"/>
      <c r="Z33" s="112"/>
    </row>
    <row r="34" spans="1:29" ht="105" x14ac:dyDescent="0.25">
      <c r="A34" s="2" t="s">
        <v>5</v>
      </c>
      <c r="B34" s="131" t="s">
        <v>6</v>
      </c>
      <c r="C34" s="132"/>
      <c r="D34" s="131" t="s">
        <v>7</v>
      </c>
      <c r="E34" s="133"/>
      <c r="F34" s="131" t="s">
        <v>8</v>
      </c>
      <c r="G34" s="133"/>
      <c r="H34" s="3" t="s">
        <v>9</v>
      </c>
      <c r="I34" s="4" t="s">
        <v>10</v>
      </c>
      <c r="J34" s="5" t="s">
        <v>11</v>
      </c>
      <c r="K34" s="6" t="s">
        <v>12</v>
      </c>
      <c r="L34" s="6" t="s">
        <v>13</v>
      </c>
      <c r="M34" s="6" t="s">
        <v>14</v>
      </c>
      <c r="N34" s="6" t="s">
        <v>15</v>
      </c>
      <c r="O34" s="6" t="s">
        <v>16</v>
      </c>
      <c r="P34" s="6" t="s">
        <v>17</v>
      </c>
      <c r="Q34" s="6" t="s">
        <v>18</v>
      </c>
      <c r="R34" s="7" t="s">
        <v>19</v>
      </c>
      <c r="S34" s="8" t="s">
        <v>20</v>
      </c>
      <c r="T34" s="9" t="s">
        <v>21</v>
      </c>
      <c r="U34" s="63" t="s">
        <v>17</v>
      </c>
      <c r="V34" s="11" t="s">
        <v>9</v>
      </c>
      <c r="W34" s="12" t="s">
        <v>22</v>
      </c>
      <c r="X34" s="11" t="s">
        <v>43</v>
      </c>
      <c r="Y34" s="80" t="s">
        <v>41</v>
      </c>
      <c r="Z34" s="12" t="s">
        <v>44</v>
      </c>
      <c r="AA34" s="57"/>
      <c r="AB34" s="57"/>
      <c r="AC34" s="57"/>
    </row>
    <row r="35" spans="1:29" ht="15.75" thickBot="1" x14ac:dyDescent="0.3">
      <c r="A35" s="13"/>
      <c r="B35" s="14" t="s">
        <v>23</v>
      </c>
      <c r="C35" s="15" t="s">
        <v>24</v>
      </c>
      <c r="D35" s="14" t="s">
        <v>23</v>
      </c>
      <c r="E35" s="16" t="s">
        <v>25</v>
      </c>
      <c r="F35" s="14" t="s">
        <v>23</v>
      </c>
      <c r="G35" s="16" t="s">
        <v>25</v>
      </c>
      <c r="H35" s="17" t="s">
        <v>26</v>
      </c>
      <c r="I35" s="18" t="s">
        <v>26</v>
      </c>
      <c r="J35" s="19" t="s">
        <v>27</v>
      </c>
      <c r="K35" s="20" t="s">
        <v>27</v>
      </c>
      <c r="L35" s="20"/>
      <c r="M35" s="20"/>
      <c r="N35" s="20" t="s">
        <v>27</v>
      </c>
      <c r="O35" s="20" t="s">
        <v>27</v>
      </c>
      <c r="P35" s="20" t="s">
        <v>27</v>
      </c>
      <c r="Q35" s="20" t="s">
        <v>27</v>
      </c>
      <c r="R35" s="21" t="s">
        <v>27</v>
      </c>
      <c r="S35" s="22" t="s">
        <v>27</v>
      </c>
      <c r="T35" s="23" t="s">
        <v>27</v>
      </c>
      <c r="U35" s="64" t="s">
        <v>27</v>
      </c>
      <c r="V35" s="25" t="s">
        <v>28</v>
      </c>
      <c r="W35" s="26" t="s">
        <v>28</v>
      </c>
      <c r="X35" s="25"/>
      <c r="Y35" s="81"/>
      <c r="Z35" s="26"/>
    </row>
    <row r="36" spans="1:29" x14ac:dyDescent="0.25">
      <c r="A36" s="27" t="s">
        <v>29</v>
      </c>
      <c r="B36" s="28">
        <v>1356050504.7965584</v>
      </c>
      <c r="C36" s="28">
        <v>1230433631.2946141</v>
      </c>
      <c r="D36" s="28">
        <v>328232619.7211892</v>
      </c>
      <c r="E36" s="28">
        <v>734541766.32822895</v>
      </c>
      <c r="F36" s="28">
        <v>52979246.469569653</v>
      </c>
      <c r="G36" s="28">
        <v>74240792.865668803</v>
      </c>
      <c r="H36" s="29">
        <f>$H$7</f>
        <v>2070.5848977291462</v>
      </c>
      <c r="I36" s="30">
        <f>D36*2000/E36</f>
        <v>893.70716484083198</v>
      </c>
      <c r="J36" s="31">
        <f>G36+C36</f>
        <v>1304674424.1602829</v>
      </c>
      <c r="K36" s="32">
        <f>E36</f>
        <v>734541766.32822895</v>
      </c>
      <c r="L36" s="33">
        <f t="shared" ref="L36:M38" si="20">J36/($J36+$K36)</f>
        <v>0.6397921074997629</v>
      </c>
      <c r="M36" s="33">
        <f t="shared" si="20"/>
        <v>0.36020789250023716</v>
      </c>
      <c r="N36" s="34">
        <f>VLOOKUP(A36,[1]BB3!$A$3:$J$5,7,0)</f>
        <v>328343874.93753582</v>
      </c>
      <c r="O36" s="35">
        <f>J36-(N36*L36)</f>
        <v>1094602604.4293582</v>
      </c>
      <c r="P36" s="35">
        <f>K36-(N36*M36)</f>
        <v>616269711.12161779</v>
      </c>
      <c r="Q36" s="35">
        <f t="shared" ref="Q36:R38" si="21">J36-O36</f>
        <v>210071819.73092461</v>
      </c>
      <c r="R36" s="35">
        <f t="shared" si="21"/>
        <v>118272055.20661116</v>
      </c>
      <c r="S36" s="37">
        <f>VLOOKUP(A36,[1]BB2!$A$4:$L$6,9,0)-P36</f>
        <v>371685874.07838225</v>
      </c>
      <c r="T36" s="38">
        <f>MAX(O36-S36,0)</f>
        <v>722916730.35097599</v>
      </c>
      <c r="U36" s="66">
        <f>(O36-T36)+P36</f>
        <v>987955585.20000005</v>
      </c>
      <c r="V36" s="40">
        <f>(T36*H36+(MAX(0,U36-K36)*I36))/(MAX(0,U36-K36)+T36+Q36)</f>
        <v>1452.5748218926039</v>
      </c>
      <c r="W36" s="41">
        <f>(U36*I36)/(U36+R36)</f>
        <v>798.1566838387962</v>
      </c>
      <c r="X36" s="83">
        <f>1-(I36/MAX($V$36:$V$38))</f>
        <v>0.38474276755231529</v>
      </c>
      <c r="Y36" s="82">
        <f>1-(K36/U36)</f>
        <v>0.2565032504173459</v>
      </c>
      <c r="Z36" s="84">
        <f>Y36*X36</f>
        <v>9.8687770451734227E-2</v>
      </c>
      <c r="AA36" s="56"/>
      <c r="AB36" s="56"/>
      <c r="AC36" s="56"/>
    </row>
    <row r="37" spans="1:29" x14ac:dyDescent="0.25">
      <c r="A37" s="27" t="s">
        <v>30</v>
      </c>
      <c r="B37" s="28">
        <v>229424715.80883861</v>
      </c>
      <c r="C37" s="28">
        <v>203976917.82870078</v>
      </c>
      <c r="D37" s="28">
        <v>89046465.077493206</v>
      </c>
      <c r="E37" s="28">
        <v>198151365.95778704</v>
      </c>
      <c r="F37" s="28">
        <v>9433180.3000000007</v>
      </c>
      <c r="G37" s="28">
        <v>13326187</v>
      </c>
      <c r="H37" s="29">
        <f>$H$8</f>
        <v>2154.0417221497669</v>
      </c>
      <c r="I37" s="30">
        <f>D37*2000/E37</f>
        <v>898.77215478255278</v>
      </c>
      <c r="J37" s="31">
        <f>G37+C37</f>
        <v>217303104.82870078</v>
      </c>
      <c r="K37" s="32">
        <f>E37</f>
        <v>198151365.95778704</v>
      </c>
      <c r="L37" s="33">
        <f t="shared" si="20"/>
        <v>0.52304914282744153</v>
      </c>
      <c r="M37" s="33">
        <f t="shared" si="20"/>
        <v>0.47695085717255853</v>
      </c>
      <c r="N37" s="34">
        <f>VLOOKUP(A37,[1]BB3!$A$3:$J$5,7,0)</f>
        <v>118109793.25849895</v>
      </c>
      <c r="O37" s="35">
        <f>J37-(N37*L37)</f>
        <v>155525878.70531657</v>
      </c>
      <c r="P37" s="35">
        <f>K37-(N37*M37)</f>
        <v>141818798.82267228</v>
      </c>
      <c r="Q37" s="35">
        <f t="shared" si="21"/>
        <v>61777226.123384207</v>
      </c>
      <c r="R37" s="35">
        <f t="shared" si="21"/>
        <v>56332567.135114759</v>
      </c>
      <c r="S37" s="37">
        <f>VLOOKUP(A37,[1]BB2!$A$4:$L$6,9,0)-P37</f>
        <v>164176013.5773277</v>
      </c>
      <c r="T37" s="38">
        <f>MAX(O37-S37,0)</f>
        <v>0</v>
      </c>
      <c r="U37" s="66">
        <f>(O37-T37)+P37</f>
        <v>297344677.52798885</v>
      </c>
      <c r="V37" s="40">
        <f>(T37*H37+(MAX(0,U37-K37)*I37))/(MAX(0,U37-K37)+T37+Q37)</f>
        <v>553.8416387082724</v>
      </c>
      <c r="W37" s="41">
        <f>(U37*I37)/(U37+R37)</f>
        <v>755.61863412931484</v>
      </c>
      <c r="X37" s="83">
        <f t="shared" ref="X37:X38" si="22">1-(I37/MAX($V$36:$V$38))</f>
        <v>0.38125586287423374</v>
      </c>
      <c r="Y37" s="82">
        <f t="shared" ref="Y37:Y38" si="23">1-(K37/U37)</f>
        <v>0.33359706450728321</v>
      </c>
      <c r="Z37" s="84">
        <f t="shared" ref="Z37:Z38" si="24">Y37*X37</f>
        <v>0.12718583668103567</v>
      </c>
      <c r="AA37" s="56"/>
      <c r="AB37" s="56"/>
      <c r="AC37" s="56"/>
    </row>
    <row r="38" spans="1:29" ht="15.75" thickBot="1" x14ac:dyDescent="0.3">
      <c r="A38" s="14" t="s">
        <v>31</v>
      </c>
      <c r="B38" s="42">
        <v>129404297.86275788</v>
      </c>
      <c r="C38" s="42">
        <v>115050132.40000001</v>
      </c>
      <c r="D38" s="42">
        <v>65236948.462444693</v>
      </c>
      <c r="E38" s="42">
        <v>137182895.18000007</v>
      </c>
      <c r="F38" s="42">
        <v>5835640.9800000014</v>
      </c>
      <c r="G38" s="42">
        <v>8331348</v>
      </c>
      <c r="H38" s="43">
        <f>$H$9</f>
        <v>2143.9788137266414</v>
      </c>
      <c r="I38" s="44">
        <f>D38*2000/E38</f>
        <v>951.09449872516768</v>
      </c>
      <c r="J38" s="45">
        <f>G38+C38</f>
        <v>123381480.40000001</v>
      </c>
      <c r="K38" s="46">
        <f>E38</f>
        <v>137182895.18000007</v>
      </c>
      <c r="L38" s="47">
        <f t="shared" si="20"/>
        <v>0.47351630523305621</v>
      </c>
      <c r="M38" s="47">
        <f t="shared" si="20"/>
        <v>0.52648369476694379</v>
      </c>
      <c r="N38" s="48">
        <f>VLOOKUP(A38,[1]BB3!$A$3:$J$5,7,0)</f>
        <v>72996354.356641293</v>
      </c>
      <c r="O38" s="49">
        <f>J38-(N38*L38)</f>
        <v>88816516.389560312</v>
      </c>
      <c r="P38" s="49">
        <f>K38-(N38*M38)</f>
        <v>98751504.833798468</v>
      </c>
      <c r="Q38" s="49">
        <f t="shared" si="21"/>
        <v>34564964.010439694</v>
      </c>
      <c r="R38" s="49">
        <f t="shared" si="21"/>
        <v>38431390.346201599</v>
      </c>
      <c r="S38" s="51">
        <f>VLOOKUP(A38,[1]BB2!$A$4:$L$6,9,0)-P38</f>
        <v>104898727.56620148</v>
      </c>
      <c r="T38" s="52">
        <f>MAX(O38-S38,0)</f>
        <v>0</v>
      </c>
      <c r="U38" s="67">
        <f>(O38-T38)+P38</f>
        <v>187568021.22335878</v>
      </c>
      <c r="V38" s="54">
        <f>(T38*H38+(MAX(0,U38-K38)*I38))/(MAX(0,U38-K38)+T38+Q38)</f>
        <v>564.10789166985626</v>
      </c>
      <c r="W38" s="55">
        <f>(U38*I38)/(U38+R38)</f>
        <v>789.36007790176859</v>
      </c>
      <c r="X38" s="85">
        <f t="shared" si="22"/>
        <v>0.34523545060077687</v>
      </c>
      <c r="Y38" s="86">
        <f t="shared" si="23"/>
        <v>0.26862322113725001</v>
      </c>
      <c r="Z38" s="87">
        <f t="shared" si="24"/>
        <v>9.2738258791150635E-2</v>
      </c>
      <c r="AA38" s="56"/>
      <c r="AB38" s="56"/>
      <c r="AC38" s="56"/>
    </row>
    <row r="39" spans="1:29" x14ac:dyDescent="0.25">
      <c r="V39" s="60"/>
      <c r="W39" s="60"/>
      <c r="X39" s="60"/>
      <c r="Y39" s="60"/>
      <c r="Z39" s="60"/>
    </row>
    <row r="40" spans="1:29" x14ac:dyDescent="0.25">
      <c r="V40" s="60"/>
      <c r="W40" s="60"/>
      <c r="X40" s="60"/>
      <c r="Y40" s="60"/>
      <c r="Z40" s="60"/>
    </row>
    <row r="41" spans="1:29" x14ac:dyDescent="0.25">
      <c r="V41" s="60"/>
      <c r="W41" s="60"/>
      <c r="X41" s="60"/>
      <c r="Y41" s="60"/>
      <c r="Z41" s="60"/>
    </row>
    <row r="42" spans="1:29" ht="15.75" thickBot="1" x14ac:dyDescent="0.3">
      <c r="A42" s="59">
        <v>2026</v>
      </c>
      <c r="V42" s="60"/>
      <c r="W42" s="60"/>
      <c r="X42" s="60"/>
      <c r="Y42" s="60"/>
      <c r="Z42" s="60"/>
    </row>
    <row r="43" spans="1:29" ht="15.75" thickBot="1" x14ac:dyDescent="0.3">
      <c r="A43" s="1"/>
      <c r="B43" s="131" t="s">
        <v>0</v>
      </c>
      <c r="C43" s="132"/>
      <c r="D43" s="132"/>
      <c r="E43" s="132"/>
      <c r="F43" s="132"/>
      <c r="G43" s="132"/>
      <c r="H43" s="113" t="s">
        <v>1</v>
      </c>
      <c r="I43" s="114"/>
      <c r="J43" s="115" t="s">
        <v>35</v>
      </c>
      <c r="K43" s="116"/>
      <c r="L43" s="116"/>
      <c r="M43" s="116"/>
      <c r="N43" s="116"/>
      <c r="O43" s="116"/>
      <c r="P43" s="116"/>
      <c r="Q43" s="116"/>
      <c r="R43" s="117"/>
      <c r="S43" s="118" t="s">
        <v>36</v>
      </c>
      <c r="T43" s="119"/>
      <c r="U43" s="120"/>
      <c r="V43" s="121" t="s">
        <v>4</v>
      </c>
      <c r="W43" s="122"/>
      <c r="X43" s="110" t="s">
        <v>42</v>
      </c>
      <c r="Y43" s="111"/>
      <c r="Z43" s="112"/>
    </row>
    <row r="44" spans="1:29" ht="105" x14ac:dyDescent="0.25">
      <c r="A44" s="2" t="s">
        <v>5</v>
      </c>
      <c r="B44" s="131" t="s">
        <v>6</v>
      </c>
      <c r="C44" s="132"/>
      <c r="D44" s="131" t="s">
        <v>7</v>
      </c>
      <c r="E44" s="133"/>
      <c r="F44" s="131" t="s">
        <v>8</v>
      </c>
      <c r="G44" s="133"/>
      <c r="H44" s="3" t="s">
        <v>9</v>
      </c>
      <c r="I44" s="4" t="s">
        <v>10</v>
      </c>
      <c r="J44" s="5" t="s">
        <v>11</v>
      </c>
      <c r="K44" s="6" t="s">
        <v>12</v>
      </c>
      <c r="L44" s="6" t="s">
        <v>13</v>
      </c>
      <c r="M44" s="6" t="s">
        <v>14</v>
      </c>
      <c r="N44" s="6" t="s">
        <v>15</v>
      </c>
      <c r="O44" s="6" t="s">
        <v>16</v>
      </c>
      <c r="P44" s="6" t="s">
        <v>17</v>
      </c>
      <c r="Q44" s="6" t="s">
        <v>18</v>
      </c>
      <c r="R44" s="7" t="s">
        <v>19</v>
      </c>
      <c r="S44" s="8" t="s">
        <v>20</v>
      </c>
      <c r="T44" s="9" t="s">
        <v>21</v>
      </c>
      <c r="U44" s="63" t="s">
        <v>17</v>
      </c>
      <c r="V44" s="11" t="s">
        <v>9</v>
      </c>
      <c r="W44" s="12" t="s">
        <v>22</v>
      </c>
      <c r="X44" s="11" t="s">
        <v>43</v>
      </c>
      <c r="Y44" s="80" t="s">
        <v>41</v>
      </c>
      <c r="Z44" s="12" t="s">
        <v>44</v>
      </c>
      <c r="AA44" s="57"/>
      <c r="AB44" s="57"/>
      <c r="AC44" s="57"/>
    </row>
    <row r="45" spans="1:29" ht="15.75" thickBot="1" x14ac:dyDescent="0.3">
      <c r="A45" s="13"/>
      <c r="B45" s="14" t="s">
        <v>23</v>
      </c>
      <c r="C45" s="15" t="s">
        <v>24</v>
      </c>
      <c r="D45" s="14" t="s">
        <v>23</v>
      </c>
      <c r="E45" s="16" t="s">
        <v>25</v>
      </c>
      <c r="F45" s="14" t="s">
        <v>23</v>
      </c>
      <c r="G45" s="16" t="s">
        <v>25</v>
      </c>
      <c r="H45" s="17" t="s">
        <v>26</v>
      </c>
      <c r="I45" s="18" t="s">
        <v>26</v>
      </c>
      <c r="J45" s="19" t="s">
        <v>27</v>
      </c>
      <c r="K45" s="20" t="s">
        <v>27</v>
      </c>
      <c r="L45" s="20"/>
      <c r="M45" s="20"/>
      <c r="N45" s="20" t="s">
        <v>27</v>
      </c>
      <c r="O45" s="20" t="s">
        <v>27</v>
      </c>
      <c r="P45" s="20" t="s">
        <v>27</v>
      </c>
      <c r="Q45" s="20" t="s">
        <v>27</v>
      </c>
      <c r="R45" s="21" t="s">
        <v>27</v>
      </c>
      <c r="S45" s="22" t="s">
        <v>27</v>
      </c>
      <c r="T45" s="23" t="s">
        <v>27</v>
      </c>
      <c r="U45" s="64" t="s">
        <v>27</v>
      </c>
      <c r="V45" s="25" t="s">
        <v>28</v>
      </c>
      <c r="W45" s="26" t="s">
        <v>28</v>
      </c>
      <c r="X45" s="25"/>
      <c r="Y45" s="81"/>
      <c r="Z45" s="26"/>
    </row>
    <row r="46" spans="1:29" x14ac:dyDescent="0.25">
      <c r="A46" s="27" t="s">
        <v>29</v>
      </c>
      <c r="B46" s="28">
        <v>1356050504.7965584</v>
      </c>
      <c r="C46" s="28">
        <v>1230433631.2946141</v>
      </c>
      <c r="D46" s="28">
        <v>328232619.7211892</v>
      </c>
      <c r="E46" s="28">
        <v>734541766.32822895</v>
      </c>
      <c r="F46" s="28">
        <v>52979246.469569653</v>
      </c>
      <c r="G46" s="28">
        <v>74240792.865668803</v>
      </c>
      <c r="H46" s="29">
        <f>$H$7</f>
        <v>2070.5848977291462</v>
      </c>
      <c r="I46" s="30">
        <f>D46*2000/E46</f>
        <v>893.70716484083198</v>
      </c>
      <c r="J46" s="31">
        <f>G46+C46</f>
        <v>1304674424.1602829</v>
      </c>
      <c r="K46" s="32">
        <f>E46</f>
        <v>734541766.32822895</v>
      </c>
      <c r="L46" s="33">
        <f t="shared" ref="L46:M48" si="25">J46/($J46+$K46)</f>
        <v>0.6397921074997629</v>
      </c>
      <c r="M46" s="33">
        <f t="shared" si="25"/>
        <v>0.36020789250023716</v>
      </c>
      <c r="N46" s="34">
        <f>VLOOKUP(A46,[1]BB3!$A$3:$J$5,6,0)</f>
        <v>291643600.0096038</v>
      </c>
      <c r="O46" s="35">
        <f>J46-(N46*L46)</f>
        <v>1118083150.6713204</v>
      </c>
      <c r="P46" s="35">
        <f>K46-(N46*M46)</f>
        <v>629489439.80758739</v>
      </c>
      <c r="Q46" s="35">
        <f t="shared" ref="Q46:R48" si="26">J46-O46</f>
        <v>186591273.48896241</v>
      </c>
      <c r="R46" s="35">
        <f t="shared" si="26"/>
        <v>105052326.52064157</v>
      </c>
      <c r="S46" s="37">
        <f>VLOOKUP(A46,[1]BB2!$A$4:$L$6,8,0)-P46</f>
        <v>358466145.39241266</v>
      </c>
      <c r="T46" s="38">
        <f>MAX(O46-S46,0)</f>
        <v>759617005.27890778</v>
      </c>
      <c r="U46" s="66">
        <f>(O46-T46)+P46</f>
        <v>987955585.20000005</v>
      </c>
      <c r="V46" s="40">
        <f>(T46*H46+(MAX(0,U46-K46)*I46))/(MAX(0,U46-K46)+T46+Q46)</f>
        <v>1499.9133879948192</v>
      </c>
      <c r="W46" s="41">
        <f>(U46*I46)/(U46+R46)</f>
        <v>807.81024141701334</v>
      </c>
      <c r="X46" s="83">
        <f>1-(I46/MAX($V$46:$V$48))</f>
        <v>0.40416081888861777</v>
      </c>
      <c r="Y46" s="82">
        <f>1-(K46/U46)</f>
        <v>0.2565032504173459</v>
      </c>
      <c r="Z46" s="84">
        <f>Y46*X46</f>
        <v>0.10366856373626671</v>
      </c>
      <c r="AA46" s="56"/>
      <c r="AB46" s="56"/>
      <c r="AC46" s="56"/>
    </row>
    <row r="47" spans="1:29" x14ac:dyDescent="0.25">
      <c r="A47" s="27" t="s">
        <v>30</v>
      </c>
      <c r="B47" s="28">
        <v>229424715.80883861</v>
      </c>
      <c r="C47" s="28">
        <v>203976917.82870078</v>
      </c>
      <c r="D47" s="28">
        <v>89046465.077493206</v>
      </c>
      <c r="E47" s="28">
        <v>198151365.95778704</v>
      </c>
      <c r="F47" s="28">
        <v>9433180.3000000007</v>
      </c>
      <c r="G47" s="28">
        <v>13326187</v>
      </c>
      <c r="H47" s="29">
        <f>$H$8</f>
        <v>2154.0417221497669</v>
      </c>
      <c r="I47" s="30">
        <f>D47*2000/E47</f>
        <v>898.77215478255278</v>
      </c>
      <c r="J47" s="31">
        <f>G47+C47</f>
        <v>217303104.82870078</v>
      </c>
      <c r="K47" s="32">
        <f>E47</f>
        <v>198151365.95778704</v>
      </c>
      <c r="L47" s="33">
        <f t="shared" si="25"/>
        <v>0.52304914282744153</v>
      </c>
      <c r="M47" s="33">
        <f t="shared" si="25"/>
        <v>0.47695085717255853</v>
      </c>
      <c r="N47" s="34">
        <f>VLOOKUP(A47,[1]BB3!$A$3:$J$5,6,0)</f>
        <v>103821435.81194188</v>
      </c>
      <c r="O47" s="35">
        <f>J47-(N47*L47)</f>
        <v>162999391.82015035</v>
      </c>
      <c r="P47" s="35">
        <f>K47-(N47*M47)</f>
        <v>148633643.15439558</v>
      </c>
      <c r="Q47" s="35">
        <f t="shared" si="26"/>
        <v>54303713.008550435</v>
      </c>
      <c r="R47" s="35">
        <f t="shared" si="26"/>
        <v>49517722.803391457</v>
      </c>
      <c r="S47" s="37">
        <f>VLOOKUP(A47,[1]BB2!$A$4:$L$6,8,0)-P47</f>
        <v>145208509.84223187</v>
      </c>
      <c r="T47" s="38">
        <f>MAX(O47-S47,0)</f>
        <v>17790881.977918476</v>
      </c>
      <c r="U47" s="66">
        <f>(O47-T47)+P47</f>
        <v>293842152.99662745</v>
      </c>
      <c r="V47" s="40">
        <f>(T47*H47+(MAX(0,U47-K47)*I47))/(MAX(0,U47-K47)+T47+Q47)</f>
        <v>740.98539105904888</v>
      </c>
      <c r="W47" s="41">
        <f>(U47*I47)/(U47+R47)</f>
        <v>769.15552348504445</v>
      </c>
      <c r="X47" s="83">
        <f t="shared" ref="X47:X48" si="27">1-(I47/MAX($V$46:$V$48))</f>
        <v>0.40078396394335192</v>
      </c>
      <c r="Y47" s="82">
        <f t="shared" ref="Y47:Y48" si="28">1-(K47/U47)</f>
        <v>0.32565370918698211</v>
      </c>
      <c r="Z47" s="84">
        <f t="shared" ref="Z47:Z48" si="29">Y47*X47</f>
        <v>0.13051678444081424</v>
      </c>
      <c r="AA47" s="56"/>
      <c r="AB47" s="56"/>
      <c r="AC47" s="56"/>
    </row>
    <row r="48" spans="1:29" ht="15.75" thickBot="1" x14ac:dyDescent="0.3">
      <c r="A48" s="14" t="s">
        <v>31</v>
      </c>
      <c r="B48" s="42">
        <v>129404297.86275788</v>
      </c>
      <c r="C48" s="42">
        <v>115050132.40000001</v>
      </c>
      <c r="D48" s="42">
        <v>65236948.462444693</v>
      </c>
      <c r="E48" s="42">
        <v>137182895.18000007</v>
      </c>
      <c r="F48" s="42">
        <v>5835640.9800000014</v>
      </c>
      <c r="G48" s="42">
        <v>8331348</v>
      </c>
      <c r="H48" s="43">
        <f>$H$9</f>
        <v>2143.9788137266414</v>
      </c>
      <c r="I48" s="44">
        <f>D48*2000/E48</f>
        <v>951.09449872516768</v>
      </c>
      <c r="J48" s="45">
        <f>G48+C48</f>
        <v>123381480.40000001</v>
      </c>
      <c r="K48" s="46">
        <f>E48</f>
        <v>137182895.18000007</v>
      </c>
      <c r="L48" s="47">
        <f t="shared" si="25"/>
        <v>0.47351630523305621</v>
      </c>
      <c r="M48" s="47">
        <f t="shared" si="25"/>
        <v>0.52648369476694379</v>
      </c>
      <c r="N48" s="48">
        <f>VLOOKUP(A48,[1]BB3!$A$3:$J$5,6,0)</f>
        <v>61791623.491130367</v>
      </c>
      <c r="O48" s="49">
        <f>J48-(N48*L48)</f>
        <v>94122139.150127828</v>
      </c>
      <c r="P48" s="49">
        <f>K48-(N48*M48)</f>
        <v>104650612.93874188</v>
      </c>
      <c r="Q48" s="49">
        <f t="shared" si="26"/>
        <v>29259341.249872178</v>
      </c>
      <c r="R48" s="49">
        <f t="shared" si="26"/>
        <v>32532282.241258189</v>
      </c>
      <c r="S48" s="51">
        <f>VLOOKUP(A48,[1]BB2!$A$4:$L$6,8,0)-P48</f>
        <v>98780320.172207817</v>
      </c>
      <c r="T48" s="52">
        <f>MAX(O48-S48,0)</f>
        <v>0</v>
      </c>
      <c r="U48" s="67">
        <f>(O48-T48)+P48</f>
        <v>198772752.08886969</v>
      </c>
      <c r="V48" s="54">
        <f>(T48*H48+(MAX(0,U48-K48)*I48))/(MAX(0,U48-K48)+T48+Q48)</f>
        <v>644.78030924326458</v>
      </c>
      <c r="W48" s="55">
        <f>(U48*I48)/(U48+R48)</f>
        <v>817.32622705636129</v>
      </c>
      <c r="X48" s="85">
        <f t="shared" si="27"/>
        <v>0.36590038709058259</v>
      </c>
      <c r="Y48" s="86">
        <f t="shared" si="28"/>
        <v>0.3098506020650823</v>
      </c>
      <c r="Z48" s="87">
        <f t="shared" si="29"/>
        <v>0.11337445523586369</v>
      </c>
      <c r="AA48" s="56"/>
      <c r="AB48" s="56"/>
      <c r="AC48" s="56"/>
    </row>
    <row r="49" spans="1:29" x14ac:dyDescent="0.25">
      <c r="V49" s="60"/>
      <c r="W49" s="60"/>
      <c r="X49" s="60"/>
      <c r="Y49" s="60"/>
      <c r="Z49" s="60"/>
    </row>
    <row r="50" spans="1:29" x14ac:dyDescent="0.25">
      <c r="V50" s="60"/>
      <c r="W50" s="60"/>
      <c r="X50" s="60"/>
      <c r="Y50" s="60"/>
      <c r="Z50" s="60"/>
    </row>
    <row r="51" spans="1:29" ht="15.75" thickBot="1" x14ac:dyDescent="0.3">
      <c r="A51" s="59">
        <v>2025</v>
      </c>
      <c r="V51" s="60"/>
      <c r="W51" s="60"/>
      <c r="X51" s="60"/>
      <c r="Y51" s="60"/>
      <c r="Z51" s="60"/>
    </row>
    <row r="52" spans="1:29" ht="15.75" thickBot="1" x14ac:dyDescent="0.3">
      <c r="A52" s="1"/>
      <c r="B52" s="131" t="s">
        <v>0</v>
      </c>
      <c r="C52" s="132"/>
      <c r="D52" s="132"/>
      <c r="E52" s="132"/>
      <c r="F52" s="132"/>
      <c r="G52" s="132"/>
      <c r="H52" s="113" t="s">
        <v>1</v>
      </c>
      <c r="I52" s="114"/>
      <c r="J52" s="115" t="s">
        <v>35</v>
      </c>
      <c r="K52" s="116"/>
      <c r="L52" s="116"/>
      <c r="M52" s="116"/>
      <c r="N52" s="116"/>
      <c r="O52" s="116"/>
      <c r="P52" s="116"/>
      <c r="Q52" s="116"/>
      <c r="R52" s="117"/>
      <c r="S52" s="118" t="s">
        <v>36</v>
      </c>
      <c r="T52" s="119"/>
      <c r="U52" s="120"/>
      <c r="V52" s="121" t="s">
        <v>4</v>
      </c>
      <c r="W52" s="122"/>
      <c r="X52" s="110" t="s">
        <v>42</v>
      </c>
      <c r="Y52" s="111"/>
      <c r="Z52" s="112"/>
    </row>
    <row r="53" spans="1:29" ht="75" x14ac:dyDescent="0.25">
      <c r="A53" s="2" t="s">
        <v>5</v>
      </c>
      <c r="B53" s="131" t="s">
        <v>6</v>
      </c>
      <c r="C53" s="132"/>
      <c r="D53" s="131" t="s">
        <v>7</v>
      </c>
      <c r="E53" s="133"/>
      <c r="F53" s="131" t="s">
        <v>8</v>
      </c>
      <c r="G53" s="133"/>
      <c r="H53" s="3" t="s">
        <v>9</v>
      </c>
      <c r="I53" s="4" t="s">
        <v>10</v>
      </c>
      <c r="J53" s="5" t="s">
        <v>11</v>
      </c>
      <c r="K53" s="6" t="s">
        <v>12</v>
      </c>
      <c r="L53" s="6" t="s">
        <v>13</v>
      </c>
      <c r="M53" s="6" t="s">
        <v>14</v>
      </c>
      <c r="N53" s="6" t="s">
        <v>15</v>
      </c>
      <c r="O53" s="6" t="s">
        <v>16</v>
      </c>
      <c r="P53" s="6" t="s">
        <v>17</v>
      </c>
      <c r="Q53" s="6" t="s">
        <v>18</v>
      </c>
      <c r="R53" s="7" t="s">
        <v>19</v>
      </c>
      <c r="S53" s="68" t="s">
        <v>40</v>
      </c>
      <c r="T53" s="9" t="s">
        <v>21</v>
      </c>
      <c r="U53" s="63" t="s">
        <v>17</v>
      </c>
      <c r="V53" s="11" t="s">
        <v>9</v>
      </c>
      <c r="W53" s="12" t="s">
        <v>22</v>
      </c>
      <c r="X53" s="11" t="s">
        <v>43</v>
      </c>
      <c r="Y53" s="80" t="s">
        <v>41</v>
      </c>
      <c r="Z53" s="12" t="s">
        <v>44</v>
      </c>
      <c r="AA53" s="57"/>
      <c r="AB53" s="57"/>
      <c r="AC53" s="57"/>
    </row>
    <row r="54" spans="1:29" ht="15.75" thickBot="1" x14ac:dyDescent="0.3">
      <c r="A54" s="13"/>
      <c r="B54" s="14" t="s">
        <v>23</v>
      </c>
      <c r="C54" s="15" t="s">
        <v>24</v>
      </c>
      <c r="D54" s="14" t="s">
        <v>23</v>
      </c>
      <c r="E54" s="16" t="s">
        <v>25</v>
      </c>
      <c r="F54" s="14" t="s">
        <v>23</v>
      </c>
      <c r="G54" s="16" t="s">
        <v>25</v>
      </c>
      <c r="H54" s="17" t="s">
        <v>26</v>
      </c>
      <c r="I54" s="18" t="s">
        <v>26</v>
      </c>
      <c r="J54" s="19" t="s">
        <v>27</v>
      </c>
      <c r="K54" s="20" t="s">
        <v>27</v>
      </c>
      <c r="L54" s="20"/>
      <c r="M54" s="20"/>
      <c r="N54" s="20" t="s">
        <v>27</v>
      </c>
      <c r="O54" s="20" t="s">
        <v>27</v>
      </c>
      <c r="P54" s="20" t="s">
        <v>27</v>
      </c>
      <c r="Q54" s="20" t="s">
        <v>27</v>
      </c>
      <c r="R54" s="21" t="s">
        <v>27</v>
      </c>
      <c r="S54" s="22" t="s">
        <v>27</v>
      </c>
      <c r="T54" s="23" t="s">
        <v>27</v>
      </c>
      <c r="U54" s="64" t="s">
        <v>27</v>
      </c>
      <c r="V54" s="25" t="s">
        <v>28</v>
      </c>
      <c r="W54" s="26" t="s">
        <v>28</v>
      </c>
      <c r="X54" s="25"/>
      <c r="Y54" s="81"/>
      <c r="Z54" s="26"/>
    </row>
    <row r="55" spans="1:29" x14ac:dyDescent="0.25">
      <c r="A55" s="27" t="s">
        <v>29</v>
      </c>
      <c r="B55" s="28">
        <v>1356050504.7965584</v>
      </c>
      <c r="C55" s="28">
        <v>1230433631.2946141</v>
      </c>
      <c r="D55" s="28">
        <v>328232619.7211892</v>
      </c>
      <c r="E55" s="28">
        <v>734541766.32822895</v>
      </c>
      <c r="F55" s="28">
        <v>52979246.469569653</v>
      </c>
      <c r="G55" s="28">
        <v>74240792.865668803</v>
      </c>
      <c r="H55" s="29">
        <f>$H$7</f>
        <v>2070.5848977291462</v>
      </c>
      <c r="I55" s="30">
        <f>D55*2000/E55</f>
        <v>893.70716484083198</v>
      </c>
      <c r="J55" s="31">
        <f>G55+C55</f>
        <v>1304674424.1602829</v>
      </c>
      <c r="K55" s="32">
        <f>E55</f>
        <v>734541766.32822895</v>
      </c>
      <c r="L55" s="33">
        <f t="shared" ref="L55:M57" si="30">J55/($J55+$K55)</f>
        <v>0.6397921074997629</v>
      </c>
      <c r="M55" s="33">
        <f t="shared" si="30"/>
        <v>0.36020789250023716</v>
      </c>
      <c r="N55" s="34">
        <f>VLOOKUP(A55,[1]BB3!$A$3:$J$5,5,0)</f>
        <v>254943325.0816718</v>
      </c>
      <c r="O55" s="35">
        <f>J55-(N55*L55)</f>
        <v>1141563696.9132829</v>
      </c>
      <c r="P55" s="35">
        <f>K55-(N55*M55)</f>
        <v>642709168.4935571</v>
      </c>
      <c r="Q55" s="35">
        <f t="shared" ref="Q55:R57" si="31">J55-O55</f>
        <v>163110727.24699998</v>
      </c>
      <c r="R55" s="35">
        <f t="shared" si="31"/>
        <v>91832597.834671855</v>
      </c>
      <c r="S55" s="37">
        <f>VLOOKUP(A55,[1]BB2!$A$4:$L$6,7,0)-P55</f>
        <v>345246416.70644295</v>
      </c>
      <c r="T55" s="38">
        <f>MAX(O55-S55,0)</f>
        <v>796317280.20683992</v>
      </c>
      <c r="U55" s="66">
        <f>(O55-T55)+P55</f>
        <v>987955585.20000005</v>
      </c>
      <c r="V55" s="40">
        <f>(T55*H55+(MAX(0,U55-K55)*I55))/(MAX(0,U55-K55)+T55+Q55)</f>
        <v>1546.2199926546264</v>
      </c>
      <c r="W55" s="41">
        <f>(U55*I55)/(U55+R55)</f>
        <v>817.70017389550003</v>
      </c>
      <c r="X55" s="83">
        <f>1-(I55/MAX($V$55:$V$57))</f>
        <v>0.42200516803144439</v>
      </c>
      <c r="Y55" s="82">
        <f>1-(K55/U55)</f>
        <v>0.2565032504173459</v>
      </c>
      <c r="Z55" s="84">
        <f>Y55*X55</f>
        <v>0.10824569729298371</v>
      </c>
      <c r="AA55" s="56"/>
      <c r="AB55" s="56"/>
      <c r="AC55" s="56"/>
    </row>
    <row r="56" spans="1:29" x14ac:dyDescent="0.25">
      <c r="A56" s="27" t="s">
        <v>30</v>
      </c>
      <c r="B56" s="28">
        <v>229424715.80883861</v>
      </c>
      <c r="C56" s="28">
        <v>203976917.82870078</v>
      </c>
      <c r="D56" s="28">
        <v>89046465.077493206</v>
      </c>
      <c r="E56" s="28">
        <v>198151365.95778704</v>
      </c>
      <c r="F56" s="28">
        <v>9433180.3000000007</v>
      </c>
      <c r="G56" s="28">
        <v>13326187</v>
      </c>
      <c r="H56" s="29">
        <f>$H$8</f>
        <v>2154.0417221497669</v>
      </c>
      <c r="I56" s="30">
        <f>D56*2000/E56</f>
        <v>898.77215478255278</v>
      </c>
      <c r="J56" s="31">
        <f>G56+C56</f>
        <v>217303104.82870078</v>
      </c>
      <c r="K56" s="32">
        <f>E56</f>
        <v>198151365.95778704</v>
      </c>
      <c r="L56" s="33">
        <f t="shared" si="30"/>
        <v>0.52304914282744153</v>
      </c>
      <c r="M56" s="33">
        <f t="shared" si="30"/>
        <v>0.47695085717255853</v>
      </c>
      <c r="N56" s="34">
        <f>VLOOKUP(A56,[1]BB3!$A$3:$J$5,5,0)</f>
        <v>89533078.365384802</v>
      </c>
      <c r="O56" s="35">
        <f>J56-(N56*L56)</f>
        <v>170472904.93498412</v>
      </c>
      <c r="P56" s="35">
        <f>K56-(N56*M56)</f>
        <v>155448487.48611891</v>
      </c>
      <c r="Q56" s="35">
        <f t="shared" si="31"/>
        <v>46830199.893716663</v>
      </c>
      <c r="R56" s="35">
        <f t="shared" si="31"/>
        <v>42702878.471668124</v>
      </c>
      <c r="S56" s="37">
        <f>VLOOKUP(A56,[1]BB2!$A$4:$L$6,7,0)-P56</f>
        <v>124401182.03447866</v>
      </c>
      <c r="T56" s="38">
        <f>MAX(O56-S56,0)</f>
        <v>46071722.900505453</v>
      </c>
      <c r="U56" s="66">
        <f>(O56-T56)+P56</f>
        <v>279849669.52059758</v>
      </c>
      <c r="V56" s="40">
        <f>(T56*H56+(MAX(0,U56-K56)*I56))/(MAX(0,U56-K56)+T56+Q56)</f>
        <v>988.93671146310703</v>
      </c>
      <c r="W56" s="41">
        <f>(U56*I56)/(U56+R56)</f>
        <v>779.78330059957807</v>
      </c>
      <c r="X56" s="83">
        <f t="shared" ref="X56:X57" si="32">1-(I56/MAX($V$55:$V$57))</f>
        <v>0.41872944402982615</v>
      </c>
      <c r="Y56" s="82">
        <f t="shared" ref="Y56:Y57" si="33">1-(K56/U56)</f>
        <v>0.29193639464633125</v>
      </c>
      <c r="Z56" s="84">
        <f t="shared" ref="Z56:Z57" si="34">Y56*X56</f>
        <v>0.1222423642223302</v>
      </c>
      <c r="AA56" s="56"/>
      <c r="AB56" s="56"/>
      <c r="AC56" s="56"/>
    </row>
    <row r="57" spans="1:29" ht="15.75" thickBot="1" x14ac:dyDescent="0.3">
      <c r="A57" s="14" t="s">
        <v>31</v>
      </c>
      <c r="B57" s="42">
        <v>129404297.86275788</v>
      </c>
      <c r="C57" s="42">
        <v>115050132.40000001</v>
      </c>
      <c r="D57" s="42">
        <v>65236948.462444693</v>
      </c>
      <c r="E57" s="42">
        <v>137182895.18000007</v>
      </c>
      <c r="F57" s="42">
        <v>5835640.9800000014</v>
      </c>
      <c r="G57" s="42">
        <v>8331348</v>
      </c>
      <c r="H57" s="43">
        <f>$H$9</f>
        <v>2143.9788137266414</v>
      </c>
      <c r="I57" s="44">
        <f>D57*2000/E57</f>
        <v>951.09449872516768</v>
      </c>
      <c r="J57" s="45">
        <f>G57+C57</f>
        <v>123381480.40000001</v>
      </c>
      <c r="K57" s="46">
        <f>E57</f>
        <v>137182895.18000007</v>
      </c>
      <c r="L57" s="47">
        <f t="shared" si="30"/>
        <v>0.47351630523305621</v>
      </c>
      <c r="M57" s="47">
        <f t="shared" si="30"/>
        <v>0.52648369476694379</v>
      </c>
      <c r="N57" s="48">
        <f>VLOOKUP(A57,[1]BB3!$A$3:$J$5,5,0)</f>
        <v>50586892.625619441</v>
      </c>
      <c r="O57" s="49">
        <f>J57-(N57*L57)</f>
        <v>99427761.910695344</v>
      </c>
      <c r="P57" s="49">
        <f>K57-(N57*M57)</f>
        <v>110549721.04368529</v>
      </c>
      <c r="Q57" s="49">
        <f t="shared" si="31"/>
        <v>23953718.489304662</v>
      </c>
      <c r="R57" s="49">
        <f t="shared" si="31"/>
        <v>26633174.13631478</v>
      </c>
      <c r="S57" s="51">
        <f>VLOOKUP(A57,[1]BB2!$A$4:$L$6,7,0)-P57</f>
        <v>83194024.776266783</v>
      </c>
      <c r="T57" s="52">
        <f>MAX(O57-S57,0)</f>
        <v>16233737.134428561</v>
      </c>
      <c r="U57" s="67">
        <f>(O57-T57)+P57</f>
        <v>193743745.81995207</v>
      </c>
      <c r="V57" s="54">
        <f>(T57*H57+(MAX(0,U57-K57)*I57))/(MAX(0,U57-K57)+T57+Q57)</f>
        <v>915.77316226312689</v>
      </c>
      <c r="W57" s="55">
        <f>(U57*I57)/(U57+R57)</f>
        <v>836.15203828209951</v>
      </c>
      <c r="X57" s="85">
        <f t="shared" si="32"/>
        <v>0.38489056974856339</v>
      </c>
      <c r="Y57" s="86">
        <f t="shared" si="33"/>
        <v>0.29193639464633114</v>
      </c>
      <c r="Z57" s="87">
        <f t="shared" si="34"/>
        <v>0.11236356526576785</v>
      </c>
      <c r="AA57" s="56"/>
      <c r="AB57" s="56"/>
      <c r="AC57" s="56"/>
    </row>
    <row r="58" spans="1:29" x14ac:dyDescent="0.25">
      <c r="V58" s="60"/>
      <c r="W58" s="60"/>
      <c r="X58" s="60"/>
      <c r="Y58" s="60"/>
      <c r="Z58" s="60"/>
    </row>
    <row r="59" spans="1:29" x14ac:dyDescent="0.25">
      <c r="V59" s="60"/>
      <c r="W59" s="60"/>
      <c r="X59" s="60"/>
      <c r="Y59" s="60"/>
      <c r="Z59" s="60"/>
    </row>
    <row r="60" spans="1:29" ht="15.75" thickBot="1" x14ac:dyDescent="0.3">
      <c r="A60" s="59">
        <v>2024</v>
      </c>
      <c r="V60" s="60"/>
      <c r="W60" s="60"/>
      <c r="X60" s="60"/>
      <c r="Y60" s="60"/>
      <c r="Z60" s="60"/>
    </row>
    <row r="61" spans="1:29" ht="15.75" thickBot="1" x14ac:dyDescent="0.3">
      <c r="A61" s="1"/>
      <c r="B61" s="131" t="s">
        <v>0</v>
      </c>
      <c r="C61" s="132"/>
      <c r="D61" s="132"/>
      <c r="E61" s="132"/>
      <c r="F61" s="132"/>
      <c r="G61" s="132"/>
      <c r="H61" s="113" t="s">
        <v>1</v>
      </c>
      <c r="I61" s="114"/>
      <c r="J61" s="115" t="s">
        <v>35</v>
      </c>
      <c r="K61" s="116"/>
      <c r="L61" s="116"/>
      <c r="M61" s="116"/>
      <c r="N61" s="116"/>
      <c r="O61" s="116"/>
      <c r="P61" s="116"/>
      <c r="Q61" s="116"/>
      <c r="R61" s="117"/>
      <c r="S61" s="118" t="s">
        <v>36</v>
      </c>
      <c r="T61" s="119"/>
      <c r="U61" s="120"/>
      <c r="V61" s="121" t="s">
        <v>4</v>
      </c>
      <c r="W61" s="122"/>
      <c r="X61" s="110" t="s">
        <v>42</v>
      </c>
      <c r="Y61" s="111"/>
      <c r="Z61" s="112"/>
    </row>
    <row r="62" spans="1:29" ht="105" x14ac:dyDescent="0.25">
      <c r="A62" s="2" t="s">
        <v>5</v>
      </c>
      <c r="B62" s="131" t="s">
        <v>6</v>
      </c>
      <c r="C62" s="132"/>
      <c r="D62" s="131" t="s">
        <v>7</v>
      </c>
      <c r="E62" s="133"/>
      <c r="F62" s="131" t="s">
        <v>8</v>
      </c>
      <c r="G62" s="133"/>
      <c r="H62" s="3" t="s">
        <v>9</v>
      </c>
      <c r="I62" s="4" t="s">
        <v>10</v>
      </c>
      <c r="J62" s="5" t="s">
        <v>11</v>
      </c>
      <c r="K62" s="6" t="s">
        <v>12</v>
      </c>
      <c r="L62" s="6" t="s">
        <v>13</v>
      </c>
      <c r="M62" s="6" t="s">
        <v>14</v>
      </c>
      <c r="N62" s="6" t="s">
        <v>15</v>
      </c>
      <c r="O62" s="6" t="s">
        <v>16</v>
      </c>
      <c r="P62" s="6" t="s">
        <v>17</v>
      </c>
      <c r="Q62" s="6" t="s">
        <v>18</v>
      </c>
      <c r="R62" s="7" t="s">
        <v>19</v>
      </c>
      <c r="S62" s="8" t="s">
        <v>20</v>
      </c>
      <c r="T62" s="9" t="s">
        <v>21</v>
      </c>
      <c r="U62" s="63" t="s">
        <v>17</v>
      </c>
      <c r="V62" s="11" t="s">
        <v>9</v>
      </c>
      <c r="W62" s="12" t="s">
        <v>22</v>
      </c>
      <c r="X62" s="11" t="s">
        <v>43</v>
      </c>
      <c r="Y62" s="80" t="s">
        <v>41</v>
      </c>
      <c r="Z62" s="12" t="s">
        <v>44</v>
      </c>
      <c r="AA62" s="57"/>
      <c r="AB62" s="57"/>
      <c r="AC62" s="57"/>
    </row>
    <row r="63" spans="1:29" ht="15.75" thickBot="1" x14ac:dyDescent="0.3">
      <c r="A63" s="13"/>
      <c r="B63" s="14" t="s">
        <v>23</v>
      </c>
      <c r="C63" s="15" t="s">
        <v>24</v>
      </c>
      <c r="D63" s="14" t="s">
        <v>23</v>
      </c>
      <c r="E63" s="16" t="s">
        <v>25</v>
      </c>
      <c r="F63" s="14" t="s">
        <v>23</v>
      </c>
      <c r="G63" s="16" t="s">
        <v>25</v>
      </c>
      <c r="H63" s="17" t="s">
        <v>26</v>
      </c>
      <c r="I63" s="18" t="s">
        <v>26</v>
      </c>
      <c r="J63" s="19" t="s">
        <v>27</v>
      </c>
      <c r="K63" s="20" t="s">
        <v>27</v>
      </c>
      <c r="L63" s="20"/>
      <c r="M63" s="20"/>
      <c r="N63" s="20" t="s">
        <v>27</v>
      </c>
      <c r="O63" s="20" t="s">
        <v>27</v>
      </c>
      <c r="P63" s="20" t="s">
        <v>27</v>
      </c>
      <c r="Q63" s="20" t="s">
        <v>27</v>
      </c>
      <c r="R63" s="21" t="s">
        <v>27</v>
      </c>
      <c r="S63" s="22" t="s">
        <v>27</v>
      </c>
      <c r="T63" s="23" t="s">
        <v>27</v>
      </c>
      <c r="U63" s="64" t="s">
        <v>27</v>
      </c>
      <c r="V63" s="25" t="s">
        <v>28</v>
      </c>
      <c r="W63" s="26" t="s">
        <v>28</v>
      </c>
      <c r="X63" s="25"/>
      <c r="Y63" s="81"/>
      <c r="Z63" s="26"/>
    </row>
    <row r="64" spans="1:29" x14ac:dyDescent="0.25">
      <c r="A64" s="27" t="s">
        <v>29</v>
      </c>
      <c r="B64" s="28">
        <v>1356050504.7965584</v>
      </c>
      <c r="C64" s="28">
        <v>1230433631.2946141</v>
      </c>
      <c r="D64" s="28">
        <v>328232619.7211892</v>
      </c>
      <c r="E64" s="28">
        <v>734541766.32822895</v>
      </c>
      <c r="F64" s="28">
        <v>52979246.469569653</v>
      </c>
      <c r="G64" s="28">
        <v>74240792.865668803</v>
      </c>
      <c r="H64" s="29">
        <f>$H$7</f>
        <v>2070.5848977291462</v>
      </c>
      <c r="I64" s="30">
        <f>D64*2000/E64</f>
        <v>893.70716484083198</v>
      </c>
      <c r="J64" s="31">
        <f>G64+C64</f>
        <v>1304674424.1602829</v>
      </c>
      <c r="K64" s="32">
        <f>E64</f>
        <v>734541766.32822895</v>
      </c>
      <c r="L64" s="33">
        <f t="shared" ref="L64:M66" si="35">J64/($J64+$K64)</f>
        <v>0.6397921074997629</v>
      </c>
      <c r="M64" s="33">
        <f t="shared" si="35"/>
        <v>0.36020789250023716</v>
      </c>
      <c r="N64" s="34">
        <f>VLOOKUP(A64,[1]BB3!$A$3:$J$5,4,0)</f>
        <v>218243050.15373981</v>
      </c>
      <c r="O64" s="35">
        <f>J64-(N64*L64)</f>
        <v>1165044243.1552453</v>
      </c>
      <c r="P64" s="35">
        <f>K64-(N64*M64)</f>
        <v>655928897.17952681</v>
      </c>
      <c r="Q64" s="35">
        <f t="shared" ref="Q64:R66" si="36">J64-O64</f>
        <v>139630181.00503755</v>
      </c>
      <c r="R64" s="35">
        <f t="shared" si="36"/>
        <v>78612869.148702145</v>
      </c>
      <c r="S64" s="37">
        <f>VLOOKUP(A64,[1]BB2!$A$4:$L$6,6,0)-P64</f>
        <v>332026688.02047324</v>
      </c>
      <c r="T64" s="38">
        <f>MAX(O64-S64,0)</f>
        <v>833017555.13477206</v>
      </c>
      <c r="U64" s="66">
        <f>(O64-T64)+P64</f>
        <v>987955585.20000005</v>
      </c>
      <c r="V64" s="40">
        <f>(T64*H64+(MAX(0,U64-K64)*I64))/(MAX(0,U64-K64)+T64+Q64)</f>
        <v>1591.5280165376878</v>
      </c>
      <c r="W64" s="41">
        <f>(U64*I64)/(U64+R64)</f>
        <v>827.83527061741609</v>
      </c>
      <c r="X64" s="83">
        <f>1-(I64/MAX($V$64:$V$66))</f>
        <v>0.43845967174045741</v>
      </c>
      <c r="Y64" s="82">
        <f>1-(K64/U64)</f>
        <v>0.2565032504173459</v>
      </c>
      <c r="Z64" s="84">
        <f>Y64*X64</f>
        <v>0.11246633097834982</v>
      </c>
      <c r="AA64" s="56"/>
      <c r="AB64" s="56"/>
      <c r="AC64" s="56"/>
    </row>
    <row r="65" spans="1:29" x14ac:dyDescent="0.25">
      <c r="A65" s="27" t="s">
        <v>30</v>
      </c>
      <c r="B65" s="28">
        <v>229424715.80883861</v>
      </c>
      <c r="C65" s="28">
        <v>203976917.82870078</v>
      </c>
      <c r="D65" s="28">
        <v>89046465.077493206</v>
      </c>
      <c r="E65" s="28">
        <v>198151365.95778704</v>
      </c>
      <c r="F65" s="28">
        <v>9433180.3000000007</v>
      </c>
      <c r="G65" s="28">
        <v>13326187</v>
      </c>
      <c r="H65" s="29">
        <f>$H$8</f>
        <v>2154.0417221497669</v>
      </c>
      <c r="I65" s="30">
        <f>D65*2000/E65</f>
        <v>898.77215478255278</v>
      </c>
      <c r="J65" s="31">
        <f>G65+C65</f>
        <v>217303104.82870078</v>
      </c>
      <c r="K65" s="32">
        <f>E65</f>
        <v>198151365.95778704</v>
      </c>
      <c r="L65" s="33">
        <f t="shared" si="35"/>
        <v>0.52304914282744153</v>
      </c>
      <c r="M65" s="33">
        <f t="shared" si="35"/>
        <v>0.47695085717255853</v>
      </c>
      <c r="N65" s="34">
        <f>VLOOKUP(A65,[1]BB3!$A$3:$J$5,4,0)</f>
        <v>75244720.918827727</v>
      </c>
      <c r="O65" s="35">
        <f>J65-(N65*L65)</f>
        <v>177946418.04981789</v>
      </c>
      <c r="P65" s="35">
        <f>K65-(N65*M65)</f>
        <v>162263331.81784222</v>
      </c>
      <c r="Q65" s="35">
        <f t="shared" si="36"/>
        <v>39356686.778882891</v>
      </c>
      <c r="R65" s="35">
        <f t="shared" si="36"/>
        <v>35888034.139944822</v>
      </c>
      <c r="S65" s="37">
        <f>VLOOKUP(A65,[1]BB2!$A$4:$L$6,6,0)-P65</f>
        <v>104260162.96367925</v>
      </c>
      <c r="T65" s="38">
        <f>MAX(O65-S65,0)</f>
        <v>73686255.086138636</v>
      </c>
      <c r="U65" s="66">
        <f>(O65-T65)+P65</f>
        <v>266523494.78152147</v>
      </c>
      <c r="V65" s="40">
        <f>(T65*H65+(MAX(0,U65-K65)*I65))/(MAX(0,U65-K65)+T65+Q65)</f>
        <v>1213.6490784287278</v>
      </c>
      <c r="W65" s="41">
        <f>(U65*I65)/(U65+R65)</f>
        <v>792.11231317563966</v>
      </c>
      <c r="X65" s="83">
        <f t="shared" ref="X65:X66" si="37">1-(I65/MAX($V$64:$V$66))</f>
        <v>0.43527720188187491</v>
      </c>
      <c r="Y65" s="82">
        <f t="shared" ref="Y65:Y66" si="38">1-(K65/U65)</f>
        <v>0.25653321437864762</v>
      </c>
      <c r="Z65" s="84">
        <f t="shared" ref="Z65:Z66" si="39">Y65*X65</f>
        <v>0.1116630597445009</v>
      </c>
      <c r="AA65" s="56"/>
      <c r="AB65" s="56"/>
      <c r="AC65" s="56"/>
    </row>
    <row r="66" spans="1:29" ht="15.75" thickBot="1" x14ac:dyDescent="0.3">
      <c r="A66" s="14" t="s">
        <v>31</v>
      </c>
      <c r="B66" s="42">
        <v>129404297.86275788</v>
      </c>
      <c r="C66" s="42">
        <v>115050132.40000001</v>
      </c>
      <c r="D66" s="42">
        <v>65236948.462444693</v>
      </c>
      <c r="E66" s="42">
        <v>137182895.18000007</v>
      </c>
      <c r="F66" s="42">
        <v>5835640.9800000014</v>
      </c>
      <c r="G66" s="42">
        <v>8331348</v>
      </c>
      <c r="H66" s="43">
        <f>$H$9</f>
        <v>2143.9788137266414</v>
      </c>
      <c r="I66" s="44">
        <f>D66*2000/E66</f>
        <v>951.09449872516768</v>
      </c>
      <c r="J66" s="45">
        <f>G66+C66</f>
        <v>123381480.40000001</v>
      </c>
      <c r="K66" s="46">
        <f>E66</f>
        <v>137182895.18000007</v>
      </c>
      <c r="L66" s="47">
        <f t="shared" si="35"/>
        <v>0.47351630523305621</v>
      </c>
      <c r="M66" s="47">
        <f t="shared" si="35"/>
        <v>0.52648369476694379</v>
      </c>
      <c r="N66" s="48">
        <f>VLOOKUP(A66,[1]BB3!$A$3:$J$5,4,0)</f>
        <v>39382161.760108508</v>
      </c>
      <c r="O66" s="49">
        <f>J66-(N66*L66)</f>
        <v>104733384.67126288</v>
      </c>
      <c r="P66" s="49">
        <f>K66-(N66*M66)</f>
        <v>116448829.1486287</v>
      </c>
      <c r="Q66" s="49">
        <f t="shared" si="36"/>
        <v>18648095.728737131</v>
      </c>
      <c r="R66" s="49">
        <f t="shared" si="36"/>
        <v>20734066.03137137</v>
      </c>
      <c r="S66" s="51">
        <f>VLOOKUP(A66,[1]BB2!$A$4:$L$6,6,0)-P66</f>
        <v>68069024.013230398</v>
      </c>
      <c r="T66" s="52">
        <f>MAX(O66-S66,0)</f>
        <v>36664360.658032477</v>
      </c>
      <c r="U66" s="67">
        <f>(O66-T66)+P66</f>
        <v>184517853.1618591</v>
      </c>
      <c r="V66" s="54">
        <f>(T66*H66+(MAX(0,U66-K66)*I66))/(MAX(0,U66-K66)+T66+Q66)</f>
        <v>1204.3910834384415</v>
      </c>
      <c r="W66" s="55">
        <f>(U66*I66)/(U66+R66)</f>
        <v>855.01716986922361</v>
      </c>
      <c r="X66" s="85">
        <f t="shared" si="37"/>
        <v>0.4024016612700041</v>
      </c>
      <c r="Y66" s="86">
        <f t="shared" si="38"/>
        <v>0.25653321437864762</v>
      </c>
      <c r="Z66" s="87">
        <f t="shared" si="39"/>
        <v>0.10322939163690191</v>
      </c>
      <c r="AA66" s="56"/>
      <c r="AB66" s="56"/>
      <c r="AC66" s="56"/>
    </row>
    <row r="67" spans="1:29" x14ac:dyDescent="0.25">
      <c r="V67" s="60"/>
      <c r="W67" s="60"/>
      <c r="X67" s="60"/>
      <c r="Y67" s="60"/>
      <c r="Z67" s="60"/>
    </row>
    <row r="68" spans="1:29" x14ac:dyDescent="0.25">
      <c r="V68" s="60"/>
      <c r="W68" s="60"/>
      <c r="X68" s="60"/>
      <c r="Y68" s="60"/>
      <c r="Z68" s="60"/>
    </row>
    <row r="69" spans="1:29" ht="15.75" thickBot="1" x14ac:dyDescent="0.3">
      <c r="A69" s="59">
        <v>2023</v>
      </c>
      <c r="V69" s="60"/>
      <c r="W69" s="60"/>
      <c r="X69" s="60"/>
      <c r="Y69" s="60"/>
      <c r="Z69" s="60"/>
    </row>
    <row r="70" spans="1:29" ht="15.75" thickBot="1" x14ac:dyDescent="0.3">
      <c r="A70" s="1"/>
      <c r="B70" s="131" t="s">
        <v>0</v>
      </c>
      <c r="C70" s="132"/>
      <c r="D70" s="132"/>
      <c r="E70" s="132"/>
      <c r="F70" s="132"/>
      <c r="G70" s="132"/>
      <c r="H70" s="113" t="s">
        <v>1</v>
      </c>
      <c r="I70" s="114"/>
      <c r="J70" s="115" t="s">
        <v>35</v>
      </c>
      <c r="K70" s="116"/>
      <c r="L70" s="116"/>
      <c r="M70" s="116"/>
      <c r="N70" s="116"/>
      <c r="O70" s="116"/>
      <c r="P70" s="116"/>
      <c r="Q70" s="116"/>
      <c r="R70" s="117"/>
      <c r="S70" s="118" t="s">
        <v>36</v>
      </c>
      <c r="T70" s="119"/>
      <c r="U70" s="120"/>
      <c r="V70" s="121" t="s">
        <v>4</v>
      </c>
      <c r="W70" s="122"/>
      <c r="X70" s="110" t="s">
        <v>42</v>
      </c>
      <c r="Y70" s="111"/>
      <c r="Z70" s="112"/>
    </row>
    <row r="71" spans="1:29" ht="105" x14ac:dyDescent="0.25">
      <c r="A71" s="2" t="s">
        <v>5</v>
      </c>
      <c r="B71" s="131" t="s">
        <v>6</v>
      </c>
      <c r="C71" s="132"/>
      <c r="D71" s="131" t="s">
        <v>7</v>
      </c>
      <c r="E71" s="133"/>
      <c r="F71" s="131" t="s">
        <v>8</v>
      </c>
      <c r="G71" s="133"/>
      <c r="H71" s="3" t="s">
        <v>9</v>
      </c>
      <c r="I71" s="4" t="s">
        <v>10</v>
      </c>
      <c r="J71" s="5" t="s">
        <v>11</v>
      </c>
      <c r="K71" s="6" t="s">
        <v>12</v>
      </c>
      <c r="L71" s="6" t="s">
        <v>13</v>
      </c>
      <c r="M71" s="6" t="s">
        <v>14</v>
      </c>
      <c r="N71" s="6" t="s">
        <v>15</v>
      </c>
      <c r="O71" s="6" t="s">
        <v>16</v>
      </c>
      <c r="P71" s="6" t="s">
        <v>17</v>
      </c>
      <c r="Q71" s="6" t="s">
        <v>18</v>
      </c>
      <c r="R71" s="7" t="s">
        <v>19</v>
      </c>
      <c r="S71" s="8" t="s">
        <v>20</v>
      </c>
      <c r="T71" s="9" t="s">
        <v>21</v>
      </c>
      <c r="U71" s="63" t="s">
        <v>17</v>
      </c>
      <c r="V71" s="11" t="s">
        <v>9</v>
      </c>
      <c r="W71" s="12" t="s">
        <v>22</v>
      </c>
      <c r="X71" s="11" t="s">
        <v>43</v>
      </c>
      <c r="Y71" s="80" t="s">
        <v>41</v>
      </c>
      <c r="Z71" s="12" t="s">
        <v>44</v>
      </c>
      <c r="AA71" s="57"/>
      <c r="AB71" s="57"/>
      <c r="AC71" s="57"/>
    </row>
    <row r="72" spans="1:29" ht="15.75" thickBot="1" x14ac:dyDescent="0.3">
      <c r="A72" s="13"/>
      <c r="B72" s="14" t="s">
        <v>23</v>
      </c>
      <c r="C72" s="15" t="s">
        <v>24</v>
      </c>
      <c r="D72" s="14" t="s">
        <v>23</v>
      </c>
      <c r="E72" s="16" t="s">
        <v>25</v>
      </c>
      <c r="F72" s="14" t="s">
        <v>23</v>
      </c>
      <c r="G72" s="16" t="s">
        <v>25</v>
      </c>
      <c r="H72" s="17" t="s">
        <v>26</v>
      </c>
      <c r="I72" s="18" t="s">
        <v>26</v>
      </c>
      <c r="J72" s="19" t="s">
        <v>27</v>
      </c>
      <c r="K72" s="20" t="s">
        <v>27</v>
      </c>
      <c r="L72" s="20"/>
      <c r="M72" s="20"/>
      <c r="N72" s="20" t="s">
        <v>27</v>
      </c>
      <c r="O72" s="20" t="s">
        <v>27</v>
      </c>
      <c r="P72" s="20" t="s">
        <v>27</v>
      </c>
      <c r="Q72" s="20" t="s">
        <v>27</v>
      </c>
      <c r="R72" s="21" t="s">
        <v>27</v>
      </c>
      <c r="S72" s="22" t="s">
        <v>27</v>
      </c>
      <c r="T72" s="23" t="s">
        <v>27</v>
      </c>
      <c r="U72" s="64" t="s">
        <v>27</v>
      </c>
      <c r="V72" s="25" t="s">
        <v>28</v>
      </c>
      <c r="W72" s="26" t="s">
        <v>28</v>
      </c>
      <c r="X72" s="25"/>
      <c r="Y72" s="81"/>
      <c r="Z72" s="26"/>
    </row>
    <row r="73" spans="1:29" x14ac:dyDescent="0.25">
      <c r="A73" s="27" t="s">
        <v>29</v>
      </c>
      <c r="B73" s="28">
        <v>1356050504.7965584</v>
      </c>
      <c r="C73" s="28">
        <v>1230433631.2946141</v>
      </c>
      <c r="D73" s="28">
        <v>328232619.7211892</v>
      </c>
      <c r="E73" s="28">
        <v>734541766.32822895</v>
      </c>
      <c r="F73" s="28">
        <v>52979246.469569653</v>
      </c>
      <c r="G73" s="28">
        <v>74240792.865668803</v>
      </c>
      <c r="H73" s="29">
        <f>$H$7</f>
        <v>2070.5848977291462</v>
      </c>
      <c r="I73" s="30">
        <f>D73*2000/E73</f>
        <v>893.70716484083198</v>
      </c>
      <c r="J73" s="31">
        <f>G73+C73</f>
        <v>1304674424.1602829</v>
      </c>
      <c r="K73" s="32">
        <f>E73</f>
        <v>734541766.32822895</v>
      </c>
      <c r="L73" s="33">
        <f t="shared" ref="L73:M75" si="40">J73/($J73+$K73)</f>
        <v>0.6397921074997629</v>
      </c>
      <c r="M73" s="33">
        <f t="shared" si="40"/>
        <v>0.36020789250023716</v>
      </c>
      <c r="N73" s="34">
        <f>VLOOKUP(A73,[1]BB3!$A$3:$J$5,3,0)</f>
        <v>181542775.22580782</v>
      </c>
      <c r="O73" s="35">
        <f>J73-(N73*L73)</f>
        <v>1188524789.3972075</v>
      </c>
      <c r="P73" s="35">
        <f>K73-(N73*M73)</f>
        <v>669148625.8654964</v>
      </c>
      <c r="Q73" s="35">
        <f t="shared" ref="Q73:R75" si="41">J73-O73</f>
        <v>116149634.76307535</v>
      </c>
      <c r="R73" s="35">
        <f t="shared" si="41"/>
        <v>65393140.462732553</v>
      </c>
      <c r="S73" s="37">
        <f>VLOOKUP(A73,[1]BB2!$A$4:$L$6,5,0)-P73</f>
        <v>271799376.80096483</v>
      </c>
      <c r="T73" s="38">
        <f>MAX(O73-S73,0)</f>
        <v>916725412.59624267</v>
      </c>
      <c r="U73" s="66">
        <f>(O73-T73)+P73</f>
        <v>940948002.66646123</v>
      </c>
      <c r="V73" s="40">
        <f>(T73*H73+(MAX(0,U73-K73)*I73))/(MAX(0,U73-K73)+T73+Q73)</f>
        <v>1680.5099490858433</v>
      </c>
      <c r="W73" s="41">
        <f>(U73*I73)/(U73+R73)</f>
        <v>835.63310261849051</v>
      </c>
      <c r="X73" s="83">
        <f>1-(I73/MAX($V$73:$V$75))</f>
        <v>0.46819287483124572</v>
      </c>
      <c r="Y73" s="82">
        <f>1-(K73/U73)</f>
        <v>0.21935987509757993</v>
      </c>
      <c r="Z73" s="84">
        <f>Y73*X73</f>
        <v>0.10270273054455893</v>
      </c>
      <c r="AA73" s="56"/>
      <c r="AB73" s="56"/>
      <c r="AC73" s="56"/>
    </row>
    <row r="74" spans="1:29" x14ac:dyDescent="0.25">
      <c r="A74" s="27" t="s">
        <v>30</v>
      </c>
      <c r="B74" s="28">
        <v>229424715.80883861</v>
      </c>
      <c r="C74" s="28">
        <v>203976917.82870078</v>
      </c>
      <c r="D74" s="28">
        <v>89046465.077493206</v>
      </c>
      <c r="E74" s="28">
        <v>198151365.95778704</v>
      </c>
      <c r="F74" s="28">
        <v>9433180.3000000007</v>
      </c>
      <c r="G74" s="28">
        <v>13326187</v>
      </c>
      <c r="H74" s="29">
        <f>$H$8</f>
        <v>2154.0417221497669</v>
      </c>
      <c r="I74" s="30">
        <f>D74*2000/E74</f>
        <v>898.77215478255278</v>
      </c>
      <c r="J74" s="31">
        <f>G74+C74</f>
        <v>217303104.82870078</v>
      </c>
      <c r="K74" s="32">
        <f>E74</f>
        <v>198151365.95778704</v>
      </c>
      <c r="L74" s="33">
        <f t="shared" si="40"/>
        <v>0.52304914282744153</v>
      </c>
      <c r="M74" s="33">
        <f t="shared" si="40"/>
        <v>0.47695085717255853</v>
      </c>
      <c r="N74" s="34">
        <f>VLOOKUP(A74,[1]BB3!$A$3:$J$5,3,0)</f>
        <v>60956363.472270653</v>
      </c>
      <c r="O74" s="35">
        <f>J74-(N74*L74)</f>
        <v>185419931.16465163</v>
      </c>
      <c r="P74" s="35">
        <f>K74-(N74*M74)</f>
        <v>169078176.14956552</v>
      </c>
      <c r="Q74" s="35">
        <f t="shared" si="41"/>
        <v>31883173.664049149</v>
      </c>
      <c r="R74" s="35">
        <f t="shared" si="41"/>
        <v>29073189.808221519</v>
      </c>
      <c r="S74" s="37">
        <f>VLOOKUP(A74,[1]BB2!$A$4:$L$6,5,0)-P74</f>
        <v>84753723.642359674</v>
      </c>
      <c r="T74" s="38">
        <f>MAX(O74-S74,0)</f>
        <v>100666207.52229196</v>
      </c>
      <c r="U74" s="66">
        <f>(O74-T74)+P74</f>
        <v>253831899.79192519</v>
      </c>
      <c r="V74" s="40">
        <f>(T74*H74+(MAX(0,U74-K74)*I74))/(MAX(0,U74-K74)+T74+Q74)</f>
        <v>1417.8581781653468</v>
      </c>
      <c r="W74" s="41">
        <f>(U74*I74)/(U74+R74)</f>
        <v>806.40841015261583</v>
      </c>
      <c r="X74" s="83">
        <f t="shared" ref="X74:X75" si="42">1-(I74/MAX($V$73:$V$75))</f>
        <v>0.46517891472676909</v>
      </c>
      <c r="Y74" s="82">
        <f t="shared" ref="Y74:Y75" si="43">1-(K74/U74)</f>
        <v>0.21935987509758004</v>
      </c>
      <c r="Z74" s="84">
        <f t="shared" ref="Z74:Z75" si="44">Y74*X74</f>
        <v>0.10204158863249191</v>
      </c>
      <c r="AA74" s="56"/>
      <c r="AB74" s="56"/>
      <c r="AC74" s="56"/>
    </row>
    <row r="75" spans="1:29" ht="15.75" thickBot="1" x14ac:dyDescent="0.3">
      <c r="A75" s="14" t="s">
        <v>31</v>
      </c>
      <c r="B75" s="42">
        <v>129404297.86275788</v>
      </c>
      <c r="C75" s="42">
        <v>115050132.40000001</v>
      </c>
      <c r="D75" s="42">
        <v>65236948.462444693</v>
      </c>
      <c r="E75" s="42">
        <v>137182895.18000007</v>
      </c>
      <c r="F75" s="42">
        <v>5835640.9800000014</v>
      </c>
      <c r="G75" s="42">
        <v>8331348</v>
      </c>
      <c r="H75" s="43">
        <f>$H$9</f>
        <v>2143.9788137266414</v>
      </c>
      <c r="I75" s="44">
        <f>D75*2000/E75</f>
        <v>951.09449872516768</v>
      </c>
      <c r="J75" s="45">
        <f>G75+C75</f>
        <v>123381480.40000001</v>
      </c>
      <c r="K75" s="46">
        <f>E75</f>
        <v>137182895.18000007</v>
      </c>
      <c r="L75" s="47">
        <f t="shared" si="40"/>
        <v>0.47351630523305621</v>
      </c>
      <c r="M75" s="47">
        <f t="shared" si="40"/>
        <v>0.52648369476694379</v>
      </c>
      <c r="N75" s="48">
        <f>VLOOKUP(A75,[1]BB3!$A$3:$J$5,3,0)</f>
        <v>28177430.894597579</v>
      </c>
      <c r="O75" s="49">
        <f>J75-(N75*L75)</f>
        <v>110039007.43183039</v>
      </c>
      <c r="P75" s="49">
        <f>K75-(N75*M75)</f>
        <v>122347937.25357211</v>
      </c>
      <c r="Q75" s="49">
        <f t="shared" si="41"/>
        <v>13342472.968169615</v>
      </c>
      <c r="R75" s="49">
        <f t="shared" si="41"/>
        <v>14834957.92642796</v>
      </c>
      <c r="S75" s="51">
        <f>VLOOKUP(A75,[1]BB2!$A$4:$L$6,5,0)-P75</f>
        <v>53383351.47200799</v>
      </c>
      <c r="T75" s="52">
        <f>MAX(O75-S75,0)</f>
        <v>56655655.959822401</v>
      </c>
      <c r="U75" s="67">
        <f>(O75-T75)+P75</f>
        <v>175731288.7255801</v>
      </c>
      <c r="V75" s="54">
        <f>(T75*H75+(MAX(0,U75-K75)*I75))/(MAX(0,U75-K75)+T75+Q75)</f>
        <v>1456.8102919192017</v>
      </c>
      <c r="W75" s="55">
        <f>(U75*I75)/(U75+R75)</f>
        <v>877.05490818629266</v>
      </c>
      <c r="X75" s="85">
        <f t="shared" si="42"/>
        <v>0.43404411307261825</v>
      </c>
      <c r="Y75" s="86">
        <f t="shared" si="43"/>
        <v>0.21935987509758004</v>
      </c>
      <c r="Z75" s="87">
        <f t="shared" si="44"/>
        <v>9.5211862430449448E-2</v>
      </c>
      <c r="AA75" s="56"/>
      <c r="AB75" s="56"/>
      <c r="AC75" s="56"/>
    </row>
    <row r="76" spans="1:29" x14ac:dyDescent="0.25">
      <c r="V76" s="60"/>
      <c r="W76" s="60"/>
      <c r="X76" s="60"/>
      <c r="Y76" s="60"/>
      <c r="Z76" s="60"/>
    </row>
    <row r="77" spans="1:29" x14ac:dyDescent="0.25">
      <c r="V77" s="60"/>
      <c r="W77" s="60"/>
      <c r="X77" s="60"/>
      <c r="Y77" s="60"/>
      <c r="Z77" s="60"/>
    </row>
    <row r="78" spans="1:29" ht="15.75" thickBot="1" x14ac:dyDescent="0.3">
      <c r="A78" s="59">
        <v>2022</v>
      </c>
      <c r="V78" s="60"/>
      <c r="W78" s="60"/>
      <c r="X78" s="60"/>
      <c r="Y78" s="60"/>
      <c r="Z78" s="60"/>
    </row>
    <row r="79" spans="1:29" ht="15.75" thickBot="1" x14ac:dyDescent="0.3">
      <c r="A79" s="2"/>
      <c r="B79" s="131" t="s">
        <v>0</v>
      </c>
      <c r="C79" s="132"/>
      <c r="D79" s="132"/>
      <c r="E79" s="132"/>
      <c r="F79" s="132"/>
      <c r="G79" s="132"/>
      <c r="H79" s="113" t="s">
        <v>1</v>
      </c>
      <c r="I79" s="114"/>
      <c r="J79" s="115" t="s">
        <v>35</v>
      </c>
      <c r="K79" s="116"/>
      <c r="L79" s="116"/>
      <c r="M79" s="116"/>
      <c r="N79" s="116"/>
      <c r="O79" s="116"/>
      <c r="P79" s="116"/>
      <c r="Q79" s="116"/>
      <c r="R79" s="117"/>
      <c r="S79" s="118" t="s">
        <v>36</v>
      </c>
      <c r="T79" s="119"/>
      <c r="U79" s="120"/>
      <c r="V79" s="121" t="s">
        <v>4</v>
      </c>
      <c r="W79" s="122"/>
      <c r="X79" s="110" t="s">
        <v>42</v>
      </c>
      <c r="Y79" s="111"/>
      <c r="Z79" s="112"/>
    </row>
    <row r="80" spans="1:29" ht="105" x14ac:dyDescent="0.25">
      <c r="A80" s="69" t="s">
        <v>5</v>
      </c>
      <c r="B80" s="131" t="s">
        <v>6</v>
      </c>
      <c r="C80" s="132"/>
      <c r="D80" s="131" t="s">
        <v>7</v>
      </c>
      <c r="E80" s="133"/>
      <c r="F80" s="131" t="s">
        <v>8</v>
      </c>
      <c r="G80" s="133"/>
      <c r="H80" s="3" t="s">
        <v>9</v>
      </c>
      <c r="I80" s="4" t="s">
        <v>10</v>
      </c>
      <c r="J80" s="5" t="s">
        <v>11</v>
      </c>
      <c r="K80" s="6" t="s">
        <v>12</v>
      </c>
      <c r="L80" s="6" t="s">
        <v>13</v>
      </c>
      <c r="M80" s="6" t="s">
        <v>14</v>
      </c>
      <c r="N80" s="6" t="s">
        <v>15</v>
      </c>
      <c r="O80" s="6" t="s">
        <v>16</v>
      </c>
      <c r="P80" s="6" t="s">
        <v>17</v>
      </c>
      <c r="Q80" s="6" t="s">
        <v>18</v>
      </c>
      <c r="R80" s="7" t="s">
        <v>19</v>
      </c>
      <c r="S80" s="8" t="s">
        <v>20</v>
      </c>
      <c r="T80" s="9" t="s">
        <v>21</v>
      </c>
      <c r="U80" s="63" t="s">
        <v>17</v>
      </c>
      <c r="V80" s="11" t="s">
        <v>9</v>
      </c>
      <c r="W80" s="12" t="s">
        <v>22</v>
      </c>
      <c r="X80" s="11" t="s">
        <v>43</v>
      </c>
      <c r="Y80" s="80" t="s">
        <v>41</v>
      </c>
      <c r="Z80" s="12" t="s">
        <v>44</v>
      </c>
      <c r="AA80" s="57"/>
      <c r="AB80" s="57"/>
      <c r="AC80" s="57"/>
    </row>
    <row r="81" spans="1:29" ht="15.75" thickBot="1" x14ac:dyDescent="0.3">
      <c r="A81" s="13"/>
      <c r="B81" s="14" t="s">
        <v>23</v>
      </c>
      <c r="C81" s="15" t="s">
        <v>24</v>
      </c>
      <c r="D81" s="14" t="s">
        <v>23</v>
      </c>
      <c r="E81" s="16" t="s">
        <v>25</v>
      </c>
      <c r="F81" s="14" t="s">
        <v>23</v>
      </c>
      <c r="G81" s="16" t="s">
        <v>25</v>
      </c>
      <c r="H81" s="17" t="s">
        <v>26</v>
      </c>
      <c r="I81" s="18" t="s">
        <v>26</v>
      </c>
      <c r="J81" s="19" t="s">
        <v>27</v>
      </c>
      <c r="K81" s="20" t="s">
        <v>27</v>
      </c>
      <c r="L81" s="20"/>
      <c r="M81" s="20"/>
      <c r="N81" s="20" t="s">
        <v>27</v>
      </c>
      <c r="O81" s="20" t="s">
        <v>27</v>
      </c>
      <c r="P81" s="20" t="s">
        <v>27</v>
      </c>
      <c r="Q81" s="20" t="s">
        <v>27</v>
      </c>
      <c r="R81" s="21" t="s">
        <v>27</v>
      </c>
      <c r="S81" s="22" t="s">
        <v>27</v>
      </c>
      <c r="T81" s="23" t="s">
        <v>27</v>
      </c>
      <c r="U81" s="64" t="s">
        <v>27</v>
      </c>
      <c r="V81" s="25" t="s">
        <v>28</v>
      </c>
      <c r="W81" s="26" t="s">
        <v>28</v>
      </c>
      <c r="X81" s="25"/>
      <c r="Y81" s="81"/>
      <c r="Z81" s="26"/>
    </row>
    <row r="82" spans="1:29" x14ac:dyDescent="0.25">
      <c r="A82" s="27" t="s">
        <v>29</v>
      </c>
      <c r="B82" s="28">
        <v>1356050504.7965584</v>
      </c>
      <c r="C82" s="28">
        <v>1230433631.2946141</v>
      </c>
      <c r="D82" s="28">
        <v>328232619.7211892</v>
      </c>
      <c r="E82" s="28">
        <v>734541766.32822895</v>
      </c>
      <c r="F82" s="28">
        <v>52979246.469569653</v>
      </c>
      <c r="G82" s="28">
        <v>74240792.865668803</v>
      </c>
      <c r="H82" s="29">
        <f>$H$7</f>
        <v>2070.5848977291462</v>
      </c>
      <c r="I82" s="30">
        <f>D82*2000/E82</f>
        <v>893.70716484083198</v>
      </c>
      <c r="J82" s="31">
        <f>G82+C82</f>
        <v>1304674424.1602829</v>
      </c>
      <c r="K82" s="32">
        <f>E82</f>
        <v>734541766.32822895</v>
      </c>
      <c r="L82" s="33">
        <f t="shared" ref="L82:M84" si="45">J82/($J82+$K82)</f>
        <v>0.6397921074997629</v>
      </c>
      <c r="M82" s="33">
        <f t="shared" si="45"/>
        <v>0.36020789250023716</v>
      </c>
      <c r="N82" s="34">
        <f>VLOOKUP(A82,[1]BB3!$A$3:$J$5,2,0)</f>
        <v>166253133.88248348</v>
      </c>
      <c r="O82" s="35">
        <f>J82-(N82*L82)</f>
        <v>1198306981.2551684</v>
      </c>
      <c r="P82" s="35">
        <f>K82-(N82*M82)</f>
        <v>674656075.35085976</v>
      </c>
      <c r="Q82" s="35">
        <f t="shared" ref="Q82:R84" si="46">J82-O82</f>
        <v>106367442.90511441</v>
      </c>
      <c r="R82" s="35">
        <f t="shared" si="46"/>
        <v>59885690.977369189</v>
      </c>
      <c r="S82" s="37">
        <f>VLOOKUP(A82,[1]BB2!$A$4:$L$6,4,0)-P82</f>
        <v>221484879.56957948</v>
      </c>
      <c r="T82" s="38">
        <f>MAX(O82-S82,0)</f>
        <v>976822101.68558896</v>
      </c>
      <c r="U82" s="66">
        <f>(O82-T82)+P82</f>
        <v>896140954.92043924</v>
      </c>
      <c r="V82" s="40">
        <f>(T82*H82+(MAX(0,U82-K82)*I82))/(MAX(0,U82-K82)+T82+Q82)</f>
        <v>1740.8700660830286</v>
      </c>
      <c r="W82" s="41">
        <f>(U82*I82)/(U82+R82)</f>
        <v>837.72517801277888</v>
      </c>
      <c r="X82" s="83">
        <f>1-(I82/MAX($V$82:$V$84))</f>
        <v>0.48663189616920688</v>
      </c>
      <c r="Y82" s="82">
        <f>1-(K82/U82)</f>
        <v>0.18032786885245899</v>
      </c>
      <c r="Z82" s="84">
        <f>Y82*X82</f>
        <v>8.7753292751824183E-2</v>
      </c>
      <c r="AA82" s="56"/>
      <c r="AB82" s="56"/>
      <c r="AC82" s="56"/>
    </row>
    <row r="83" spans="1:29" x14ac:dyDescent="0.25">
      <c r="A83" s="27" t="s">
        <v>30</v>
      </c>
      <c r="B83" s="28">
        <v>229424715.80883861</v>
      </c>
      <c r="C83" s="28">
        <v>203976917.82870078</v>
      </c>
      <c r="D83" s="28">
        <v>89046465.077493206</v>
      </c>
      <c r="E83" s="28">
        <v>198151365.95778704</v>
      </c>
      <c r="F83" s="28">
        <v>9433180.3000000007</v>
      </c>
      <c r="G83" s="28">
        <v>13326187</v>
      </c>
      <c r="H83" s="29">
        <f>$H$8</f>
        <v>2154.0417221497669</v>
      </c>
      <c r="I83" s="30">
        <f>D83*2000/E83</f>
        <v>898.77215478255278</v>
      </c>
      <c r="J83" s="31">
        <f>G83+C83</f>
        <v>217303104.82870078</v>
      </c>
      <c r="K83" s="32">
        <f>E83</f>
        <v>198151365.95778704</v>
      </c>
      <c r="L83" s="33">
        <f t="shared" si="45"/>
        <v>0.52304914282744153</v>
      </c>
      <c r="M83" s="33">
        <f t="shared" si="45"/>
        <v>0.47695085717255853</v>
      </c>
      <c r="N83" s="34">
        <f>VLOOKUP(A83,[1]BB3!$A$3:$J$5,2,0)</f>
        <v>56663540.941620365</v>
      </c>
      <c r="O83" s="35">
        <f>J83-(N83*L83)</f>
        <v>187665288.30961862</v>
      </c>
      <c r="P83" s="35">
        <f>K83-(N83*M83)</f>
        <v>171125641.53524885</v>
      </c>
      <c r="Q83" s="35">
        <f t="shared" si="46"/>
        <v>29637816.519082159</v>
      </c>
      <c r="R83" s="35">
        <f t="shared" si="46"/>
        <v>27025724.422538191</v>
      </c>
      <c r="S83" s="37">
        <f>VLOOKUP(A83,[1]BB2!$A$4:$L$6,4,0)-P83</f>
        <v>70619024.933251321</v>
      </c>
      <c r="T83" s="38">
        <f>MAX(O83-S83,0)</f>
        <v>117046263.3763673</v>
      </c>
      <c r="U83" s="66">
        <f>(O83-T83)+P83</f>
        <v>241744666.46850017</v>
      </c>
      <c r="V83" s="40">
        <f>(T83*H83+(MAX(0,U83-K83)*I83))/(MAX(0,U83-K83)+T83+Q83)</f>
        <v>1530.9385632002734</v>
      </c>
      <c r="W83" s="41">
        <f>(U83*I83)/(U83+R83)</f>
        <v>808.39773335437008</v>
      </c>
      <c r="X83" s="83">
        <f t="shared" ref="X83:X84" si="47">1-(I83/MAX($V$82:$V$84))</f>
        <v>0.48372243724955466</v>
      </c>
      <c r="Y83" s="82">
        <f t="shared" ref="Y83:Y84" si="48">1-(K83/U83)</f>
        <v>0.18032786885245899</v>
      </c>
      <c r="Z83" s="84">
        <f t="shared" ref="Z83:Z84" si="49">Y83*X83</f>
        <v>8.7228636225329517E-2</v>
      </c>
      <c r="AA83" s="56"/>
      <c r="AB83" s="56"/>
      <c r="AC83" s="56"/>
    </row>
    <row r="84" spans="1:29" ht="15.75" thickBot="1" x14ac:dyDescent="0.3">
      <c r="A84" s="14" t="s">
        <v>31</v>
      </c>
      <c r="B84" s="42">
        <v>129404297.86275788</v>
      </c>
      <c r="C84" s="42">
        <v>115050132.40000001</v>
      </c>
      <c r="D84" s="42">
        <v>65236948.462444693</v>
      </c>
      <c r="E84" s="42">
        <v>137182895.18000007</v>
      </c>
      <c r="F84" s="42">
        <v>5835640.9800000014</v>
      </c>
      <c r="G84" s="42">
        <v>8331348</v>
      </c>
      <c r="H84" s="43">
        <f>$H$9</f>
        <v>2143.9788137266414</v>
      </c>
      <c r="I84" s="44">
        <f>D84*2000/E84</f>
        <v>951.09449872516768</v>
      </c>
      <c r="J84" s="45">
        <f>G84+C84</f>
        <v>123381480.40000001</v>
      </c>
      <c r="K84" s="46">
        <f>E84</f>
        <v>137182895.18000007</v>
      </c>
      <c r="L84" s="47">
        <f t="shared" si="45"/>
        <v>0.47351630523305621</v>
      </c>
      <c r="M84" s="47">
        <f t="shared" si="45"/>
        <v>0.52648369476694379</v>
      </c>
      <c r="N84" s="48">
        <f>VLOOKUP(A84,[1]BB3!$A$3:$J$5,2,0)</f>
        <v>18963672.368572205</v>
      </c>
      <c r="O84" s="49">
        <f>J84-(N84*L84)</f>
        <v>114401872.3263835</v>
      </c>
      <c r="P84" s="49">
        <f>K84-(N84*M84)</f>
        <v>127198830.88504437</v>
      </c>
      <c r="Q84" s="49">
        <f t="shared" si="46"/>
        <v>8979608.0736165047</v>
      </c>
      <c r="R84" s="49">
        <f t="shared" si="46"/>
        <v>9984064.2949557006</v>
      </c>
      <c r="S84" s="51">
        <f>VLOOKUP(A84,[1]BB2!$A$4:$L$6,4,0)-P84</f>
        <v>40164301.234555721</v>
      </c>
      <c r="T84" s="52">
        <f>MAX(O84-S84,0)</f>
        <v>74237571.09182778</v>
      </c>
      <c r="U84" s="67">
        <f>(O84-T84)+P84</f>
        <v>167363132.11960009</v>
      </c>
      <c r="V84" s="54">
        <f>(T84*H84+(MAX(0,U84-K84)*I84))/(MAX(0,U84-K84)+T84+Q84)</f>
        <v>1656.7223785139035</v>
      </c>
      <c r="W84" s="55">
        <f>(U84*I84)/(U84+R84)</f>
        <v>897.55100428134244</v>
      </c>
      <c r="X84" s="85">
        <f t="shared" si="47"/>
        <v>0.45366715342223229</v>
      </c>
      <c r="Y84" s="86">
        <f t="shared" si="48"/>
        <v>0.18032786885245899</v>
      </c>
      <c r="Z84" s="87">
        <f t="shared" si="49"/>
        <v>8.1808830944992694E-2</v>
      </c>
      <c r="AA84" s="56"/>
      <c r="AB84" s="56"/>
      <c r="AC84" s="56"/>
    </row>
  </sheetData>
  <mergeCells count="84">
    <mergeCell ref="B34:C34"/>
    <mergeCell ref="D34:E34"/>
    <mergeCell ref="F34:G34"/>
    <mergeCell ref="B4:G4"/>
    <mergeCell ref="B5:C5"/>
    <mergeCell ref="D5:E5"/>
    <mergeCell ref="F5:G5"/>
    <mergeCell ref="B13:G13"/>
    <mergeCell ref="B14:C14"/>
    <mergeCell ref="D14:E14"/>
    <mergeCell ref="F14:G14"/>
    <mergeCell ref="B23:G23"/>
    <mergeCell ref="B24:C24"/>
    <mergeCell ref="D24:E24"/>
    <mergeCell ref="F24:G24"/>
    <mergeCell ref="B33:G33"/>
    <mergeCell ref="B44:C44"/>
    <mergeCell ref="D44:E44"/>
    <mergeCell ref="F44:G44"/>
    <mergeCell ref="B52:G52"/>
    <mergeCell ref="B53:C53"/>
    <mergeCell ref="D53:E53"/>
    <mergeCell ref="F53:G53"/>
    <mergeCell ref="AD13:AI13"/>
    <mergeCell ref="B79:G79"/>
    <mergeCell ref="B80:C80"/>
    <mergeCell ref="D80:E80"/>
    <mergeCell ref="F80:G80"/>
    <mergeCell ref="H43:I43"/>
    <mergeCell ref="H61:I61"/>
    <mergeCell ref="B61:G61"/>
    <mergeCell ref="B62:C62"/>
    <mergeCell ref="D62:E62"/>
    <mergeCell ref="F62:G62"/>
    <mergeCell ref="B70:G70"/>
    <mergeCell ref="B71:C71"/>
    <mergeCell ref="D71:E71"/>
    <mergeCell ref="F71:G71"/>
    <mergeCell ref="B43:G43"/>
    <mergeCell ref="H33:I33"/>
    <mergeCell ref="J33:R33"/>
    <mergeCell ref="S33:U33"/>
    <mergeCell ref="V33:W33"/>
    <mergeCell ref="S4:U4"/>
    <mergeCell ref="V4:W4"/>
    <mergeCell ref="J4:R4"/>
    <mergeCell ref="H13:I13"/>
    <mergeCell ref="J13:R13"/>
    <mergeCell ref="S13:U13"/>
    <mergeCell ref="V13:W13"/>
    <mergeCell ref="H4:I4"/>
    <mergeCell ref="AD20:AI20"/>
    <mergeCell ref="H23:I23"/>
    <mergeCell ref="J23:R23"/>
    <mergeCell ref="S23:U23"/>
    <mergeCell ref="V23:W23"/>
    <mergeCell ref="S43:U43"/>
    <mergeCell ref="V43:W43"/>
    <mergeCell ref="H52:I52"/>
    <mergeCell ref="J52:R52"/>
    <mergeCell ref="S52:U52"/>
    <mergeCell ref="V52:W52"/>
    <mergeCell ref="J43:R43"/>
    <mergeCell ref="X4:Z4"/>
    <mergeCell ref="X13:Z13"/>
    <mergeCell ref="X23:Z23"/>
    <mergeCell ref="X33:Z33"/>
    <mergeCell ref="X43:Z43"/>
    <mergeCell ref="H79:I79"/>
    <mergeCell ref="J79:R79"/>
    <mergeCell ref="S79:U79"/>
    <mergeCell ref="V79:W79"/>
    <mergeCell ref="S61:U61"/>
    <mergeCell ref="V61:W61"/>
    <mergeCell ref="H70:I70"/>
    <mergeCell ref="J70:R70"/>
    <mergeCell ref="S70:U70"/>
    <mergeCell ref="V70:W70"/>
    <mergeCell ref="J61:R61"/>
    <mergeCell ref="AD25:AI25"/>
    <mergeCell ref="X52:Z52"/>
    <mergeCell ref="X61:Z61"/>
    <mergeCell ref="X70:Z70"/>
    <mergeCell ref="X79:Z7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/>
  <dcterms:created xsi:type="dcterms:W3CDTF">2015-10-22T18:24:11Z</dcterms:created>
  <dcterms:modified xsi:type="dcterms:W3CDTF">2015-10-22T18:24:26Z</dcterms:modified>
</cp:coreProperties>
</file>