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DIXON\Desktop\"/>
    </mc:Choice>
  </mc:AlternateContent>
  <workbookProtection workbookPassword="C969" lockStructure="1"/>
  <bookViews>
    <workbookView xWindow="3360" yWindow="468" windowWidth="15480" windowHeight="10680" tabRatio="759"/>
  </bookViews>
  <sheets>
    <sheet name="Registration FAQs" sheetId="33" r:id="rId1"/>
    <sheet name="Instructions" sheetId="1" r:id="rId2"/>
    <sheet name="Inputs" sheetId="13" r:id="rId3"/>
    <sheet name="Controls and Restrictions" sheetId="30" r:id="rId4"/>
    <sheet name="Total Emissions" sheetId="27" r:id="rId5"/>
    <sheet name="Output-Summary Printout" sheetId="29" r:id="rId6"/>
    <sheet name="Change Log" sheetId="14" state="hidden" r:id="rId7"/>
    <sheet name="VOC and Solids Content Ranges" sheetId="24" state="hidden" r:id="rId8"/>
    <sheet name="Emission Factors" sheetId="9" state="hidden" r:id="rId9"/>
    <sheet name="Fuel Energy Content" sheetId="23" state="hidden" r:id="rId10"/>
    <sheet name="Additional References" sheetId="20" state="hidden" r:id="rId11"/>
    <sheet name="EPA Regional Contact Info" sheetId="28" state="hidden" r:id="rId12"/>
  </sheets>
  <definedNames>
    <definedName name="_xlnm._FilterDatabase" localSheetId="11" hidden="1">'EPA Regional Contact Info'!$A$4:$N$55</definedName>
    <definedName name="Allowable_Coatings_PM_Content">'VOC and Solids Content Ranges'!$B$24</definedName>
    <definedName name="Allowable_Coatings_VOC_Content">'VOC and Solids Content Ranges'!$B$19</definedName>
    <definedName name="Allowable_Primer_PM_Content">'VOC and Solids Content Ranges'!$B$23</definedName>
    <definedName name="Allowable_Primer_VOC_Content">'VOC and Solids Content Ranges'!$B$18</definedName>
    <definedName name="Allowable_Solvent_VOC_Content">'VOC and Solids Content Ranges'!$B$17</definedName>
    <definedName name="Carbon_Adsorption_Default_CE">'Additional References'!$B$31</definedName>
    <definedName name="Catalytic_Oxidation_Default_CE">'Additional References'!$B$33</definedName>
    <definedName name="Cleaner_Density">Inputs!$E$46</definedName>
    <definedName name="Cleaner_Gallons">Inputs!$C$44</definedName>
    <definedName name="Cleaner_VOC_Content">Inputs!$E$43</definedName>
    <definedName name="CO_PM10_Attainment_List">Inputs!$E$3:$E$5</definedName>
    <definedName name="Coating_Density">Inputs!$E$64</definedName>
    <definedName name="Coating_Gallons">Inputs!$C$60</definedName>
    <definedName name="Coating_Solids_Content">Inputs!$E$61</definedName>
    <definedName name="Coating_VOC_Content">Inputs!$E$58</definedName>
    <definedName name="Default_Capture_Efficiency">'Additional References'!$B$37</definedName>
    <definedName name="Distillate_Oil_Actual_Sulfur_Content">'Additional References'!$B$19</definedName>
    <definedName name="Distillate_Oil_Allowable_Sulfur_Content">'Additional References'!$C$19</definedName>
    <definedName name="Heater_Capacity">Inputs!$C$70</definedName>
    <definedName name="Heater_Fuel">Inputs!$C$71</definedName>
    <definedName name="Heater_Fuel_Combusted_2012">Inputs!$C$72</definedName>
    <definedName name="Heater_Fuel_Type_List">Inputs!$E$35:$E$39</definedName>
    <definedName name="LPG_Actual_Sulfur_Content">'Additional References'!$B$21</definedName>
    <definedName name="LPG_Allowable_Sulfur_Content">'Additional References'!$C$21</definedName>
    <definedName name="Max_Gallons_Cleaning_Solvent_per_Hour">Inputs!$C$45</definedName>
    <definedName name="Max_Gallons_Coating_per_Hour">Inputs!$C$61</definedName>
    <definedName name="Max_Gallons_Primer_per_Hour">Inputs!$C$52</definedName>
    <definedName name="Natural_Gas_Actual_Sulfur_Content">'Additional References'!$B$20</definedName>
    <definedName name="Natural_Gas_Allowable_Sulfur_Content">'Additional References'!$C$20</definedName>
    <definedName name="Ozone_Attainment_List">Inputs!$E$8:$E$13</definedName>
    <definedName name="PM_Control_Multiplier">'Controls and Restrictions'!$F$23</definedName>
    <definedName name="Primer_Density">Inputs!$E$55</definedName>
    <definedName name="Primer_Gallons">Inputs!$C$51</definedName>
    <definedName name="Primer_Solids_Content">Inputs!$E$52</definedName>
    <definedName name="Primer_VOC_Content">Inputs!$E$49</definedName>
    <definedName name="_xlnm.Print_Area" localSheetId="2">Inputs!$A$1:$C$73</definedName>
    <definedName name="_xlnm.Print_Area" localSheetId="1">Instructions!$B$1:$E$45</definedName>
    <definedName name="_xlnm.Print_Area" localSheetId="5">'Output-Summary Printout'!$A$1:$F$42</definedName>
    <definedName name="_xlnm.Print_Area" localSheetId="0">'Registration FAQs'!$B$1:$C$37</definedName>
    <definedName name="SO2_PM25_Attainment_List">Inputs!$E$16:$E$17</definedName>
    <definedName name="Solvent_Density">Inputs!$E$46</definedName>
    <definedName name="Solvent_VOC_Content">Inputs!$E$43</definedName>
    <definedName name="Spray_Type_List">Inputs!$E$25:$E$31</definedName>
    <definedName name="State_List">Inputs!$E$70:$E$114</definedName>
    <definedName name="Sulfur_Content">Inputs!$E$67</definedName>
    <definedName name="Thermal_Oxidation_Default_CE">'Additional References'!$B$32</definedName>
    <definedName name="VOC_Control_Device_List">'Controls and Restrictions'!$F$4:$F$7</definedName>
    <definedName name="VOC_Control_Multiplier">'Controls and Restrictions'!$F$13</definedName>
    <definedName name="Waste_Oil_Actual_Sulfur_Content">'Additional References'!$B$22</definedName>
    <definedName name="Yes_No_Heater_List">Inputs!$E$21:$E$22</definedName>
    <definedName name="Yes_No_PM_Control_List">'Controls and Restrictions'!$F$16:$F$17</definedName>
  </definedNames>
  <calcPr calcId="152511"/>
  <customWorkbookViews>
    <customWorkbookView name="rhamel - Personal View" guid="{8C263A95-99F9-4260-B64A-0E771D03F536}" mergeInterval="0" personalView="1" maximized="1" windowWidth="1256" windowHeight="803" tabRatio="910" activeSheetId="8"/>
  </customWorkbookViews>
</workbook>
</file>

<file path=xl/calcChain.xml><?xml version="1.0" encoding="utf-8"?>
<calcChain xmlns="http://schemas.openxmlformats.org/spreadsheetml/2006/main">
  <c r="E46" i="13" l="1"/>
  <c r="H5" i="27" l="1"/>
  <c r="G5" i="27"/>
  <c r="F5" i="27"/>
  <c r="E5" i="27"/>
  <c r="D5" i="27"/>
  <c r="C5" i="27"/>
  <c r="B72" i="13"/>
  <c r="B33" i="20" l="1"/>
  <c r="B32" i="20"/>
  <c r="B31" i="20"/>
  <c r="E71" i="13" l="1"/>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70" i="13"/>
  <c r="F13" i="27" l="1"/>
  <c r="G13" i="27"/>
  <c r="F10" i="30"/>
  <c r="C7" i="30" s="1"/>
  <c r="F20" i="30"/>
  <c r="F13" i="30" l="1"/>
  <c r="E67" i="13"/>
  <c r="B74" i="13"/>
  <c r="D6" i="24" l="1"/>
  <c r="D7" i="24"/>
  <c r="D5" i="24"/>
  <c r="E55" i="13"/>
  <c r="E64" i="13"/>
  <c r="E21" i="9" l="1"/>
  <c r="E14" i="9" l="1"/>
  <c r="F23" i="30" l="1"/>
  <c r="C12" i="30" l="1"/>
  <c r="L14" i="29" l="1"/>
  <c r="A33" i="29"/>
  <c r="L22" i="29"/>
  <c r="L20" i="29"/>
  <c r="L18" i="29"/>
  <c r="L16" i="29"/>
  <c r="L12" i="29"/>
  <c r="F22" i="29"/>
  <c r="F20" i="29"/>
  <c r="F18" i="29"/>
  <c r="F16" i="29"/>
  <c r="F14" i="29"/>
  <c r="F12" i="29"/>
  <c r="E5" i="29"/>
  <c r="E4" i="29"/>
  <c r="E3" i="29"/>
  <c r="B5" i="29"/>
  <c r="B4" i="29"/>
  <c r="B3" i="29"/>
  <c r="C25" i="13"/>
  <c r="D38" i="29" s="1"/>
  <c r="C24" i="13"/>
  <c r="D37" i="29" s="1"/>
  <c r="C23" i="13"/>
  <c r="D36" i="29" s="1"/>
  <c r="C22" i="13"/>
  <c r="D35" i="29" s="1"/>
  <c r="C21" i="13"/>
  <c r="C20" i="13"/>
  <c r="C19" i="13"/>
  <c r="C18" i="13"/>
  <c r="D41" i="29" s="1"/>
  <c r="C17" i="13"/>
  <c r="D40" i="29" s="1"/>
  <c r="C16" i="13"/>
  <c r="D34" i="29" s="1"/>
  <c r="B15" i="13"/>
  <c r="B73" i="13" l="1"/>
  <c r="E28" i="9"/>
  <c r="E31" i="9"/>
  <c r="E30" i="9"/>
  <c r="E29" i="9"/>
  <c r="D31" i="9"/>
  <c r="D30" i="9"/>
  <c r="D29" i="9"/>
  <c r="E26" i="9"/>
  <c r="E27" i="9"/>
  <c r="E25" i="9"/>
  <c r="C25" i="9" l="1"/>
  <c r="C26" i="9"/>
  <c r="C27" i="9"/>
  <c r="C28" i="9"/>
  <c r="C29" i="9"/>
  <c r="C30" i="9"/>
  <c r="C31" i="9"/>
  <c r="C49" i="13" l="1"/>
  <c r="C58" i="13"/>
  <c r="C67" i="13"/>
  <c r="E43" i="13"/>
  <c r="C12" i="24"/>
  <c r="B12" i="24"/>
  <c r="C11" i="24"/>
  <c r="B11" i="24"/>
  <c r="C74" i="13"/>
  <c r="D11" i="24" l="1"/>
  <c r="E49" i="13" s="1"/>
  <c r="F7" i="27" s="1"/>
  <c r="C47" i="13"/>
  <c r="F6" i="27"/>
  <c r="D12" i="24"/>
  <c r="E58" i="13" s="1"/>
  <c r="D7" i="9"/>
  <c r="D28" i="9"/>
  <c r="B17" i="24"/>
  <c r="F14" i="27" s="1"/>
  <c r="E7" i="9" l="1"/>
  <c r="C55" i="13"/>
  <c r="B18" i="24"/>
  <c r="F15" i="27" s="1"/>
  <c r="C64" i="13"/>
  <c r="F8" i="27"/>
  <c r="D6" i="20"/>
  <c r="D7" i="20"/>
  <c r="D8" i="20"/>
  <c r="D9" i="20"/>
  <c r="D10" i="20"/>
  <c r="D11" i="20"/>
  <c r="D5" i="20"/>
  <c r="B19" i="24" l="1"/>
  <c r="F16" i="27" s="1"/>
  <c r="E61" i="13"/>
  <c r="E52" i="13"/>
  <c r="E24" i="9"/>
  <c r="C24" i="9"/>
  <c r="E23" i="9"/>
  <c r="C23" i="9"/>
  <c r="E22" i="9"/>
  <c r="C22" i="9"/>
  <c r="C21" i="9"/>
  <c r="E20" i="9"/>
  <c r="C20" i="9"/>
  <c r="E19" i="9"/>
  <c r="C19" i="9"/>
  <c r="E18" i="9"/>
  <c r="C18" i="9"/>
  <c r="E17" i="9"/>
  <c r="C17" i="9"/>
  <c r="E16" i="9"/>
  <c r="C16" i="9"/>
  <c r="E15" i="9"/>
  <c r="C15" i="9"/>
  <c r="C14" i="9"/>
  <c r="E13" i="9"/>
  <c r="C13" i="9"/>
  <c r="E12" i="9"/>
  <c r="C12" i="9"/>
  <c r="E11" i="9"/>
  <c r="C11" i="9"/>
  <c r="E10" i="9"/>
  <c r="C10" i="9"/>
  <c r="E9" i="9"/>
  <c r="C9" i="9"/>
  <c r="E8" i="9"/>
  <c r="C8" i="9"/>
  <c r="C7" i="9"/>
  <c r="E6" i="9"/>
  <c r="C6" i="9"/>
  <c r="E5" i="9"/>
  <c r="C5" i="9"/>
  <c r="E4" i="9"/>
  <c r="C4" i="9"/>
  <c r="H8" i="27" l="1"/>
  <c r="G8" i="27"/>
  <c r="C56" i="13"/>
  <c r="G7" i="27"/>
  <c r="H7" i="27"/>
  <c r="C65" i="13"/>
  <c r="B24" i="24"/>
  <c r="B23" i="24"/>
  <c r="B14" i="23"/>
  <c r="B13" i="23"/>
  <c r="B12" i="23"/>
  <c r="H15" i="27" l="1"/>
  <c r="G15" i="27"/>
  <c r="G16" i="27"/>
  <c r="H16" i="27"/>
  <c r="H13" i="27"/>
  <c r="H9" i="27"/>
  <c r="C22" i="29" s="1"/>
  <c r="F9" i="27"/>
  <c r="C18" i="29" s="1"/>
  <c r="C13" i="27"/>
  <c r="C17" i="27" s="1"/>
  <c r="E12" i="29" s="1"/>
  <c r="E13" i="27"/>
  <c r="E17" i="27" s="1"/>
  <c r="E16" i="29" s="1"/>
  <c r="C9" i="27"/>
  <c r="C12" i="29" s="1"/>
  <c r="G9" i="27"/>
  <c r="C20" i="29" s="1"/>
  <c r="D13" i="27"/>
  <c r="D17" i="27" s="1"/>
  <c r="E14" i="29" s="1"/>
  <c r="F17" i="27"/>
  <c r="E18" i="29" s="1"/>
  <c r="D9" i="27"/>
  <c r="C14" i="29" s="1"/>
  <c r="E9" i="27"/>
  <c r="C16" i="29" s="1"/>
  <c r="H17" i="27" l="1"/>
  <c r="E22" i="29" s="1"/>
  <c r="M22" i="29" s="1"/>
  <c r="G17" i="27"/>
  <c r="E20" i="29" s="1"/>
  <c r="M20" i="29" s="1"/>
  <c r="K18" i="29"/>
  <c r="M18" i="29"/>
  <c r="K14" i="29"/>
  <c r="M14" i="29"/>
  <c r="M12" i="29"/>
  <c r="K12" i="29"/>
  <c r="M16" i="29"/>
  <c r="K16" i="29"/>
  <c r="B2" i="1"/>
  <c r="K22" i="29" l="1"/>
  <c r="K20" i="29"/>
  <c r="B1" i="1"/>
  <c r="A30" i="29" l="1"/>
  <c r="A32" i="29" s="1"/>
</calcChain>
</file>

<file path=xl/sharedStrings.xml><?xml version="1.0" encoding="utf-8"?>
<sst xmlns="http://schemas.openxmlformats.org/spreadsheetml/2006/main" count="1200" uniqueCount="536">
  <si>
    <t>Pollutant</t>
  </si>
  <si>
    <t>(tons/yr)</t>
  </si>
  <si>
    <t>volatile organic compound</t>
  </si>
  <si>
    <t>VOC</t>
  </si>
  <si>
    <t>Purpose</t>
  </si>
  <si>
    <t>Facility Information</t>
  </si>
  <si>
    <t>Name</t>
  </si>
  <si>
    <t>Address</t>
  </si>
  <si>
    <t>Telephone</t>
  </si>
  <si>
    <t>Email</t>
  </si>
  <si>
    <t>Facility Contact</t>
  </si>
  <si>
    <t>Attainment</t>
  </si>
  <si>
    <t>Source Category Description</t>
  </si>
  <si>
    <t>Major Source</t>
  </si>
  <si>
    <t>Minor Source</t>
  </si>
  <si>
    <t>Nonattainment - extreme</t>
  </si>
  <si>
    <t>Nonattainment - severe</t>
  </si>
  <si>
    <t>Nonattainment - serious</t>
  </si>
  <si>
    <t>John Doe</t>
  </si>
  <si>
    <t>555-555-5555</t>
  </si>
  <si>
    <t>john.doe@acme.com</t>
  </si>
  <si>
    <t>101 Acme Way</t>
  </si>
  <si>
    <t>Date</t>
  </si>
  <si>
    <t>Change made by:</t>
  </si>
  <si>
    <t>Description</t>
  </si>
  <si>
    <t>Contact Information</t>
  </si>
  <si>
    <t>Workbook Version</t>
  </si>
  <si>
    <t>Instructions - Please read prior to filling out workbook</t>
  </si>
  <si>
    <t>Exceeds minor source threshold.</t>
  </si>
  <si>
    <t>Below minor source threshold.</t>
  </si>
  <si>
    <t>Icon Key</t>
  </si>
  <si>
    <t>Facility Name:</t>
  </si>
  <si>
    <t>Facility Address:</t>
  </si>
  <si>
    <t>Email:</t>
  </si>
  <si>
    <t>Emission Factors</t>
  </si>
  <si>
    <t>Data Key 1</t>
  </si>
  <si>
    <t>EF Denominator</t>
  </si>
  <si>
    <t>EF Numerator</t>
  </si>
  <si>
    <t>Source</t>
  </si>
  <si>
    <t>lb</t>
  </si>
  <si>
    <t>Initial workbook version.</t>
  </si>
  <si>
    <t>Affiliation:</t>
  </si>
  <si>
    <t>Abt Associates</t>
  </si>
  <si>
    <t>QA performed by:</t>
  </si>
  <si>
    <t>Air Basin Attainment Status</t>
  </si>
  <si>
    <t>1:  Facility Information</t>
  </si>
  <si>
    <t>2:  Facility Contact</t>
  </si>
  <si>
    <t>3:  Air Basin Attainment Status</t>
  </si>
  <si>
    <t>Steps to Complete this Workbook</t>
  </si>
  <si>
    <r>
      <t xml:space="preserve">On the </t>
    </r>
    <r>
      <rPr>
        <b/>
        <i/>
        <sz val="10"/>
        <rFont val="Arial"/>
        <family val="2"/>
      </rPr>
      <t>Inputs</t>
    </r>
    <r>
      <rPr>
        <sz val="10"/>
        <rFont val="Arial"/>
        <family val="2"/>
      </rPr>
      <t xml:space="preserve"> worksheet, replace the default contact information with information specific to your facility's primary contact.</t>
    </r>
  </si>
  <si>
    <t>Exceeds major source threshold.</t>
  </si>
  <si>
    <t>Additional References</t>
  </si>
  <si>
    <t>Data Element</t>
  </si>
  <si>
    <t>new source review</t>
  </si>
  <si>
    <t>Yes</t>
  </si>
  <si>
    <t>No</t>
  </si>
  <si>
    <t>Fuel and Process</t>
  </si>
  <si>
    <t>Facility Use Questions</t>
  </si>
  <si>
    <t>4:  Facility Use Information</t>
  </si>
  <si>
    <t>CO Attainment Status (select one):</t>
  </si>
  <si>
    <r>
      <t>SO</t>
    </r>
    <r>
      <rPr>
        <vertAlign val="subscript"/>
        <sz val="10"/>
        <rFont val="Arial"/>
        <family val="2"/>
      </rPr>
      <t>2</t>
    </r>
    <r>
      <rPr>
        <sz val="10"/>
        <rFont val="Arial"/>
        <family val="2"/>
      </rPr>
      <t xml:space="preserve"> Attainment Status (select one):</t>
    </r>
  </si>
  <si>
    <r>
      <t>PM</t>
    </r>
    <r>
      <rPr>
        <vertAlign val="subscript"/>
        <sz val="10"/>
        <rFont val="Arial"/>
        <family val="2"/>
      </rPr>
      <t>10</t>
    </r>
    <r>
      <rPr>
        <sz val="10"/>
        <rFont val="Arial"/>
        <family val="2"/>
      </rPr>
      <t xml:space="preserve"> Attainment Status (select one):</t>
    </r>
  </si>
  <si>
    <r>
      <t>PM</t>
    </r>
    <r>
      <rPr>
        <vertAlign val="subscript"/>
        <sz val="10"/>
        <rFont val="Arial"/>
        <family val="2"/>
      </rPr>
      <t>2.5</t>
    </r>
    <r>
      <rPr>
        <sz val="10"/>
        <rFont val="Arial"/>
        <family val="2"/>
      </rPr>
      <t xml:space="preserve"> Attainment Status (select one):</t>
    </r>
  </si>
  <si>
    <t>CO</t>
  </si>
  <si>
    <r>
      <t>NO</t>
    </r>
    <r>
      <rPr>
        <b/>
        <vertAlign val="subscript"/>
        <sz val="10"/>
        <rFont val="Arial"/>
        <family val="2"/>
      </rPr>
      <t>x</t>
    </r>
  </si>
  <si>
    <r>
      <t>SO</t>
    </r>
    <r>
      <rPr>
        <b/>
        <vertAlign val="subscript"/>
        <sz val="10"/>
        <rFont val="Arial"/>
        <family val="2"/>
      </rPr>
      <t>2</t>
    </r>
  </si>
  <si>
    <r>
      <t>PM</t>
    </r>
    <r>
      <rPr>
        <b/>
        <vertAlign val="subscript"/>
        <sz val="10"/>
        <rFont val="Arial"/>
        <family val="2"/>
      </rPr>
      <t>10</t>
    </r>
  </si>
  <si>
    <r>
      <t>PM</t>
    </r>
    <r>
      <rPr>
        <b/>
        <vertAlign val="subscript"/>
        <sz val="10"/>
        <rFont val="Arial"/>
        <family val="2"/>
      </rPr>
      <t>2.5</t>
    </r>
  </si>
  <si>
    <t>Natural Gas</t>
  </si>
  <si>
    <t>LPG</t>
  </si>
  <si>
    <t>Oil - Distillate</t>
  </si>
  <si>
    <t>Total PM</t>
  </si>
  <si>
    <t>1000 gal</t>
  </si>
  <si>
    <t>U.S. Environmental Protection Agency in collaboration with the Eastern Regional Technical Advisory Committee, 2009, http://ertac.us/compare/state_comparison_ERTAC_SS_version7.2_23nov2009.xls. Based on emissions factors in AP-42, Fifth Edition, Volume I, Chapter 1: External Combustion Sources, http://www.epa.gov/ttn/chief/ap42/ch01/index.html.</t>
  </si>
  <si>
    <r>
      <t>NO</t>
    </r>
    <r>
      <rPr>
        <vertAlign val="subscript"/>
        <sz val="10"/>
        <rFont val="Arial"/>
        <family val="2"/>
      </rPr>
      <t>x</t>
    </r>
  </si>
  <si>
    <r>
      <t>SO</t>
    </r>
    <r>
      <rPr>
        <vertAlign val="subscript"/>
        <sz val="10"/>
        <rFont val="Arial"/>
        <family val="2"/>
      </rPr>
      <t>2</t>
    </r>
  </si>
  <si>
    <r>
      <t>PM</t>
    </r>
    <r>
      <rPr>
        <vertAlign val="subscript"/>
        <sz val="10"/>
        <rFont val="Arial"/>
        <family val="2"/>
      </rPr>
      <t>10</t>
    </r>
  </si>
  <si>
    <r>
      <t>PM</t>
    </r>
    <r>
      <rPr>
        <vertAlign val="subscript"/>
        <sz val="10"/>
        <rFont val="Arial"/>
        <family val="2"/>
      </rPr>
      <t>2.5</t>
    </r>
  </si>
  <si>
    <t>MMcf</t>
  </si>
  <si>
    <t>MMBtu</t>
  </si>
  <si>
    <t>bbl</t>
  </si>
  <si>
    <t>U.S. Environmental Protection Agency, Direct Emissions from Stationary Combustion Sources, EPA430-K-08-003, May 2008, http://www.epa.gov/climateleadership/documents/resources/stationarycombustionguidance.pdf.</t>
  </si>
  <si>
    <t>Btu</t>
  </si>
  <si>
    <r>
      <t>ft</t>
    </r>
    <r>
      <rPr>
        <vertAlign val="superscript"/>
        <sz val="10"/>
        <rFont val="Arial"/>
        <family val="2"/>
      </rPr>
      <t>3</t>
    </r>
  </si>
  <si>
    <r>
      <t xml:space="preserve">U.S. Energy Information Administration, </t>
    </r>
    <r>
      <rPr>
        <b/>
        <sz val="10"/>
        <rFont val="Arial"/>
        <family val="2"/>
      </rPr>
      <t>Annual Energy Review 2011</t>
    </r>
    <r>
      <rPr>
        <sz val="10"/>
        <rFont val="Arial"/>
        <family val="2"/>
      </rPr>
      <t xml:space="preserve">, </t>
    </r>
    <r>
      <rPr>
        <i/>
        <sz val="10"/>
        <rFont val="Arial"/>
        <family val="2"/>
      </rPr>
      <t>Table A4. Approximate Heat Content of Natural Gas</t>
    </r>
    <r>
      <rPr>
        <sz val="10"/>
        <rFont val="Arial"/>
        <family val="2"/>
      </rPr>
      <t>, September 2012,  http://www.eia.gov/totalenergy/data/annual/pdf/aer.pdf.</t>
    </r>
  </si>
  <si>
    <r>
      <t xml:space="preserve">U.S. Energy Information Administration, </t>
    </r>
    <r>
      <rPr>
        <b/>
        <sz val="10"/>
        <rFont val="Arial"/>
        <family val="2"/>
      </rPr>
      <t>Annual Energy Review 2011</t>
    </r>
    <r>
      <rPr>
        <sz val="10"/>
        <rFont val="Arial"/>
        <family val="2"/>
      </rPr>
      <t xml:space="preserve">, </t>
    </r>
    <r>
      <rPr>
        <i/>
        <sz val="10"/>
        <rFont val="Arial"/>
        <family val="2"/>
      </rPr>
      <t>Table A1. Approximate Heat Content of Petroleum Products (Million Btu per Barrel)</t>
    </r>
    <r>
      <rPr>
        <sz val="10"/>
        <rFont val="Arial"/>
        <family val="2"/>
      </rPr>
      <t>, September 2012, http://www.eia.gov/totalenergy/data/annual/pdf/aer.pdf.</t>
    </r>
  </si>
  <si>
    <t>Units Same as Source</t>
  </si>
  <si>
    <t>Fuel Energy Content</t>
  </si>
  <si>
    <t>Fuel</t>
  </si>
  <si>
    <t>Energy Content</t>
  </si>
  <si>
    <t>Energy Content Numerator</t>
  </si>
  <si>
    <t>Energy Content Denominator</t>
  </si>
  <si>
    <t>Units Converted to Match Emission Factors</t>
  </si>
  <si>
    <t>carbon monoxide</t>
  </si>
  <si>
    <t>nitrogen oxides</t>
  </si>
  <si>
    <t>sulfur dioxide</t>
  </si>
  <si>
    <t>Spray Type</t>
  </si>
  <si>
    <t>Heater Use Answer</t>
  </si>
  <si>
    <t>Heater Fuel Type</t>
  </si>
  <si>
    <t>Air atomized spray</t>
  </si>
  <si>
    <t>HVLP guns</t>
  </si>
  <si>
    <t>Airless spray</t>
  </si>
  <si>
    <t>Manual electrostatic spray</t>
  </si>
  <si>
    <t>Rotating head automatic electrostatic spray</t>
  </si>
  <si>
    <t>Electrodeposition, powder</t>
  </si>
  <si>
    <t>Flow coat, dip coat, or nonrotational automatic electrostatic spray</t>
  </si>
  <si>
    <t>Heater:</t>
  </si>
  <si>
    <t>Air atomized spray transfer efficiency (%)</t>
  </si>
  <si>
    <t>Airless spray transfer efficiency (%)</t>
  </si>
  <si>
    <t>Manual electrostatic spray transfer efficiency (%)</t>
  </si>
  <si>
    <t>HVLP guns transfer efficiency (%)</t>
  </si>
  <si>
    <t>Flow coat, dip coat, and nonrotational automatic electrostatic spray transfer efficiency (%)</t>
  </si>
  <si>
    <t>Rotating head automatic electrostatic spray transfer efficiency (%)</t>
  </si>
  <si>
    <t>Electrodeposition, powder transfer efficiency (%)</t>
  </si>
  <si>
    <t>Data Key</t>
  </si>
  <si>
    <t>Value (%)</t>
  </si>
  <si>
    <t>Value (decimal)</t>
  </si>
  <si>
    <t>Transfer Efficiencies</t>
  </si>
  <si>
    <t>What method does your facility use to apply primer?</t>
  </si>
  <si>
    <t>What method does your facility use to apply coatings?</t>
  </si>
  <si>
    <t>Acme Body Shop</t>
  </si>
  <si>
    <t>Registration Calculator Inputs</t>
  </si>
  <si>
    <t>Auto Body Shop Registration Calculator</t>
  </si>
  <si>
    <t>Electricity</t>
  </si>
  <si>
    <t>weight percent</t>
  </si>
  <si>
    <t>million British thermal units</t>
  </si>
  <si>
    <t>Average solids content (wt%) of primer used at your facility (Calculated as 100 minus VOC content)</t>
  </si>
  <si>
    <t>Average solids content (wt%) of coatings used at your facility (Calculated as 100 minus VOC content)</t>
  </si>
  <si>
    <t>Category</t>
  </si>
  <si>
    <t>Low End (lb/gal)</t>
  </si>
  <si>
    <t>High End (lb/gal)</t>
  </si>
  <si>
    <t>Surface Cleaners</t>
  </si>
  <si>
    <t>Primers</t>
  </si>
  <si>
    <t>Coatings</t>
  </si>
  <si>
    <t>VOC and Solids Content Ranges of Conventional (Pre-Regulation) Auto Body Refinishing Products</t>
  </si>
  <si>
    <t>*Estimated Solids Content Assuming the Primer/Coating Has the Same Density as Water (8.34 lb/gal)</t>
  </si>
  <si>
    <t>Solids</t>
  </si>
  <si>
    <t>Emission Inventory Improvement Program, Volume 3, Chapter 13, Auto Body Refinishing, Table 13.4-2 VOC Parameters of Conventional (Pre-Regulation) Auto Body Refinishing Products, January 2000, available at http://www.epa.gov/ttn/chief/eiip/techreport/volume03/iii13_march2005.pdf (accessed December 2012).</t>
  </si>
  <si>
    <t>lb/gal</t>
  </si>
  <si>
    <t>Value (lb/gal)</t>
  </si>
  <si>
    <t>U.S. Environmental Protection Agency in collaboration with the Eastern Regional Technical Advisory Committee, 2009, http://ertac.us/compare/state_comparison_ERTAC_SS_version7.2_23nov2009.xls. Based on emissions factors in AP-42, Fifth Edition, Volume I, Chapter 1: External Combustion Sources, http://www.epa.gov/ttn/chief/ap42/ch01/index.html. The PM emission factors have been adjusted based on new test data as discussed in ftp://ftp.epa.gov/EmisInventory/2002finalnei/documentation/point/pm_adjustment_2002_nei.pdf.</t>
  </si>
  <si>
    <t>U.S. Environmental Protection Agency in collaboration with the Eastern Regional Technical Advisory Committee, 2009, http://ertac.us/compare/state_comparison_ERTAC_SS_version7.2_23nov2009.xls. Based on natural gas emissions factors in AP-42, Fifth Edition, Volume I, Chapter 1: External Combustion Sources, http://www.epa.gov/ttn/chief/ap42/ch01/index.html.</t>
  </si>
  <si>
    <t>U.S. Environmental Protection Agency in collaboration with the Eastern Regional Technical Advisory Committee, 2009, http://ertac.us/compare/state_comparison_ERTAC_SS_version7.2_23nov2009.xls. Based on natural gas emissions factors in AP-42, Fifth Edition, Volume I, Chapter 1: External Combustion Sources, http://www.epa.gov/ttn/chief/ap42/ch01/index.html. The PM emission factors have been adjusted based on new test data as discussed in ftp://ftp.epa.gov/EmisInventory/2002finalnei/documentation/point/pm_adjustment_2002_nei.pdf.</t>
  </si>
  <si>
    <t>U.S. Environmental Protection Agency in collaboration with the Eastern Regional Technical Advisory Committee, 2009, http://ertac.us/compare/state_comparison_ERTAC_SS_version7.2_23nov2009.xls. Based on natural gas emissions factors in AP-42, Fifth Edition, Volume I, Chapter 1: External Combustion Sources, http://www.epa.gov/ttn/chief/ap42/ch01/index.html. Sulfur content of average LPG = 2% and of PTE natural gas = 20%, based on AP-42 and NSR permits, for example see the Niland Power Project  Title V Engineering Review at http://yosemite.epa.gov/r9/air/epss.nsf/6924c72e5ea10d5e882561b100685e04/2b921e8cde424cc8882577690060ad88/$FILE/Niland%20Power%20Project%20Title%20V%20Engineering%20Review%2007.2010.doc</t>
  </si>
  <si>
    <t>U.S. Environmental Protection Agency in collaboration with the Eastern Regional Technical Advisory Committee, 2009, http://ertac.us/compare/state_comparison_ERTAC_SS_version7.2_23nov2009.xls. Based on emissions factors in AP-42, Fifth Edition, Volume I, Chapter 1: External Combustion Sources, http://www.epa.gov/ttn/chief/ap42/ch01/index.html. Sulfur content of average natural gas = 2% and of PTE natural gas = 20%, based on AP-42 and NSR permits, for example see the Niland Power Project  Title V Engineering Review at http://yosemite.epa.gov/r9/air/epss.nsf/6924c72e5ea10d5e882561b100685e04/2b921e8cde424cc8882577690060ad88/$FILE/Niland%20Power%20Project%20Title%20V%20Engineering%20Review%2007.2010.doc</t>
  </si>
  <si>
    <t>Fuel Sulfur Content</t>
  </si>
  <si>
    <t>Average (percent)</t>
  </si>
  <si>
    <t>Oil - Waste</t>
  </si>
  <si>
    <t>Fuel Ash Content</t>
  </si>
  <si>
    <t>U.S. Environmental Protection Agency, AP-42, Fifth Edition, Volume I, Chapter 1: External Combustion, Section 1.11: Waste Oil Combustion, 1996, available at http://www.epa.gov/ttn/chief/ap42/ch01/final/c01s11.pdf</t>
  </si>
  <si>
    <t>Paint/Solvent Density</t>
  </si>
  <si>
    <t>Registration Summary</t>
  </si>
  <si>
    <t>Matt Hynson
Jonathan Dorn</t>
  </si>
  <si>
    <t>jonathan_dorn@abtassoc.com</t>
  </si>
  <si>
    <t>Tracey Westfield</t>
  </si>
  <si>
    <t>Explanation of Text Colors and Cell Shading</t>
  </si>
  <si>
    <t>Cells shaded gray do not need to be completed.</t>
  </si>
  <si>
    <r>
      <t>Auto body shops typically employ a variety of coating processes to repair or refinish exterior surfaces. Before paint application, surfaces are wiped with a solvent to remove any dirt, oil, or grease. A primer is then applied as a protective base coat that allows other paints to adhere to it more easily. Several additional coatings of paint will be applied to achieve a desired color or finish. Emissions from the surface coating process consist of volatile organic compounds (VOCs) and particulate matter (PM). The quantity of these pollutants emitted from a body shop will depend on the volume of paint/solvent used and the application methods. Some body shops may use a heater to keep the facility within a certain temperature range for more consistent paint application. Combustion within a heater will also release VOCs and PM, as well as carbon monoxide (CO), nitrogen oxides (NO</t>
    </r>
    <r>
      <rPr>
        <vertAlign val="subscript"/>
        <sz val="10"/>
        <rFont val="Arial"/>
        <family val="2"/>
      </rPr>
      <t>x</t>
    </r>
    <r>
      <rPr>
        <sz val="10"/>
        <rFont val="Arial"/>
        <family val="2"/>
      </rPr>
      <t>), and sulfur dioxide (SO</t>
    </r>
    <r>
      <rPr>
        <vertAlign val="subscript"/>
        <sz val="10"/>
        <rFont val="Arial"/>
        <family val="2"/>
      </rPr>
      <t>2</t>
    </r>
    <r>
      <rPr>
        <sz val="10"/>
        <rFont val="Arial"/>
        <family val="2"/>
      </rPr>
      <t xml:space="preserve">). </t>
    </r>
  </si>
  <si>
    <t>Engineering judgment. Assumed the same as the density of water.</t>
  </si>
  <si>
    <t>Cleaning Solvents:</t>
  </si>
  <si>
    <t>Primers:</t>
  </si>
  <si>
    <t>Coatings:</t>
  </si>
  <si>
    <t>TRIBAL NEW SOURCE REVIEW PROGRAM</t>
  </si>
  <si>
    <t>Registration for Existing True Minor Sources of Air Pollution in Indian Country</t>
  </si>
  <si>
    <t>What is the Tribal New Source Review Rule?</t>
  </si>
  <si>
    <t>Do I need to register my minor source?</t>
  </si>
  <si>
    <r>
      <t xml:space="preserve">How do I determine if my source is a </t>
    </r>
    <r>
      <rPr>
        <b/>
        <i/>
        <sz val="10"/>
        <rFont val="Arial"/>
        <family val="2"/>
      </rPr>
      <t>true minor</t>
    </r>
    <r>
      <rPr>
        <b/>
        <sz val="10"/>
        <rFont val="Arial"/>
        <family val="2"/>
      </rPr>
      <t xml:space="preserve"> source?</t>
    </r>
  </si>
  <si>
    <t>How do I register my true minor source?</t>
  </si>
  <si>
    <t>1.</t>
  </si>
  <si>
    <t>2.</t>
  </si>
  <si>
    <t>How often must I register?</t>
  </si>
  <si>
    <t>This is a one-time registration for your true minor source.  However, after registration, you must notify your EPA Regional Office in writing if:</t>
  </si>
  <si>
    <t>3.</t>
  </si>
  <si>
    <t>May I register using my own emission information, rather than using the Registration Calculators?</t>
  </si>
  <si>
    <t>How does registration relate to obtaining a permit?</t>
  </si>
  <si>
    <t>Registration steps for existing true minor sources:</t>
  </si>
  <si>
    <t>Once completed, the calculator’s Output-Summary Printout worksheet will provide information on your registration requirements.</t>
  </si>
  <si>
    <t>4.</t>
  </si>
  <si>
    <t>5.</t>
  </si>
  <si>
    <t>If you have any questions about registration or completing the calculators, please contact your EPA Regional Office.</t>
  </si>
  <si>
    <t>Emission Controls and Operational Restrictions</t>
  </si>
  <si>
    <t>Total Emissions</t>
  </si>
  <si>
    <t>Emissions Source:</t>
  </si>
  <si>
    <t>TOTAL</t>
  </si>
  <si>
    <t>Allowable Emissions (tons/yr):</t>
  </si>
  <si>
    <t>Heater</t>
  </si>
  <si>
    <t>Solvent</t>
  </si>
  <si>
    <t>Primer</t>
  </si>
  <si>
    <t>Coating</t>
  </si>
  <si>
    <t>1997 8-Hr Ozone Attainment Status</t>
  </si>
  <si>
    <r>
      <t>CO and PM</t>
    </r>
    <r>
      <rPr>
        <b/>
        <vertAlign val="subscript"/>
        <sz val="10"/>
        <rFont val="Arial"/>
        <family val="2"/>
      </rPr>
      <t>10</t>
    </r>
    <r>
      <rPr>
        <b/>
        <sz val="10"/>
        <rFont val="Arial"/>
        <family val="2"/>
      </rPr>
      <t xml:space="preserve"> Attainment Status List</t>
    </r>
  </si>
  <si>
    <t>Nonattainment - moderate</t>
  </si>
  <si>
    <t>Ozone Attainment Status List</t>
  </si>
  <si>
    <t>Nonattainment - marginal</t>
  </si>
  <si>
    <r>
      <t>SO</t>
    </r>
    <r>
      <rPr>
        <b/>
        <vertAlign val="subscript"/>
        <sz val="10"/>
        <rFont val="Arial"/>
        <family val="2"/>
      </rPr>
      <t>2</t>
    </r>
    <r>
      <rPr>
        <b/>
        <sz val="10"/>
        <rFont val="Arial"/>
        <family val="2"/>
      </rPr>
      <t xml:space="preserve"> and PM</t>
    </r>
    <r>
      <rPr>
        <b/>
        <vertAlign val="subscript"/>
        <sz val="10"/>
        <rFont val="Arial"/>
        <family val="2"/>
      </rPr>
      <t>2.5</t>
    </r>
    <r>
      <rPr>
        <b/>
        <sz val="10"/>
        <rFont val="Arial"/>
        <family val="2"/>
      </rPr>
      <t xml:space="preserve"> Attainment Status List</t>
    </r>
  </si>
  <si>
    <t>Nonattainment</t>
  </si>
  <si>
    <t>EPA Regional Contact Information</t>
  </si>
  <si>
    <t>Regional Contact Information</t>
  </si>
  <si>
    <t>State</t>
  </si>
  <si>
    <t>State Abbreviation</t>
  </si>
  <si>
    <t>EPA Region</t>
  </si>
  <si>
    <t>Alternate Name</t>
  </si>
  <si>
    <t>Alt Telephone</t>
  </si>
  <si>
    <t>Alt Email</t>
  </si>
  <si>
    <t>Address 1</t>
  </si>
  <si>
    <t>Address 2</t>
  </si>
  <si>
    <t>City</t>
  </si>
  <si>
    <t>ZIP</t>
  </si>
  <si>
    <t>Alabama</t>
  </si>
  <si>
    <t>AL</t>
  </si>
  <si>
    <t>Ana Oquendo</t>
  </si>
  <si>
    <t>404-562-9781</t>
  </si>
  <si>
    <t>oquendo.ana@epa.gov</t>
  </si>
  <si>
    <t>Lorinda Shepherd</t>
  </si>
  <si>
    <t>404-562-8435</t>
  </si>
  <si>
    <t>shepherd.lorinda@epa.gov</t>
  </si>
  <si>
    <t>61 Forsyth Street, S.W.</t>
  </si>
  <si>
    <t>12th Floor</t>
  </si>
  <si>
    <t>Atlanta</t>
  </si>
  <si>
    <t>GA</t>
  </si>
  <si>
    <t>30303-8960</t>
  </si>
  <si>
    <t>Alaska</t>
  </si>
  <si>
    <t>AK</t>
  </si>
  <si>
    <t>Bill Todd</t>
  </si>
  <si>
    <t>206-553-6914</t>
  </si>
  <si>
    <t>todd.bill@epa.gov</t>
  </si>
  <si>
    <t>None</t>
  </si>
  <si>
    <t>1200 Sixth Avenue</t>
  </si>
  <si>
    <t>MC: AWT-107</t>
  </si>
  <si>
    <t>Seattle</t>
  </si>
  <si>
    <t>WA</t>
  </si>
  <si>
    <t>Arizona</t>
  </si>
  <si>
    <t>AZ</t>
  </si>
  <si>
    <t>Geoffrey Glass</t>
  </si>
  <si>
    <t>415-972-3498</t>
  </si>
  <si>
    <t>glass.geoffrey@epa.gov</t>
  </si>
  <si>
    <t>Roberto Gutierrez</t>
  </si>
  <si>
    <t>415-947-4276</t>
  </si>
  <si>
    <t>Gutierrez.roberto@epa.gov</t>
  </si>
  <si>
    <t xml:space="preserve">75 Hawthorne St. </t>
  </si>
  <si>
    <t>MC: AIR-3</t>
  </si>
  <si>
    <t>San Francisco</t>
  </si>
  <si>
    <t>CA</t>
  </si>
  <si>
    <t>Arkansas</t>
  </si>
  <si>
    <t>AR</t>
  </si>
  <si>
    <t>Bonnie Braganza</t>
  </si>
  <si>
    <t>214-665-7340</t>
  </si>
  <si>
    <t>braganza.bonnie@epa.gov</t>
  </si>
  <si>
    <t>1445 Ross Avenue, Suite 1200</t>
  </si>
  <si>
    <t>MC: 6PD</t>
  </si>
  <si>
    <t>Dallas</t>
  </si>
  <si>
    <t>TX</t>
  </si>
  <si>
    <t>75202-2733</t>
  </si>
  <si>
    <t>California</t>
  </si>
  <si>
    <t>Colorado</t>
  </si>
  <si>
    <t>Claudia Smith</t>
  </si>
  <si>
    <t>303-312-6520</t>
  </si>
  <si>
    <t>smith.claudia@epa.gov</t>
  </si>
  <si>
    <t>Kathleen Paser</t>
  </si>
  <si>
    <t>303-312-6526</t>
  </si>
  <si>
    <t>paser.kathleen@epa.gov</t>
  </si>
  <si>
    <t>1595 Wynkoop St.</t>
  </si>
  <si>
    <t>MC: 8P-AR</t>
  </si>
  <si>
    <t>Denver</t>
  </si>
  <si>
    <t>80202-1129</t>
  </si>
  <si>
    <t>Connecticut</t>
  </si>
  <si>
    <t>CT</t>
  </si>
  <si>
    <t xml:space="preserve">Brendan McCahill </t>
  </si>
  <si>
    <t>617-918-1652</t>
  </si>
  <si>
    <t>McCahill.brendan@epa.gov</t>
  </si>
  <si>
    <t>5 Post Office Square</t>
  </si>
  <si>
    <t>MC: OEP</t>
  </si>
  <si>
    <t>Boston</t>
  </si>
  <si>
    <t>MA</t>
  </si>
  <si>
    <t>02109-3912</t>
  </si>
  <si>
    <t>Florida</t>
  </si>
  <si>
    <t>FL</t>
  </si>
  <si>
    <t>Hawaii</t>
  </si>
  <si>
    <t>HI</t>
  </si>
  <si>
    <t>Idaho</t>
  </si>
  <si>
    <t>ID</t>
  </si>
  <si>
    <t>Illinois</t>
  </si>
  <si>
    <t>IL</t>
  </si>
  <si>
    <t>Kaushal Gupta</t>
  </si>
  <si>
    <t>312-886-6803</t>
  </si>
  <si>
    <t>gupta.kaushal@epa.gov</t>
  </si>
  <si>
    <t>77 West Jackson Boulevard</t>
  </si>
  <si>
    <t>Rm#: 18130</t>
  </si>
  <si>
    <t>Chicago</t>
  </si>
  <si>
    <t>60604-3507</t>
  </si>
  <si>
    <t>Indiana</t>
  </si>
  <si>
    <t>IN</t>
  </si>
  <si>
    <t>Iowa</t>
  </si>
  <si>
    <t>IA</t>
  </si>
  <si>
    <t>Bob Webber</t>
  </si>
  <si>
    <t>913-551-7251</t>
  </si>
  <si>
    <t>webber.robert@epa.gov</t>
  </si>
  <si>
    <t>11201 Renner Boulevard</t>
  </si>
  <si>
    <t>MC: AWMD/APCO</t>
  </si>
  <si>
    <t>Lenexa</t>
  </si>
  <si>
    <t xml:space="preserve">KS  </t>
  </si>
  <si>
    <t>Kansas</t>
  </si>
  <si>
    <t>KS</t>
  </si>
  <si>
    <t>Kentucky</t>
  </si>
  <si>
    <t>KY</t>
  </si>
  <si>
    <t>LA</t>
  </si>
  <si>
    <t>Maine</t>
  </si>
  <si>
    <t>ME</t>
  </si>
  <si>
    <t>Massachusetts</t>
  </si>
  <si>
    <t>Michigan</t>
  </si>
  <si>
    <t>MI</t>
  </si>
  <si>
    <t>Minnesota</t>
  </si>
  <si>
    <t>MN</t>
  </si>
  <si>
    <t>Mississippi</t>
  </si>
  <si>
    <t>MS</t>
  </si>
  <si>
    <t>Missouri</t>
  </si>
  <si>
    <t>MO</t>
  </si>
  <si>
    <t>Montana</t>
  </si>
  <si>
    <t>MT</t>
  </si>
  <si>
    <t>Nebraska</t>
  </si>
  <si>
    <t>NE</t>
  </si>
  <si>
    <t>Nevada</t>
  </si>
  <si>
    <t>NV</t>
  </si>
  <si>
    <t>New Hampshire</t>
  </si>
  <si>
    <t>NH</t>
  </si>
  <si>
    <t>New Jersey</t>
  </si>
  <si>
    <t>NJ</t>
  </si>
  <si>
    <t>Gavin Lau</t>
  </si>
  <si>
    <t>212-637-3708</t>
  </si>
  <si>
    <t>lau.gavin@epa.gov</t>
  </si>
  <si>
    <t>Umesh Dholakia</t>
  </si>
  <si>
    <t>212-637-4023</t>
  </si>
  <si>
    <t>Dholakia.umesh@epa.gov</t>
  </si>
  <si>
    <t>290 Broadway</t>
  </si>
  <si>
    <t>25th Floor</t>
  </si>
  <si>
    <t>New York</t>
  </si>
  <si>
    <t>NY</t>
  </si>
  <si>
    <t>10007-1866</t>
  </si>
  <si>
    <t>New Mexico</t>
  </si>
  <si>
    <t>NM</t>
  </si>
  <si>
    <t>North Carolina</t>
  </si>
  <si>
    <t>NC</t>
  </si>
  <si>
    <t>North Dakota</t>
  </si>
  <si>
    <t>ND</t>
  </si>
  <si>
    <t>Ohio</t>
  </si>
  <si>
    <t>OH</t>
  </si>
  <si>
    <t>Oklahoma</t>
  </si>
  <si>
    <t>OK</t>
  </si>
  <si>
    <t>Oregon</t>
  </si>
  <si>
    <t>OR</t>
  </si>
  <si>
    <t>Rhode Island</t>
  </si>
  <si>
    <t>RI</t>
  </si>
  <si>
    <t>South Carolina</t>
  </si>
  <si>
    <t>SC</t>
  </si>
  <si>
    <t>South Dakota</t>
  </si>
  <si>
    <t>SD</t>
  </si>
  <si>
    <t>Tennessee</t>
  </si>
  <si>
    <t>TN</t>
  </si>
  <si>
    <t>Texas</t>
  </si>
  <si>
    <t>Utah</t>
  </si>
  <si>
    <t>UT</t>
  </si>
  <si>
    <t>Vermont</t>
  </si>
  <si>
    <t>VT</t>
  </si>
  <si>
    <t>Washington</t>
  </si>
  <si>
    <t>Wisconsin</t>
  </si>
  <si>
    <t>WI</t>
  </si>
  <si>
    <t>Wyoming</t>
  </si>
  <si>
    <t>WY</t>
  </si>
  <si>
    <t>Delaware</t>
  </si>
  <si>
    <t>DE</t>
  </si>
  <si>
    <t>District of Columbia</t>
  </si>
  <si>
    <t>DC</t>
  </si>
  <si>
    <t>Maryland</t>
  </si>
  <si>
    <t>MD</t>
  </si>
  <si>
    <t>Pennsylvania</t>
  </si>
  <si>
    <t>PA</t>
  </si>
  <si>
    <t>Virginia</t>
  </si>
  <si>
    <t>VA</t>
  </si>
  <si>
    <t>West Virginia</t>
  </si>
  <si>
    <t>WV</t>
  </si>
  <si>
    <t>Zip Code</t>
  </si>
  <si>
    <t>Albuquerque</t>
  </si>
  <si>
    <t>Primary Contact Name</t>
  </si>
  <si>
    <t>Primary Contact Telephone</t>
  </si>
  <si>
    <t>Primary Contact Email</t>
  </si>
  <si>
    <t>Alternate Contact Name</t>
  </si>
  <si>
    <t>Alternate Contact Telephone</t>
  </si>
  <si>
    <t>Alternate Contact Email</t>
  </si>
  <si>
    <t>Registration Determination</t>
  </si>
  <si>
    <t>Exceeds Major Source Threshold Determination</t>
  </si>
  <si>
    <t>Threshold</t>
  </si>
  <si>
    <t>Estimated Actual Emissions</t>
  </si>
  <si>
    <t>Allowable Emissions</t>
  </si>
  <si>
    <t>Name:</t>
  </si>
  <si>
    <t>Address:</t>
  </si>
  <si>
    <t>Telephone:</t>
  </si>
  <si>
    <t>Emission Control Question</t>
  </si>
  <si>
    <r>
      <t xml:space="preserve">You will need to enter information on the coating operations at your facility.  This workbook automatically calculates air pollutant emissions based on this information.  Some sample data have already been entered (in blue font) to assist with filling this out.  You will need to replace these sample data with your own.  The last tab along the bottom of this workbook, called the </t>
    </r>
    <r>
      <rPr>
        <b/>
        <i/>
        <sz val="10"/>
        <rFont val="Arial"/>
        <family val="2"/>
      </rPr>
      <t>Output-Summary Printout</t>
    </r>
    <r>
      <rPr>
        <sz val="10"/>
        <rFont val="Arial"/>
        <family val="2"/>
      </rPr>
      <t>, is a one-page summary of your facility's emissions and, based on the information entered, indicates whether your facility is required to register under the Tribal New Source Review Rule.  Please read all instructions below before using this workbook. All worksheets in this workbook are printer-friendly. If necessary, print this page for reference while completing the worksheets.</t>
    </r>
  </si>
  <si>
    <r>
      <t xml:space="preserve">Text in red or </t>
    </r>
    <r>
      <rPr>
        <b/>
        <sz val="10"/>
        <color rgb="FFCC3300"/>
        <rFont val="Arial"/>
        <family val="2"/>
      </rPr>
      <t>brown</t>
    </r>
    <r>
      <rPr>
        <sz val="10"/>
        <rFont val="Arial"/>
        <family val="2"/>
      </rPr>
      <t xml:space="preserve"> is a disclaimer or calculated value and cannot be changed.</t>
    </r>
  </si>
  <si>
    <r>
      <t xml:space="preserve">Text in </t>
    </r>
    <r>
      <rPr>
        <b/>
        <sz val="10"/>
        <color indexed="12"/>
        <rFont val="Arial"/>
        <family val="2"/>
      </rPr>
      <t>blue</t>
    </r>
    <r>
      <rPr>
        <sz val="10"/>
        <rFont val="Arial"/>
        <family val="2"/>
      </rPr>
      <t xml:space="preserve"> is to be overwritten, as necessary, with your facility's inputs.</t>
    </r>
  </si>
  <si>
    <r>
      <t xml:space="preserve">Text in </t>
    </r>
    <r>
      <rPr>
        <b/>
        <sz val="10"/>
        <rFont val="Arial"/>
        <family val="2"/>
      </rPr>
      <t>black</t>
    </r>
    <r>
      <rPr>
        <sz val="10"/>
        <rFont val="Arial"/>
        <family val="2"/>
      </rPr>
      <t xml:space="preserve"> is a title, heading or calculated value and cannot be changed.</t>
    </r>
  </si>
  <si>
    <t>Acronyms/Definitions</t>
  </si>
  <si>
    <t>NSR</t>
  </si>
  <si>
    <t>wt%</t>
  </si>
  <si>
    <t>Potential annual emissions from a source calculated using the maximum rated capacity of the source (unless the source is subject to practically and legally enforceable limits which restrict the operating rate, or hours of operation, or both) and any applicable standards as set forth in 40 CFR parts 60 and 61.</t>
  </si>
  <si>
    <t>CE</t>
  </si>
  <si>
    <t>control efficiency</t>
  </si>
  <si>
    <t>EF</t>
  </si>
  <si>
    <t>emission factor</t>
  </si>
  <si>
    <t>EPA</t>
  </si>
  <si>
    <t>U.S. Environmental Protection Agency</t>
  </si>
  <si>
    <t>Estimates of actual emissions take into account equipment, operating conditions, and air pollution control measures and are calculated using the actual operating hours, production rates, in-place control equipment, and types of materials processed, stored, or combusted during the preceding calendar year (e.g., 2012).</t>
  </si>
  <si>
    <t>particulate matter less than or equal to 10 micrometers (µm) in size</t>
  </si>
  <si>
    <t>particulate matter less than or equal to 2.5 micrometers (µm) in size</t>
  </si>
  <si>
    <r>
      <t xml:space="preserve">Note: Your facility's information and estimates will be entered on the </t>
    </r>
    <r>
      <rPr>
        <b/>
        <i/>
        <sz val="10"/>
        <rFont val="Arial"/>
        <family val="2"/>
      </rPr>
      <t>Inputs</t>
    </r>
    <r>
      <rPr>
        <sz val="10"/>
        <rFont val="Arial"/>
        <family val="2"/>
      </rPr>
      <t xml:space="preserve"> and </t>
    </r>
    <r>
      <rPr>
        <b/>
        <i/>
        <sz val="10"/>
        <rFont val="Arial"/>
        <family val="2"/>
      </rPr>
      <t>Controls and Restrictions</t>
    </r>
    <r>
      <rPr>
        <sz val="10"/>
        <rFont val="Arial"/>
        <family val="2"/>
      </rPr>
      <t xml:space="preserve"> worksheets.</t>
    </r>
  </si>
  <si>
    <r>
      <t xml:space="preserve">On the </t>
    </r>
    <r>
      <rPr>
        <b/>
        <i/>
        <sz val="10"/>
        <rFont val="Arial"/>
        <family val="2"/>
      </rPr>
      <t>Inputs</t>
    </r>
    <r>
      <rPr>
        <sz val="10"/>
        <rFont val="Arial"/>
        <family val="2"/>
      </rPr>
      <t xml:space="preserve"> worksheet, replace the default facility information with information specific to your facility. </t>
    </r>
  </si>
  <si>
    <t>http://www.epa.gov/oar/oaqps/greenbk/ancl.html</t>
  </si>
  <si>
    <r>
      <t xml:space="preserve">On the </t>
    </r>
    <r>
      <rPr>
        <b/>
        <i/>
        <sz val="10"/>
        <rFont val="Arial"/>
        <family val="2"/>
      </rPr>
      <t>Inputs</t>
    </r>
    <r>
      <rPr>
        <sz val="10"/>
        <rFont val="Arial"/>
        <family val="2"/>
      </rPr>
      <t xml:space="preserve"> worksheet, select the air basin attainment status for each pollutant from the drop-down lists for the air basin in which your facility resides. This information is necessary since the pollutant thresholds that trigger registration requirements vary by attainment status. If you are unsure of the appropriate attainment statuses for the air basin in which your facility is located, refer to EPA’s Green Book (available by clicking on the link below) or ask your EPA Regional contact for help. Your EPA Regional contact will be listed on the </t>
    </r>
    <r>
      <rPr>
        <b/>
        <i/>
        <sz val="10"/>
        <rFont val="Arial"/>
        <family val="2"/>
      </rPr>
      <t>Inputs</t>
    </r>
    <r>
      <rPr>
        <sz val="10"/>
        <rFont val="Arial"/>
        <family val="2"/>
      </rPr>
      <t xml:space="preserve"> worksheet once you have selected the correct state in which your facility resides.</t>
    </r>
  </si>
  <si>
    <t>6:  Emissions Summaries</t>
  </si>
  <si>
    <t>5: Emission Controls and
    Operational Restrictions</t>
  </si>
  <si>
    <r>
      <t xml:space="preserve">The </t>
    </r>
    <r>
      <rPr>
        <b/>
        <i/>
        <sz val="10"/>
        <rFont val="Arial"/>
        <family val="2"/>
      </rPr>
      <t>Total Emissions</t>
    </r>
    <r>
      <rPr>
        <sz val="10"/>
        <rFont val="Arial"/>
        <family val="2"/>
      </rPr>
      <t xml:space="preserve"> worksheet provides a summary of your estimated actual emissions and allowable emissions by source. The </t>
    </r>
    <r>
      <rPr>
        <b/>
        <i/>
        <sz val="10"/>
        <rFont val="Arial"/>
        <family val="2"/>
      </rPr>
      <t>Output-Summary Printout</t>
    </r>
    <r>
      <rPr>
        <sz val="10"/>
        <rFont val="Arial"/>
        <family val="2"/>
      </rPr>
      <t xml:space="preserve"> worksheet provides a facility-level summary of your estimated actual emissions and allowable emissions and indicates whether or not your facility is required to register under the Tribal New Source Review Rule.    </t>
    </r>
  </si>
  <si>
    <t>Yes/No Questions</t>
  </si>
  <si>
    <t>Average Cleaning Solvent Density</t>
  </si>
  <si>
    <t>Average VOC Content - Solvent</t>
  </si>
  <si>
    <t>Average VOC Content - Primer</t>
  </si>
  <si>
    <t>Average Density - Primer</t>
  </si>
  <si>
    <t>Average VOC Content - Coatings</t>
  </si>
  <si>
    <t>Average Solids Content - Primer</t>
  </si>
  <si>
    <t>Average Solids Content - Coatings</t>
  </si>
  <si>
    <t>Average Density - Coatings</t>
  </si>
  <si>
    <t>Average Cleaning Solvent Density (lb/gal)</t>
  </si>
  <si>
    <t>Average VOC Content of Cleaning Solvent (wt%)</t>
  </si>
  <si>
    <t>Average VOC content of primer (wt%)</t>
  </si>
  <si>
    <t>Average density of primer (lb/gal)</t>
  </si>
  <si>
    <t>Average density of coatings (lb/gal)</t>
  </si>
  <si>
    <t>Changed from PTE to registration terminology. Made default values transparent. Added "Registration FAQs," "Controls and Restrictions," and "Total Emissions" worksheets.</t>
  </si>
  <si>
    <t>Jonathan Dorn</t>
  </si>
  <si>
    <t>U.S. Environmental Protection Agency, Emission Factor Documentation for AP-42 Section 1.11 Waste Oil Combustion, Table 2.1, available at http://www.epa.gov/ttn/chief/ap42/ch01/bgdocs/b01s11.pdf</t>
  </si>
  <si>
    <t>Allowable VOC Content</t>
  </si>
  <si>
    <t>Allowable Solids Content</t>
  </si>
  <si>
    <t>Default primer/paint density</t>
  </si>
  <si>
    <t>NOx</t>
  </si>
  <si>
    <t>Average VOC content of coatings (wt%)</t>
  </si>
  <si>
    <t>Average (lb/gal)</t>
  </si>
  <si>
    <t>Sulfur Content - Distillate Oil</t>
  </si>
  <si>
    <t>Allowable (percent)</t>
  </si>
  <si>
    <t>Units</t>
  </si>
  <si>
    <t>percent</t>
  </si>
  <si>
    <t>grains/100 scf</t>
  </si>
  <si>
    <t>Average value from U.S. Environmental Protection Agency, AP-42, Fifth Edition, Volume I, Chapter 1: External Combustion, Section 1.4: Natural Gas Combustion, 1998, available at http://www.epa.gov/ttn/chief/ap42/ch01/final/c01s04.pdf. Allowable value from 40 CFR Section 49.130(d)(8); 1.1 grams S per standard cubic meter = 48 grains per 100 scf</t>
  </si>
  <si>
    <t>Percent</t>
  </si>
  <si>
    <t>12/15/2012</t>
  </si>
  <si>
    <t>Default VOC Control Efficiencies</t>
  </si>
  <si>
    <t>Default PM Control Efficiency</t>
  </si>
  <si>
    <t>Thermal Oxidation</t>
  </si>
  <si>
    <t>Catalytic Oxidation</t>
  </si>
  <si>
    <t>Carbon Adsorption</t>
  </si>
  <si>
    <t>Technology</t>
  </si>
  <si>
    <t>Efficiency</t>
  </si>
  <si>
    <t>Engineering judgment based on 40 CFR 60.393 and U.S. Environmental Protection Agency, AP-42, Fifth Edition, Volume I, Chapter 4: Evaporation Loss Sources, Section 4.2.2.8: Automobile &amp; Light Duty Truck Surface Coating, 1982, available at http://www.epa.gov/ttn/chief/ap42/ch04/final/c4s02_2h.pdf and based on Texas Commission on Environmental Quality, Painting Basics and Emission Calculations for TCEQ Air Quality Permit Applications, 2005, available at http://www.google.com/url?sa=t&amp;rct=j&amp;q=surface%20coating%20transfer%20efficiency&amp;source=web&amp;cd=6&amp;ved=0CFAQFjAF&amp;url=http%3A%2F%2Fwww.tceq.texas.gov%2Fassets%2Fpublic%2Fpermitting%2Fair%2FGuidance%2FNewSourceReview%2Fsample_paint_emcalc.doc&amp;ei=rbvKUPqKEILe8ASm0oGIDg&amp;usg=AFQjCNEGh4wTG9kWIXk1Y74sBQrI9Zin4w</t>
  </si>
  <si>
    <t>Average value is used for calculation of actuals and is from U.S. Environmental Protection Agency 1993. Emissions Factor Documentation for AP-42 Section 1.11 Waste Oil Combustion. Table 2-1. Available electronically at: http://www.epa.gov/ttnchie1/ap42/ch01/bgdocs/b01s11.pdf. The allowable value is from 40 CFR 49.130(d)(2).</t>
  </si>
  <si>
    <t>Average value is used for calculation of actuals and is from U.S. Environmental Protection Agency 1993. Emissions Factor Documentation for AP-42 Section 1.11 Waste Oil Combustion. Table 2-1. Available electronically at: http://www.epa.gov/ttnchie1/ap42/ch01/bgdocs/b01s11.pdf. The allowable value is from 40 CFR 49.130(d)(4).</t>
  </si>
  <si>
    <t>40 CFR 63.11173(e)</t>
  </si>
  <si>
    <t>Paint overspray capture efficiency (percent).</t>
  </si>
  <si>
    <t>Did your facility use one or more paint spray booths, preparation stations, or mobile enclosures in 2012?</t>
  </si>
  <si>
    <t>Was your facility's paint spray booth, preparation station, or mobile enclosure fitted with a type of filter technology to capture at least 98 percent of paint overspray in 2012?</t>
  </si>
  <si>
    <t>Spray booths, preparation stations and mobile enclosures</t>
  </si>
  <si>
    <t>Overspray Capture Efficiency (%)</t>
  </si>
  <si>
    <t>VOC Controls</t>
  </si>
  <si>
    <t>PM Controls</t>
  </si>
  <si>
    <t>VOC Control Device</t>
  </si>
  <si>
    <t>Select the VOC control method used at your facility in 2012.</t>
  </si>
  <si>
    <t>VOC control efficiency (percent).</t>
  </si>
  <si>
    <t>PM Control Multiplier</t>
  </si>
  <si>
    <t>VOC Control Multiplier</t>
  </si>
  <si>
    <t>VOC Control Efficiency (%)</t>
  </si>
  <si>
    <t>Enter the VOC control efficiency (percent) of the control device used at your facility in 2012. (Enter 0 if unknown)</t>
  </si>
  <si>
    <t>01/22/2013</t>
  </si>
  <si>
    <t>Georgia</t>
  </si>
  <si>
    <t>Louisiana</t>
  </si>
  <si>
    <t xml:space="preserve">The Tribal New Source Review (NSR) Rule protects public health and the environment in Indian country as new facilities are built, and existing facilities expand, without unduly burdening economic development.  The Tribal NSR Rule establishes a registration program that will allow the United States Environmental Protection Agency (EPA) to develop and maintain a record of minor source emissions in Indian country.  The EPA developed the Excel Workbook Registration Calculators for you (the source owner/operator) to use to determine if you must register and to facilitate the registration process, if required.  
</t>
  </si>
  <si>
    <r>
      <rPr>
        <sz val="10"/>
        <rFont val="Arial"/>
        <family val="2"/>
      </rPr>
      <t xml:space="preserve">Please visit EPA's Tribal Air website at </t>
    </r>
    <r>
      <rPr>
        <u/>
        <sz val="10"/>
        <color theme="10"/>
        <rFont val="Arial"/>
        <family val="2"/>
      </rPr>
      <t xml:space="preserve">http://www.epa.gov/air/tribal/tribalnsr.html </t>
    </r>
    <r>
      <rPr>
        <sz val="10"/>
        <rFont val="Arial"/>
        <family val="2"/>
      </rPr>
      <t>for more information about the Tribal NSR Rule.</t>
    </r>
  </si>
  <si>
    <t>You are exempt from the registration requirement if your source is subject to the registration requirements under 40 CFR 49.138—Rule for the registration of air pollution sources and the reporting of emissions (also known as the Federal Air Rules for Reservations (FARR)).  The FARR is a set of federal air rules that only apply to 39 Indian Reservations in Idaho, Oregon, and Washington.
If your air pollution source is not located on one of the 39 Indian Reservations in Idaho, Oregon, or Washington, you must register your source with your EPA Regional Office (the reviewing authority) by March 1, 2013 if you own or operate an existing true minor air pollution source (as defined in 40 CFR 49.152(d)) and your source’s emissions are equal to or greater than the cutoff levels listed in Table 1 at 40 CFR 49.153.</t>
  </si>
  <si>
    <t>True minor source means a source, not including exempt emissions units and activities listed in 40 CFR 49.153(c), that emits or has the potential to emit regulated NSR pollutants in amounts that are less than the major source thresholds in 40 CFR 52.21, (generally 100 to 250 tons per year), but equal to or greater than the minor NSR thresholds in Table 1 at 40 CFR 49.153, without the need to take an enforceable restriction to reduce its potential to emit to such levels.  That is, a true minor source is a minor source that is not a synthetic minor source.  The potential to emit includes fugitive emissions, to the extent that they are quantifiable, only if the source belongs to one of the source categories listed in 40 CFR 51, Appendix S, paragraph II.A.4(iii).</t>
  </si>
  <si>
    <t>The EPA has provided this registration calculator to assist you in determining your registration requirements. Completing this calculator will:</t>
  </si>
  <si>
    <r>
      <t>help you determine if you need to register your air pollution emission source, based on your emission level and area’s attainment status</t>
    </r>
    <r>
      <rPr>
        <b/>
        <sz val="10"/>
        <rFont val="Arial"/>
        <family val="2"/>
      </rPr>
      <t>;</t>
    </r>
    <r>
      <rPr>
        <sz val="10"/>
        <rFont val="Arial"/>
        <family val="2"/>
      </rPr>
      <t xml:space="preserve"> and</t>
    </r>
  </si>
  <si>
    <t>your source relocates (send report no later than 30 days prior to relocation);</t>
  </si>
  <si>
    <t>your source has a new owner/operator (send report within 90 days after change in ownership); or</t>
  </si>
  <si>
    <t>your source closes (send report within 90 days after cessation of all operations).</t>
  </si>
  <si>
    <r>
      <t xml:space="preserve">Registering your source does not relieve you of the requirement to obtain any required permit.  Please note that </t>
    </r>
    <r>
      <rPr>
        <i/>
        <sz val="10"/>
        <rFont val="Arial"/>
        <family val="2"/>
      </rPr>
      <t>registering</t>
    </r>
    <r>
      <rPr>
        <sz val="10"/>
        <rFont val="Arial"/>
        <family val="2"/>
      </rPr>
      <t xml:space="preserve"> your source and </t>
    </r>
    <r>
      <rPr>
        <i/>
        <sz val="10"/>
        <rFont val="Arial"/>
        <family val="2"/>
      </rPr>
      <t>obtaining a permit</t>
    </r>
    <r>
      <rPr>
        <sz val="10"/>
        <rFont val="Arial"/>
        <family val="2"/>
      </rPr>
      <t xml:space="preserve">, if needed, are two different and separate requirements.  The emissions information generated by the Registration Calculators is different than the emissions information needed for a permit application, thus you may </t>
    </r>
    <r>
      <rPr>
        <b/>
        <i/>
        <sz val="10"/>
        <rFont val="Arial"/>
        <family val="2"/>
      </rPr>
      <t>not</t>
    </r>
    <r>
      <rPr>
        <sz val="10"/>
        <rFont val="Arial"/>
        <family val="2"/>
      </rPr>
      <t xml:space="preserve"> use the Registration Calculator emissions information when applying for a permit.</t>
    </r>
  </si>
  <si>
    <t>Complete this calculator and all other calculators that are applicable to your true minor source as accurately as possible.</t>
  </si>
  <si>
    <r>
      <t xml:space="preserve">This workbook is an aid to assist facility owners/operators in determining their need to register their facility under the Tribal New Source Review Rule. Owners/operators should provide the best estimate of inputs required in this workbook based on their facility's existing available records, actual test data, manufacturers' data and/or fuel (instrumentation) meters. If a source owner/operator has a more accurate methodology for estimating emissions, he/she is not obligated to use this registration calculator; however, the source owner/operator must comply with all of the applicable requirements in 40 CFR 49.160 and submit all registration information using the forms provided on EPA's Tribal Air website. For example, if you believe that the actual emissions in calendar year 2012 estimated using this calculator are not representative of the emissions that your source actually emitted, you may submit your own estimate of actual emissions and the rationale for the actual emissions.
</t>
    </r>
    <r>
      <rPr>
        <b/>
        <i/>
        <sz val="10"/>
        <color rgb="FFFF0000"/>
        <rFont val="Arial"/>
        <family val="2"/>
      </rPr>
      <t xml:space="preserve">Please note that the emissions information generated by this registration calculator is different than the emissions information needed for a permit application, thus you may not use the registration calculator emission estimates when applying for a permit (if required). </t>
    </r>
  </si>
  <si>
    <r>
      <t xml:space="preserve">Owners/operators of facilities of auto body shops must evaluate the emissions of air pollutants from their facility to determine the need to register their facility under the Tribal New Source Review Rule. This workbook should </t>
    </r>
    <r>
      <rPr>
        <b/>
        <i/>
        <sz val="10"/>
        <rFont val="Arial"/>
        <family val="2"/>
      </rPr>
      <t>not</t>
    </r>
    <r>
      <rPr>
        <sz val="10"/>
        <rFont val="Arial"/>
        <family val="2"/>
      </rPr>
      <t xml:space="preserve"> be used for permitting purposes.</t>
    </r>
  </si>
  <si>
    <t>What is the average VOC content (wt%) of cleaning solvent used at your facility in 2012? (Enter 0 if unknown)</t>
  </si>
  <si>
    <t>What is the average density (lb/gal) of cleaning solvent used at your facility in 2012? (Enter 0 if unknown)</t>
  </si>
  <si>
    <t>What is the average VOC content (wt%) of primer used at your facility in 2012? (Enter 0 if unknown)</t>
  </si>
  <si>
    <t>What is the average density (lb/gal) of primer used at your facility in 2012? (Enter 0 if unknown)</t>
  </si>
  <si>
    <t>How many gallons of coating (e.g. paint) did your facility use in calendar year 2012?</t>
  </si>
  <si>
    <t>How many gallons of primer did your facility use in calendar year 2012?</t>
  </si>
  <si>
    <t>How many gallons of cleaning solvent did your facility use in calendar  year 2012?</t>
  </si>
  <si>
    <t>On average, how many hours per week did your facility operate in calendar year 2012?</t>
  </si>
  <si>
    <t>What is the average VOC content (wt%) of the coatings used at your facility in 2012? (Enter 0 if unknown)</t>
  </si>
  <si>
    <t>What is the average density (lb/gal) of coatings used at your facility in 2012? (Enter 0 if unknown)</t>
  </si>
  <si>
    <t>Did your facility use a heater in calendar year 2012?</t>
  </si>
  <si>
    <t>State List</t>
  </si>
  <si>
    <t>Note: If your facility operated for only a portion of 2012, estimate the following information as if you had been operating for the whole year. For example, if your facility operated for only three months in 2012, you should multiply the gallons of cleaning solvent used in those three months by four to project the gallons of cleaning solvent used for the entire 12 months.</t>
  </si>
  <si>
    <t>Actual Emission Factor</t>
  </si>
  <si>
    <t>Allowable Emission Factor</t>
  </si>
  <si>
    <t>Modified FAQ text and corrected compatibility issue with drop-down lists. Updated actual heater emission calculations to use actual hours of heater use rather than hours of facility operation since a facility may only use heaters for a portion of the hours that the facility is open.</t>
  </si>
  <si>
    <t>Estimated Actual Emissions
for 2012</t>
  </si>
  <si>
    <t>Estimated Actual Emissions for 2012 (tons/yr):</t>
  </si>
  <si>
    <t>The Registration Calculators are provided for the convenience of most minor sources, which are unlikely to have tracked emissions data since minor sources in Indian country have been unregulated until now.  However, if you have actual emission data from your source you may choose not to use the calculator(s), but your registration information must comply with all of the requirements in 40 CFR 49.160 and be submitted using the form provided on EPA's Tribal Air website. Please click on the URL below to access the form.</t>
  </si>
  <si>
    <t xml:space="preserve">http://www.epa.gov/air/tribal/pdfs/existing_source_registration_rev.pdf </t>
  </si>
  <si>
    <t>01/25/2013</t>
  </si>
  <si>
    <t>What is the maximum number of gallons of cleaning solvent that your facility can use in an hour?</t>
  </si>
  <si>
    <t>What is the maximum number of gallons of primer that your facility can use in an hour?</t>
  </si>
  <si>
    <t>What is the maximum number of gallons of coating (e.g. paint) that your facility can use in an hour?</t>
  </si>
  <si>
    <t>Modified allowable emissions equations to use maximum solvent, primer, and coating usage rates.</t>
  </si>
  <si>
    <t>02/02/2013</t>
  </si>
  <si>
    <t>Assume 95% capture efficiency. United States Environmental Protection Agency, Air Pollutants and Control Techniques - Volatile Organic Compounds - Control Techniques, available at http://www.epa.gov/apti/bces/module6/voc/control/control.htm#thermal.</t>
  </si>
  <si>
    <t>Assume 95% capture efficiency. United States Environmental Protection Agency, Air Pollution Control Technology Factsheet, EPA-452/F-03-022, available at http://www.epa.gov/ttn/catc/dir1/fthermal.pdf.</t>
  </si>
  <si>
    <t>What percentage of paint overspray was captured by your filter(s) in 2012? (Enter 98 if unknown)</t>
  </si>
  <si>
    <t>02/15/2013</t>
  </si>
  <si>
    <t>What is the heat capacity (MMBtu/hr) of your heater?</t>
  </si>
  <si>
    <t>What fuel did your heater use in 2012?</t>
  </si>
  <si>
    <r>
      <t>On the</t>
    </r>
    <r>
      <rPr>
        <b/>
        <i/>
        <sz val="10"/>
        <rFont val="Arial"/>
        <family val="2"/>
      </rPr>
      <t xml:space="preserve"> Inputs</t>
    </r>
    <r>
      <rPr>
        <sz val="10"/>
        <rFont val="Arial"/>
        <family val="2"/>
      </rPr>
      <t xml:space="preserve"> worksheet, enter the average number of hours your facility operates per week. You will then need to enter information on the volume of cleaning solvents, primers, and coatings used at your facility in calendar year 2012 (gallons) as well as the maximum volume (gallons) of cleaning solvents, primers, and coatings that your facility can use in an hour. Enter the VOC content (%), PM content (%), and density of cleaning solvent (lb/gal), primer (lb/gal), and coatings (lb/gal) used at your facility. If you do not have this information, enter 0 in each field for which you do not have data and a default value will be used to estimate emissions. Please select the primer and coatings application methods used at your facility. Indicate whether or not your facility uses a heater, and if so, enter the heat capacity of the heater in MMBtu/hr. Select the type of fuel that is used in your facility's heater. Enter an estimate of the volume of fuel combusted in your heater during calendar year 2012 (use units of MMscf for natural gas and 1000 gal for LPF and distillate oil; for example, if your facility burned 2,000 gallons of distillate oil in your heater in 2012, enter 2). If your facility used distillate oil in its heater, enter an estimate of the sulfur content of this fuel (in wt%). If you do not have this information, enter 0 and a default sulfur content will be selected for you.</t>
    </r>
  </si>
  <si>
    <t>Corrected data validation text on Inputs worksheet and Controls and Restrictions worksheet. Corrected density formula in allowable VOC calculations.</t>
  </si>
  <si>
    <r>
      <t xml:space="preserve">On the </t>
    </r>
    <r>
      <rPr>
        <b/>
        <i/>
        <sz val="10"/>
        <rFont val="Arial"/>
        <family val="2"/>
      </rPr>
      <t>Controls and Restrictions</t>
    </r>
    <r>
      <rPr>
        <sz val="10"/>
        <rFont val="Arial"/>
        <family val="2"/>
      </rPr>
      <t xml:space="preserve"> worksheet, select the VOC control method your facility used in 2012 or select 'none' if your facility did not control VOC emissions. Enter the VOC control efficiency of the control device or, if the control efficiency is unknown, enter 0 and a default value of 93.1% will be used to estimate actual emissions. Also, indicate whether your facility included one or more paint spray booths, preparation stations, or mobile enclosures in 2012, and whether they were fitted with a filter technology that captured at least 98% paint overspray, as required by regulation (40 CFR 63.11173(e)). For example, if your facility’s paint spray booth was fitted with a filter that captured 99% overspray, enter 99. If your booth included a filter but you do not know the percentage of overspray captured, enter 98 and the calculator will default to 98%.</t>
    </r>
  </si>
  <si>
    <t>02/21/2013</t>
  </si>
  <si>
    <t>Correct region 6 telephone number. Hide column E on Inputs worksheet.</t>
  </si>
  <si>
    <t>02/26/2013</t>
  </si>
  <si>
    <t>Modified data validation rules to be backwards compatible with Excel 2007.</t>
  </si>
  <si>
    <t>v1.6 (last updated 2013.02.26)</t>
  </si>
  <si>
    <r>
      <t xml:space="preserve">If the Output-Summary Printout worksheet indicates that you </t>
    </r>
    <r>
      <rPr>
        <b/>
        <i/>
        <sz val="10"/>
        <rFont val="Arial"/>
        <family val="2"/>
      </rPr>
      <t>do</t>
    </r>
    <r>
      <rPr>
        <i/>
        <sz val="10"/>
        <rFont val="Arial"/>
        <family val="2"/>
      </rPr>
      <t xml:space="preserve"> need to register</t>
    </r>
    <r>
      <rPr>
        <sz val="10"/>
        <rFont val="Arial"/>
        <family val="2"/>
      </rPr>
      <t>, contact your EPA Regional Office to determine what they require for registration. The contact information for your Regional Office is located on the Output-Summary Printout.</t>
    </r>
  </si>
  <si>
    <t>generate the Output-Summary Printout that will indicate if you need to register. If registration is required, contact your EPA Regional Office for further guidance. The contact information for your Regional Office is located on the Output-Summary Printout.</t>
  </si>
  <si>
    <r>
      <t xml:space="preserve">If the Output-Summary Printout worksheet indicates that you </t>
    </r>
    <r>
      <rPr>
        <b/>
        <i/>
        <sz val="10"/>
        <rFont val="Arial"/>
        <family val="2"/>
      </rPr>
      <t>do not</t>
    </r>
    <r>
      <rPr>
        <i/>
        <sz val="10"/>
        <rFont val="Arial"/>
        <family val="2"/>
      </rPr>
      <t xml:space="preserve"> need to register</t>
    </r>
    <r>
      <rPr>
        <sz val="10"/>
        <rFont val="Arial"/>
        <family val="2"/>
      </rPr>
      <t>, no further action is required. It is recommended that you save a copy of the calculation worksheets and the Output-Summary Printout for your files.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</si>
</sst>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00"/>
    <numFmt numFmtId="166" formatCode="#,##0.0"/>
    <numFmt numFmtId="167" formatCode="#,##0.000"/>
    <numFmt numFmtId="168"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Arial"/>
      <family val="2"/>
    </font>
    <font>
      <sz val="10"/>
      <color indexed="10"/>
      <name val="Arial"/>
      <family val="2"/>
    </font>
    <font>
      <sz val="10"/>
      <name val="Arial"/>
      <family val="2"/>
    </font>
    <font>
      <b/>
      <sz val="10"/>
      <color indexed="9"/>
      <name val="Arial"/>
      <family val="2"/>
    </font>
    <font>
      <vertAlign val="subscript"/>
      <sz val="10"/>
      <name val="Arial"/>
      <family val="2"/>
    </font>
    <font>
      <b/>
      <u/>
      <sz val="10"/>
      <name val="Arial"/>
      <family val="2"/>
    </font>
    <font>
      <b/>
      <sz val="10"/>
      <color indexed="12"/>
      <name val="Arial"/>
      <family val="2"/>
    </font>
    <font>
      <i/>
      <sz val="10"/>
      <name val="Arial"/>
      <family val="2"/>
    </font>
    <font>
      <b/>
      <sz val="14"/>
      <name val="Arial"/>
      <family val="2"/>
    </font>
    <font>
      <sz val="8"/>
      <name val="Arial"/>
      <family val="2"/>
    </font>
    <font>
      <sz val="10"/>
      <color rgb="FF0000FF"/>
      <name val="Arial"/>
      <family val="2"/>
    </font>
    <font>
      <u/>
      <sz val="10"/>
      <color theme="10"/>
      <name val="Arial"/>
      <family val="2"/>
    </font>
    <font>
      <b/>
      <i/>
      <sz val="10"/>
      <name val="Arial"/>
      <family val="2"/>
    </font>
    <font>
      <b/>
      <vertAlign val="subscript"/>
      <sz val="10"/>
      <name val="Arial"/>
      <family val="2"/>
    </font>
    <font>
      <vertAlign val="superscript"/>
      <sz val="10"/>
      <name val="Arial"/>
      <family val="2"/>
    </font>
    <font>
      <i/>
      <sz val="10"/>
      <color rgb="FFFF0000"/>
      <name val="Arial"/>
      <family val="2"/>
    </font>
    <font>
      <b/>
      <i/>
      <sz val="10"/>
      <color rgb="FFFF0000"/>
      <name val="Arial"/>
      <family val="2"/>
    </font>
    <font>
      <b/>
      <sz val="10"/>
      <color rgb="FFCC3300"/>
      <name val="Arial"/>
      <family val="2"/>
    </font>
    <font>
      <b/>
      <sz val="12"/>
      <name val="Arial"/>
      <family val="2"/>
    </font>
    <font>
      <sz val="10"/>
      <color indexed="8"/>
      <name val="Arial"/>
      <family val="2"/>
    </font>
    <font>
      <sz val="10"/>
      <color theme="1"/>
      <name val="Arial"/>
      <family val="2"/>
    </font>
    <font>
      <sz val="10"/>
      <color rgb="FFCC6600"/>
      <name val="Arial"/>
      <family val="2"/>
    </font>
    <font>
      <b/>
      <sz val="10"/>
      <color rgb="FFCC6600"/>
      <name val="Arial"/>
      <family val="2"/>
    </font>
    <font>
      <b/>
      <sz val="11"/>
      <color theme="1"/>
      <name val="Calibri"/>
      <family val="2"/>
      <scheme val="minor"/>
    </font>
    <font>
      <u/>
      <sz val="11"/>
      <color theme="10"/>
      <name val="Calibri"/>
      <family val="2"/>
      <scheme val="minor"/>
    </font>
    <font>
      <b/>
      <sz val="11"/>
      <color rgb="FFFF0000"/>
      <name val="Arial"/>
      <family val="2"/>
    </font>
    <font>
      <b/>
      <sz val="11"/>
      <name val="Arial"/>
      <family val="2"/>
    </font>
    <font>
      <sz val="11"/>
      <name val="Arial"/>
      <family val="2"/>
    </font>
    <font>
      <sz val="10"/>
      <name val="Arial"/>
      <family val="2"/>
    </font>
    <font>
      <sz val="10"/>
      <color rgb="FF000000"/>
      <name val="Arial"/>
      <family val="2"/>
    </font>
  </fonts>
  <fills count="9">
    <fill>
      <patternFill patternType="none"/>
    </fill>
    <fill>
      <patternFill patternType="gray125"/>
    </fill>
    <fill>
      <patternFill patternType="solid">
        <fgColor indexed="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3" tint="0.79998168889431442"/>
        <bgColor indexed="64"/>
      </patternFill>
    </fill>
  </fills>
  <borders count="75">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tint="0.499984740745262"/>
      </left>
      <right style="medium">
        <color indexed="64"/>
      </right>
      <top/>
      <bottom style="thin">
        <color indexed="64"/>
      </bottom>
      <diagonal/>
    </border>
    <border>
      <left style="thin">
        <color theme="1" tint="0.499984740745262"/>
      </left>
      <right style="medium">
        <color indexed="64"/>
      </right>
      <top/>
      <bottom/>
      <diagonal/>
    </border>
    <border>
      <left style="thin">
        <color theme="1" tint="0.499984740745262"/>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style="thin">
        <color indexed="64"/>
      </bottom>
      <diagonal/>
    </border>
    <border>
      <left style="thin">
        <color theme="1" tint="0.499984740745262"/>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13">
    <xf numFmtId="2" fontId="0" fillId="0" borderId="0"/>
    <xf numFmtId="2" fontId="19" fillId="0" borderId="0" applyNumberFormat="0" applyFill="0" applyBorder="0" applyAlignment="0" applyProtection="0"/>
    <xf numFmtId="0" fontId="19" fillId="0" borderId="0" applyNumberFormat="0" applyFill="0" applyBorder="0" applyAlignment="0" applyProtection="0">
      <alignment vertical="top"/>
      <protection locked="0"/>
    </xf>
    <xf numFmtId="2" fontId="7" fillId="0" borderId="0"/>
    <xf numFmtId="0" fontId="27" fillId="0" borderId="0"/>
    <xf numFmtId="0" fontId="7" fillId="0" borderId="0"/>
    <xf numFmtId="0" fontId="5" fillId="0" borderId="0"/>
    <xf numFmtId="0" fontId="28" fillId="0" borderId="0"/>
    <xf numFmtId="9" fontId="7" fillId="0" borderId="0" applyFont="0" applyFill="0" applyBorder="0" applyAlignment="0" applyProtection="0"/>
    <xf numFmtId="0" fontId="4" fillId="0" borderId="0"/>
    <xf numFmtId="9" fontId="36" fillId="0" borderId="0" applyFont="0" applyFill="0" applyBorder="0" applyAlignment="0" applyProtection="0"/>
    <xf numFmtId="43" fontId="7" fillId="0" borderId="0" applyFont="0" applyFill="0" applyBorder="0" applyAlignment="0" applyProtection="0"/>
    <xf numFmtId="0" fontId="2" fillId="0" borderId="0"/>
  </cellStyleXfs>
  <cellXfs count="443">
    <xf numFmtId="2" fontId="0" fillId="0" borderId="0" xfId="0"/>
    <xf numFmtId="2" fontId="0" fillId="0" borderId="0" xfId="0" applyBorder="1"/>
    <xf numFmtId="2" fontId="16" fillId="0" borderId="0" xfId="0" applyFont="1"/>
    <xf numFmtId="2" fontId="7" fillId="0" borderId="0" xfId="0" applyFont="1"/>
    <xf numFmtId="2" fontId="8" fillId="4" borderId="6" xfId="0" applyFont="1" applyFill="1" applyBorder="1" applyAlignment="1">
      <alignment horizontal="center"/>
    </xf>
    <xf numFmtId="1" fontId="0" fillId="0" borderId="0" xfId="0" applyNumberFormat="1" applyAlignment="1">
      <alignment horizontal="center" vertical="center"/>
    </xf>
    <xf numFmtId="1" fontId="0" fillId="0" borderId="6" xfId="0" applyNumberFormat="1" applyBorder="1" applyAlignment="1">
      <alignment horizontal="center" vertical="center"/>
    </xf>
    <xf numFmtId="2" fontId="7" fillId="0" borderId="6" xfId="0" applyFont="1" applyBorder="1" applyAlignment="1">
      <alignment horizontal="center" vertical="center"/>
    </xf>
    <xf numFmtId="1" fontId="7" fillId="0" borderId="6" xfId="0" applyNumberFormat="1" applyFont="1" applyBorder="1" applyAlignment="1">
      <alignment horizontal="center" vertical="center"/>
    </xf>
    <xf numFmtId="2" fontId="0" fillId="0" borderId="0" xfId="0" applyAlignment="1">
      <alignment horizontal="center"/>
    </xf>
    <xf numFmtId="165" fontId="0" fillId="0" borderId="0" xfId="0" applyNumberFormat="1"/>
    <xf numFmtId="165" fontId="0" fillId="0" borderId="6" xfId="0" applyNumberFormat="1" applyBorder="1" applyAlignment="1">
      <alignment horizontal="center" vertical="center"/>
    </xf>
    <xf numFmtId="165" fontId="7" fillId="0" borderId="6" xfId="0" applyNumberFormat="1" applyFont="1" applyBorder="1" applyAlignment="1">
      <alignment horizontal="center" vertical="center"/>
    </xf>
    <xf numFmtId="2" fontId="6" fillId="4" borderId="6" xfId="0" applyFont="1" applyFill="1" applyBorder="1" applyAlignment="1">
      <alignment horizontal="center"/>
    </xf>
    <xf numFmtId="2" fontId="7" fillId="0" borderId="6" xfId="0" applyFont="1" applyBorder="1" applyAlignment="1">
      <alignment horizontal="center"/>
    </xf>
    <xf numFmtId="2" fontId="7" fillId="0" borderId="12" xfId="0" applyFont="1" applyBorder="1"/>
    <xf numFmtId="164" fontId="8" fillId="4" borderId="6" xfId="0" applyNumberFormat="1" applyFont="1" applyFill="1" applyBorder="1" applyAlignment="1">
      <alignment horizontal="center"/>
    </xf>
    <xf numFmtId="164" fontId="0" fillId="0" borderId="0" xfId="0" applyNumberFormat="1" applyAlignment="1">
      <alignment horizontal="center"/>
    </xf>
    <xf numFmtId="1" fontId="6" fillId="4" borderId="30" xfId="0" applyNumberFormat="1" applyFont="1" applyFill="1" applyBorder="1" applyAlignment="1">
      <alignment horizontal="center" vertical="center"/>
    </xf>
    <xf numFmtId="1" fontId="6" fillId="4" borderId="31" xfId="0" applyNumberFormat="1" applyFont="1" applyFill="1" applyBorder="1" applyAlignment="1">
      <alignment horizontal="center" vertical="center"/>
    </xf>
    <xf numFmtId="165" fontId="6" fillId="4" borderId="31" xfId="0" applyNumberFormat="1" applyFont="1" applyFill="1" applyBorder="1" applyAlignment="1">
      <alignment horizontal="center" vertical="center"/>
    </xf>
    <xf numFmtId="1" fontId="7" fillId="0" borderId="8" xfId="0" applyNumberFormat="1" applyFont="1" applyBorder="1" applyAlignment="1">
      <alignment horizontal="left" vertical="center"/>
    </xf>
    <xf numFmtId="1" fontId="6" fillId="4" borderId="32" xfId="0" applyNumberFormat="1" applyFont="1" applyFill="1" applyBorder="1" applyAlignment="1">
      <alignment horizontal="left" vertical="center"/>
    </xf>
    <xf numFmtId="2" fontId="16" fillId="0" borderId="0" xfId="0" applyFont="1" applyProtection="1"/>
    <xf numFmtId="2" fontId="7" fillId="0" borderId="0" xfId="0" applyFont="1" applyBorder="1" applyProtection="1"/>
    <xf numFmtId="2" fontId="0" fillId="0" borderId="0" xfId="0" applyBorder="1" applyProtection="1"/>
    <xf numFmtId="2" fontId="18" fillId="0" borderId="8" xfId="0" applyFont="1" applyBorder="1" applyProtection="1">
      <protection locked="0"/>
    </xf>
    <xf numFmtId="2" fontId="18" fillId="0" borderId="9" xfId="0" applyFont="1" applyBorder="1" applyProtection="1">
      <protection locked="0"/>
    </xf>
    <xf numFmtId="2" fontId="7" fillId="4" borderId="6" xfId="0" applyFont="1" applyFill="1" applyBorder="1" applyProtection="1"/>
    <xf numFmtId="2" fontId="6" fillId="3" borderId="6" xfId="0" applyFont="1" applyFill="1" applyBorder="1" applyAlignment="1" applyProtection="1">
      <alignment horizontal="left"/>
    </xf>
    <xf numFmtId="2" fontId="18" fillId="0" borderId="18" xfId="0" applyFont="1" applyBorder="1" applyProtection="1">
      <protection locked="0"/>
    </xf>
    <xf numFmtId="164" fontId="0" fillId="0" borderId="6" xfId="0" applyNumberFormat="1" applyBorder="1" applyAlignment="1">
      <alignment horizontal="center" vertical="center"/>
    </xf>
    <xf numFmtId="2" fontId="7" fillId="0" borderId="6" xfId="0" quotePrefix="1" applyFont="1" applyBorder="1" applyAlignment="1">
      <alignment horizontal="center" vertical="center"/>
    </xf>
    <xf numFmtId="2" fontId="7" fillId="0" borderId="6" xfId="0" applyFont="1" applyBorder="1" applyAlignment="1">
      <alignment vertical="center" wrapText="1"/>
    </xf>
    <xf numFmtId="2" fontId="19" fillId="0" borderId="6" xfId="1" applyBorder="1" applyAlignment="1">
      <alignment vertical="center"/>
    </xf>
    <xf numFmtId="164" fontId="7" fillId="0" borderId="6" xfId="0" applyNumberFormat="1" applyFont="1" applyBorder="1" applyAlignment="1" applyProtection="1">
      <alignment horizontal="center" vertical="center"/>
      <protection locked="0"/>
    </xf>
    <xf numFmtId="2" fontId="7" fillId="0" borderId="6" xfId="0" quotePrefix="1" applyFont="1" applyBorder="1" applyAlignment="1" applyProtection="1">
      <alignment horizontal="center" vertical="center"/>
      <protection locked="0"/>
    </xf>
    <xf numFmtId="2" fontId="7" fillId="0" borderId="6" xfId="0" applyFont="1" applyBorder="1" applyAlignment="1" applyProtection="1">
      <alignment vertical="center" wrapText="1"/>
      <protection locked="0"/>
    </xf>
    <xf numFmtId="2" fontId="0" fillId="0" borderId="6" xfId="0" applyBorder="1" applyAlignment="1" applyProtection="1">
      <alignment horizontal="center" vertical="center"/>
      <protection locked="0"/>
    </xf>
    <xf numFmtId="2" fontId="0" fillId="0" borderId="6" xfId="0" applyBorder="1" applyAlignment="1" applyProtection="1">
      <alignment vertical="center"/>
      <protection locked="0"/>
    </xf>
    <xf numFmtId="164" fontId="0" fillId="0" borderId="6" xfId="0" applyNumberFormat="1" applyBorder="1" applyAlignment="1" applyProtection="1">
      <alignment horizontal="center" vertical="center"/>
      <protection locked="0"/>
    </xf>
    <xf numFmtId="2" fontId="0" fillId="0" borderId="6" xfId="0" applyBorder="1" applyAlignment="1" applyProtection="1">
      <alignment vertical="center" wrapText="1"/>
      <protection locked="0"/>
    </xf>
    <xf numFmtId="2" fontId="7" fillId="0" borderId="0" xfId="0" applyFont="1" applyProtection="1"/>
    <xf numFmtId="2" fontId="0" fillId="0" borderId="0" xfId="0" applyAlignment="1" applyProtection="1">
      <alignment vertical="center"/>
    </xf>
    <xf numFmtId="2" fontId="7" fillId="0" borderId="0" xfId="0" applyFont="1" applyAlignment="1">
      <alignment horizontal="center"/>
    </xf>
    <xf numFmtId="2" fontId="16" fillId="0" borderId="0" xfId="0" applyFont="1" applyAlignment="1">
      <alignment horizontal="center"/>
    </xf>
    <xf numFmtId="2" fontId="7" fillId="0" borderId="6" xfId="0" applyFont="1" applyBorder="1"/>
    <xf numFmtId="2" fontId="7" fillId="0" borderId="6" xfId="0" applyFont="1" applyBorder="1" applyAlignment="1" applyProtection="1">
      <alignment horizontal="center" vertical="center"/>
      <protection locked="0"/>
    </xf>
    <xf numFmtId="2" fontId="0" fillId="0" borderId="14" xfId="0" applyBorder="1" applyAlignment="1" applyProtection="1">
      <alignment horizontal="left" indent="2"/>
    </xf>
    <xf numFmtId="2" fontId="0" fillId="0" borderId="12" xfId="0" applyBorder="1" applyAlignment="1" applyProtection="1">
      <alignment horizontal="left" indent="2"/>
    </xf>
    <xf numFmtId="2" fontId="7" fillId="0" borderId="12" xfId="0" applyFont="1" applyBorder="1" applyAlignment="1" applyProtection="1">
      <alignment horizontal="left" indent="2"/>
    </xf>
    <xf numFmtId="2" fontId="7" fillId="0" borderId="22" xfId="0" applyFont="1" applyBorder="1" applyAlignment="1" applyProtection="1">
      <alignment horizontal="left" indent="2"/>
    </xf>
    <xf numFmtId="2" fontId="0" fillId="0" borderId="22" xfId="0" applyBorder="1" applyAlignment="1" applyProtection="1">
      <alignment horizontal="left" indent="2"/>
    </xf>
    <xf numFmtId="165" fontId="0" fillId="0" borderId="0" xfId="0" applyNumberFormat="1" applyBorder="1" applyAlignment="1">
      <alignment horizontal="center"/>
    </xf>
    <xf numFmtId="2" fontId="0" fillId="0" borderId="6" xfId="0" applyBorder="1"/>
    <xf numFmtId="2" fontId="7" fillId="0" borderId="8" xfId="0" applyFont="1" applyBorder="1"/>
    <xf numFmtId="2" fontId="6" fillId="4" borderId="12" xfId="0" applyFont="1" applyFill="1" applyBorder="1"/>
    <xf numFmtId="2" fontId="6" fillId="4" borderId="6" xfId="0" applyFont="1" applyFill="1" applyBorder="1"/>
    <xf numFmtId="2" fontId="6" fillId="4" borderId="8" xfId="0" applyFont="1" applyFill="1" applyBorder="1"/>
    <xf numFmtId="2" fontId="6" fillId="4" borderId="8" xfId="0" applyFont="1" applyFill="1" applyBorder="1" applyAlignment="1">
      <alignment horizontal="center"/>
    </xf>
    <xf numFmtId="2" fontId="6" fillId="0" borderId="0" xfId="0" applyFont="1" applyFill="1" applyBorder="1"/>
    <xf numFmtId="2" fontId="7" fillId="0" borderId="8" xfId="0" applyFont="1" applyBorder="1" applyAlignment="1">
      <alignment horizontal="center"/>
    </xf>
    <xf numFmtId="2" fontId="7" fillId="0" borderId="12" xfId="0" applyFont="1" applyFill="1" applyBorder="1"/>
    <xf numFmtId="2" fontId="0" fillId="0" borderId="0" xfId="0" applyFill="1"/>
    <xf numFmtId="2" fontId="7" fillId="0" borderId="0" xfId="0" applyFont="1" applyFill="1"/>
    <xf numFmtId="2" fontId="7" fillId="0" borderId="6" xfId="0" applyFont="1" applyFill="1" applyBorder="1"/>
    <xf numFmtId="2" fontId="0" fillId="0" borderId="6" xfId="0" applyBorder="1" applyAlignment="1">
      <alignment horizontal="center"/>
    </xf>
    <xf numFmtId="2" fontId="7" fillId="0" borderId="16" xfId="0" applyFont="1" applyFill="1" applyBorder="1"/>
    <xf numFmtId="2" fontId="7" fillId="0" borderId="16" xfId="0" applyFont="1" applyBorder="1" applyAlignment="1">
      <alignment horizontal="center"/>
    </xf>
    <xf numFmtId="2" fontId="7" fillId="0" borderId="14" xfId="0" applyFont="1" applyFill="1" applyBorder="1"/>
    <xf numFmtId="2" fontId="7" fillId="0" borderId="18" xfId="0" applyFont="1" applyBorder="1"/>
    <xf numFmtId="2" fontId="7" fillId="0" borderId="22" xfId="0" applyFont="1" applyBorder="1"/>
    <xf numFmtId="2" fontId="7" fillId="0" borderId="7" xfId="0" applyFont="1" applyFill="1" applyBorder="1"/>
    <xf numFmtId="2" fontId="0" fillId="0" borderId="7" xfId="0" applyBorder="1" applyAlignment="1">
      <alignment horizontal="center"/>
    </xf>
    <xf numFmtId="2" fontId="7" fillId="0" borderId="7" xfId="0" applyFont="1" applyBorder="1" applyAlignment="1">
      <alignment horizontal="center"/>
    </xf>
    <xf numFmtId="2" fontId="0" fillId="4" borderId="10" xfId="0" applyFill="1" applyBorder="1" applyAlignment="1" applyProtection="1">
      <alignment vertical="center" wrapText="1"/>
    </xf>
    <xf numFmtId="2" fontId="6" fillId="4" borderId="11" xfId="0" applyFont="1" applyFill="1" applyBorder="1" applyAlignment="1" applyProtection="1">
      <alignment vertical="center" wrapText="1"/>
    </xf>
    <xf numFmtId="2" fontId="6" fillId="4" borderId="27" xfId="0" applyFont="1" applyFill="1" applyBorder="1" applyAlignment="1" applyProtection="1">
      <alignment vertical="center"/>
    </xf>
    <xf numFmtId="2" fontId="6" fillId="4" borderId="25" xfId="0" applyFont="1" applyFill="1" applyBorder="1" applyAlignment="1" applyProtection="1">
      <alignment vertical="center"/>
    </xf>
    <xf numFmtId="2" fontId="6" fillId="4" borderId="50" xfId="0" applyFont="1" applyFill="1" applyBorder="1"/>
    <xf numFmtId="2" fontId="6" fillId="4" borderId="16" xfId="0" applyFont="1" applyFill="1" applyBorder="1"/>
    <xf numFmtId="2" fontId="6" fillId="4" borderId="16" xfId="0" applyFont="1" applyFill="1" applyBorder="1" applyAlignment="1">
      <alignment horizontal="center" vertical="center"/>
    </xf>
    <xf numFmtId="2" fontId="6" fillId="4" borderId="16" xfId="0" applyFont="1" applyFill="1" applyBorder="1" applyAlignment="1">
      <alignment vertical="center"/>
    </xf>
    <xf numFmtId="2" fontId="7" fillId="0" borderId="6" xfId="0" applyFont="1" applyBorder="1" applyAlignment="1">
      <alignment vertical="center"/>
    </xf>
    <xf numFmtId="2" fontId="6" fillId="4" borderId="8" xfId="0" applyFont="1" applyFill="1" applyBorder="1" applyAlignment="1">
      <alignment horizontal="left"/>
    </xf>
    <xf numFmtId="2" fontId="7" fillId="0" borderId="22" xfId="0" applyFont="1" applyFill="1" applyBorder="1"/>
    <xf numFmtId="165" fontId="0" fillId="0" borderId="6" xfId="0" applyNumberFormat="1" applyBorder="1" applyAlignment="1">
      <alignment horizontal="center"/>
    </xf>
    <xf numFmtId="2" fontId="17" fillId="0" borderId="0" xfId="0" applyFont="1" applyFill="1"/>
    <xf numFmtId="2" fontId="0" fillId="0" borderId="6" xfId="0" applyFill="1" applyBorder="1"/>
    <xf numFmtId="2" fontId="0" fillId="0" borderId="7" xfId="0" applyFill="1" applyBorder="1" applyAlignment="1">
      <alignment horizontal="center"/>
    </xf>
    <xf numFmtId="2" fontId="7" fillId="0" borderId="9" xfId="0" applyFont="1" applyBorder="1"/>
    <xf numFmtId="2" fontId="7" fillId="0" borderId="9" xfId="0" applyFont="1" applyBorder="1" applyAlignment="1">
      <alignment horizontal="left"/>
    </xf>
    <xf numFmtId="2" fontId="7" fillId="0" borderId="7" xfId="0" applyFont="1" applyBorder="1" applyAlignment="1">
      <alignment horizontal="center" vertical="center"/>
    </xf>
    <xf numFmtId="2" fontId="7" fillId="0" borderId="51" xfId="0" applyFont="1" applyBorder="1"/>
    <xf numFmtId="2" fontId="7" fillId="0" borderId="6" xfId="0" applyFont="1" applyBorder="1" applyAlignment="1">
      <alignment horizontal="center" vertical="center" wrapText="1"/>
    </xf>
    <xf numFmtId="2" fontId="18" fillId="0" borderId="0" xfId="0" applyFont="1" applyBorder="1" applyProtection="1"/>
    <xf numFmtId="2" fontId="13" fillId="0" borderId="0" xfId="0" applyFont="1" applyProtection="1"/>
    <xf numFmtId="2" fontId="10" fillId="0" borderId="0" xfId="0" applyFont="1" applyProtection="1"/>
    <xf numFmtId="2" fontId="0" fillId="0" borderId="15" xfId="0" applyBorder="1" applyAlignment="1" applyProtection="1"/>
    <xf numFmtId="2" fontId="0" fillId="0" borderId="0" xfId="0" applyBorder="1" applyAlignment="1" applyProtection="1"/>
    <xf numFmtId="2" fontId="7" fillId="0" borderId="20" xfId="0" applyFont="1" applyBorder="1" applyAlignment="1" applyProtection="1">
      <alignment horizontal="left" vertical="center" wrapText="1"/>
    </xf>
    <xf numFmtId="2" fontId="0" fillId="0" borderId="21" xfId="0" applyBorder="1" applyAlignment="1" applyProtection="1">
      <alignment horizontal="left" vertical="center" wrapText="1"/>
    </xf>
    <xf numFmtId="2" fontId="7" fillId="0" borderId="1" xfId="0" applyFont="1" applyBorder="1" applyAlignment="1" applyProtection="1">
      <alignment vertical="center"/>
    </xf>
    <xf numFmtId="2" fontId="0" fillId="0" borderId="26" xfId="0" applyBorder="1" applyAlignment="1" applyProtection="1">
      <alignment vertical="center"/>
    </xf>
    <xf numFmtId="2" fontId="6" fillId="4" borderId="27" xfId="0" applyFont="1" applyFill="1" applyBorder="1" applyAlignment="1" applyProtection="1"/>
    <xf numFmtId="2" fontId="8" fillId="4" borderId="15" xfId="0" applyFont="1" applyFill="1" applyBorder="1" applyAlignment="1" applyProtection="1"/>
    <xf numFmtId="2" fontId="8" fillId="4" borderId="25" xfId="0" applyFont="1" applyFill="1" applyBorder="1" applyAlignment="1" applyProtection="1"/>
    <xf numFmtId="2" fontId="7" fillId="4" borderId="27" xfId="0" applyFont="1" applyFill="1" applyBorder="1" applyAlignment="1" applyProtection="1">
      <alignment horizontal="left" vertical="center"/>
    </xf>
    <xf numFmtId="2" fontId="7" fillId="4" borderId="15" xfId="0" applyFont="1" applyFill="1" applyBorder="1" applyAlignment="1" applyProtection="1">
      <alignment horizontal="left"/>
    </xf>
    <xf numFmtId="2" fontId="7" fillId="4" borderId="25" xfId="0" applyFont="1" applyFill="1" applyBorder="1" applyAlignment="1" applyProtection="1">
      <alignment horizontal="left"/>
    </xf>
    <xf numFmtId="49" fontId="0" fillId="0" borderId="0" xfId="0" applyNumberFormat="1" applyBorder="1" applyAlignment="1" applyProtection="1">
      <alignment horizontal="left" vertical="top"/>
    </xf>
    <xf numFmtId="2" fontId="0" fillId="0" borderId="0" xfId="0" applyBorder="1" applyAlignment="1" applyProtection="1">
      <alignment horizontal="left" vertical="top" wrapText="1"/>
    </xf>
    <xf numFmtId="2" fontId="6" fillId="0" borderId="0" xfId="0" applyFont="1" applyAlignment="1" applyProtection="1">
      <alignment vertical="center" wrapText="1"/>
    </xf>
    <xf numFmtId="2" fontId="7" fillId="0" borderId="0" xfId="0" applyFont="1" applyAlignment="1" applyProtection="1">
      <alignment vertical="center" wrapText="1"/>
    </xf>
    <xf numFmtId="2" fontId="7" fillId="0" borderId="0" xfId="0" quotePrefix="1" applyFont="1" applyAlignment="1" applyProtection="1">
      <alignment horizontal="right" vertical="top"/>
    </xf>
    <xf numFmtId="2" fontId="7" fillId="0" borderId="0" xfId="0" applyFont="1" applyAlignment="1" applyProtection="1">
      <alignment horizontal="left" vertical="center" wrapText="1" indent="1"/>
    </xf>
    <xf numFmtId="2" fontId="19" fillId="0" borderId="0" xfId="1" applyFont="1" applyAlignment="1" applyProtection="1">
      <alignment vertical="center" wrapText="1"/>
    </xf>
    <xf numFmtId="2" fontId="7" fillId="0" borderId="0" xfId="0" applyFont="1" applyAlignment="1" applyProtection="1">
      <alignment horizontal="left" vertical="top" wrapText="1" indent="1"/>
    </xf>
    <xf numFmtId="2" fontId="7" fillId="0" borderId="0" xfId="0" applyFont="1" applyAlignment="1" applyProtection="1">
      <alignment wrapText="1"/>
    </xf>
    <xf numFmtId="0" fontId="16" fillId="0" borderId="0" xfId="5" applyFont="1" applyProtection="1"/>
    <xf numFmtId="2" fontId="6" fillId="4" borderId="27" xfId="0" applyFont="1" applyFill="1" applyBorder="1" applyProtection="1"/>
    <xf numFmtId="2" fontId="6" fillId="3" borderId="6" xfId="0" applyFont="1" applyFill="1" applyBorder="1" applyAlignment="1" applyProtection="1">
      <alignment horizontal="center"/>
    </xf>
    <xf numFmtId="2" fontId="7" fillId="4" borderId="6" xfId="0" applyFont="1" applyFill="1" applyBorder="1" applyAlignment="1" applyProtection="1">
      <alignment horizontal="center"/>
    </xf>
    <xf numFmtId="2" fontId="6" fillId="4" borderId="31" xfId="0" applyFont="1" applyFill="1" applyBorder="1" applyAlignment="1" applyProtection="1">
      <alignment horizontal="center"/>
    </xf>
    <xf numFmtId="2" fontId="6" fillId="4" borderId="54" xfId="0" applyFont="1" applyFill="1" applyBorder="1" applyAlignment="1" applyProtection="1">
      <alignment horizontal="center"/>
    </xf>
    <xf numFmtId="2" fontId="6" fillId="4" borderId="47" xfId="0" applyFont="1" applyFill="1" applyBorder="1" applyAlignment="1" applyProtection="1">
      <alignment horizontal="center"/>
    </xf>
    <xf numFmtId="2" fontId="6" fillId="4" borderId="48" xfId="0" applyFont="1" applyFill="1" applyBorder="1" applyAlignment="1" applyProtection="1">
      <alignment horizontal="center"/>
    </xf>
    <xf numFmtId="2" fontId="29" fillId="0" borderId="12" xfId="0" applyFont="1" applyFill="1" applyBorder="1" applyAlignment="1" applyProtection="1"/>
    <xf numFmtId="2" fontId="29" fillId="0" borderId="6" xfId="0" applyFont="1" applyBorder="1" applyProtection="1"/>
    <xf numFmtId="2" fontId="29" fillId="0" borderId="8" xfId="0" applyFont="1" applyBorder="1" applyProtection="1"/>
    <xf numFmtId="2" fontId="29" fillId="0" borderId="55" xfId="0" applyFont="1" applyFill="1" applyBorder="1" applyAlignment="1" applyProtection="1"/>
    <xf numFmtId="4" fontId="29" fillId="0" borderId="56" xfId="0" applyNumberFormat="1" applyFont="1" applyFill="1" applyBorder="1" applyAlignment="1" applyProtection="1">
      <alignment horizontal="right"/>
    </xf>
    <xf numFmtId="2" fontId="29" fillId="0" borderId="56" xfId="0" applyFont="1" applyBorder="1" applyProtection="1"/>
    <xf numFmtId="2" fontId="29" fillId="0" borderId="57" xfId="0" applyFont="1" applyBorder="1" applyProtection="1"/>
    <xf numFmtId="2" fontId="30" fillId="0" borderId="36" xfId="0" applyFont="1" applyFill="1" applyBorder="1" applyAlignment="1" applyProtection="1"/>
    <xf numFmtId="4" fontId="30" fillId="0" borderId="58" xfId="0" applyNumberFormat="1" applyFont="1" applyFill="1" applyBorder="1" applyAlignment="1" applyProtection="1">
      <alignment horizontal="right"/>
    </xf>
    <xf numFmtId="4" fontId="30" fillId="0" borderId="37" xfId="0" applyNumberFormat="1" applyFont="1" applyFill="1" applyBorder="1" applyAlignment="1" applyProtection="1">
      <alignment horizontal="right"/>
    </xf>
    <xf numFmtId="2" fontId="7" fillId="0" borderId="0" xfId="0" applyFont="1" applyFill="1" applyBorder="1" applyProtection="1"/>
    <xf numFmtId="2" fontId="9" fillId="0" borderId="0" xfId="0" applyNumberFormat="1" applyFont="1" applyFill="1" applyBorder="1" applyAlignment="1" applyProtection="1">
      <alignment horizontal="left"/>
    </xf>
    <xf numFmtId="2" fontId="6" fillId="4" borderId="36" xfId="0" applyFont="1" applyFill="1" applyBorder="1" applyProtection="1"/>
    <xf numFmtId="2" fontId="6" fillId="4" borderId="59" xfId="0" applyFont="1" applyFill="1" applyBorder="1" applyAlignment="1" applyProtection="1">
      <alignment horizontal="center"/>
    </xf>
    <xf numFmtId="2" fontId="6" fillId="4" borderId="58" xfId="0" applyFont="1" applyFill="1" applyBorder="1" applyAlignment="1" applyProtection="1">
      <alignment horizontal="center"/>
    </xf>
    <xf numFmtId="2" fontId="6" fillId="4" borderId="37" xfId="0" applyFont="1" applyFill="1" applyBorder="1" applyAlignment="1" applyProtection="1">
      <alignment horizontal="center"/>
    </xf>
    <xf numFmtId="2" fontId="6" fillId="3" borderId="6" xfId="3" applyFont="1" applyFill="1" applyBorder="1" applyProtection="1"/>
    <xf numFmtId="2" fontId="7" fillId="4" borderId="6" xfId="3" applyFont="1" applyFill="1" applyBorder="1" applyAlignment="1" applyProtection="1">
      <alignment horizontal="left"/>
    </xf>
    <xf numFmtId="2" fontId="7" fillId="0" borderId="0" xfId="3" applyProtection="1"/>
    <xf numFmtId="164" fontId="6" fillId="0" borderId="0" xfId="3" applyNumberFormat="1" applyFont="1" applyFill="1" applyBorder="1" applyAlignment="1" applyProtection="1">
      <alignment horizontal="right" indent="3"/>
    </xf>
    <xf numFmtId="164" fontId="7" fillId="0" borderId="0" xfId="3" applyNumberFormat="1" applyFont="1" applyFill="1" applyBorder="1" applyAlignment="1" applyProtection="1">
      <alignment horizontal="right" indent="3"/>
    </xf>
    <xf numFmtId="2" fontId="16" fillId="0" borderId="0" xfId="3" applyFont="1" applyAlignment="1"/>
    <xf numFmtId="0" fontId="4" fillId="0" borderId="0" xfId="9" applyAlignment="1">
      <alignment horizontal="center"/>
    </xf>
    <xf numFmtId="0" fontId="4" fillId="0" borderId="0" xfId="9" applyAlignment="1"/>
    <xf numFmtId="0" fontId="31" fillId="4" borderId="6" xfId="9" applyFont="1" applyFill="1" applyBorder="1" applyAlignment="1"/>
    <xf numFmtId="0" fontId="31" fillId="4" borderId="6" xfId="9" applyFont="1" applyFill="1" applyBorder="1" applyAlignment="1">
      <alignment horizontal="center"/>
    </xf>
    <xf numFmtId="0" fontId="4" fillId="0" borderId="0" xfId="9" applyFont="1" applyAlignment="1">
      <alignment horizontal="left" vertical="center"/>
    </xf>
    <xf numFmtId="0" fontId="4" fillId="0" borderId="0" xfId="9" applyFont="1" applyAlignment="1"/>
    <xf numFmtId="0" fontId="32" fillId="0" borderId="0" xfId="1" applyNumberFormat="1" applyFont="1" applyAlignment="1">
      <alignment horizontal="left" vertical="center"/>
    </xf>
    <xf numFmtId="0" fontId="32" fillId="0" borderId="0" xfId="1" applyNumberFormat="1" applyFont="1" applyAlignment="1"/>
    <xf numFmtId="0" fontId="4" fillId="0" borderId="0" xfId="9" applyFont="1" applyAlignment="1">
      <alignment horizontal="center"/>
    </xf>
    <xf numFmtId="0" fontId="19" fillId="0" borderId="0" xfId="1" applyNumberFormat="1" applyAlignment="1">
      <alignment horizontal="left" vertical="center"/>
    </xf>
    <xf numFmtId="1" fontId="18" fillId="0" borderId="9" xfId="0" applyNumberFormat="1" applyFont="1" applyBorder="1" applyAlignment="1" applyProtection="1">
      <alignment horizontal="left"/>
      <protection locked="0"/>
    </xf>
    <xf numFmtId="0" fontId="18" fillId="0" borderId="8" xfId="0" applyNumberFormat="1" applyFont="1" applyBorder="1" applyProtection="1">
      <protection locked="0"/>
    </xf>
    <xf numFmtId="2" fontId="7" fillId="0" borderId="46" xfId="3" applyBorder="1" applyAlignment="1" applyProtection="1">
      <alignment horizontal="left" indent="2"/>
    </xf>
    <xf numFmtId="2" fontId="29" fillId="0" borderId="25" xfId="3" applyFont="1" applyBorder="1" applyProtection="1"/>
    <xf numFmtId="2" fontId="7" fillId="0" borderId="12" xfId="3" applyBorder="1" applyAlignment="1" applyProtection="1">
      <alignment horizontal="left" indent="2"/>
    </xf>
    <xf numFmtId="2" fontId="29" fillId="0" borderId="8" xfId="3" applyFont="1" applyBorder="1" applyProtection="1"/>
    <xf numFmtId="2" fontId="7" fillId="0" borderId="60" xfId="3" applyBorder="1" applyAlignment="1" applyProtection="1">
      <alignment horizontal="left" indent="2"/>
    </xf>
    <xf numFmtId="2" fontId="29" fillId="0" borderId="21" xfId="3" applyFont="1" applyBorder="1" applyProtection="1"/>
    <xf numFmtId="2" fontId="7" fillId="0" borderId="60" xfId="3" applyBorder="1" applyProtection="1"/>
    <xf numFmtId="2" fontId="29" fillId="0" borderId="17" xfId="3" applyFont="1" applyBorder="1" applyProtection="1"/>
    <xf numFmtId="2" fontId="7" fillId="0" borderId="61" xfId="3" applyBorder="1" applyProtection="1"/>
    <xf numFmtId="2" fontId="29" fillId="0" borderId="26" xfId="3" applyFont="1" applyBorder="1" applyAlignment="1" applyProtection="1">
      <alignment vertical="top"/>
    </xf>
    <xf numFmtId="2" fontId="7" fillId="0" borderId="0" xfId="3" applyAlignment="1" applyProtection="1">
      <alignment horizontal="center" vertical="center"/>
    </xf>
    <xf numFmtId="2" fontId="7" fillId="0" borderId="0" xfId="3" applyAlignment="1" applyProtection="1">
      <alignment horizontal="center"/>
    </xf>
    <xf numFmtId="2" fontId="7" fillId="0" borderId="27" xfId="3" applyBorder="1" applyProtection="1"/>
    <xf numFmtId="2" fontId="7" fillId="0" borderId="15" xfId="3" applyBorder="1" applyProtection="1"/>
    <xf numFmtId="2" fontId="7" fillId="0" borderId="25" xfId="3" applyBorder="1" applyProtection="1"/>
    <xf numFmtId="2" fontId="6" fillId="0" borderId="3" xfId="3" applyFont="1" applyBorder="1" applyAlignment="1" applyProtection="1">
      <alignment horizontal="right"/>
    </xf>
    <xf numFmtId="2" fontId="6" fillId="0" borderId="0" xfId="3" applyFont="1" applyBorder="1" applyAlignment="1" applyProtection="1">
      <alignment horizontal="left"/>
    </xf>
    <xf numFmtId="2" fontId="6" fillId="0" borderId="0" xfId="3" applyFont="1" applyBorder="1" applyProtection="1"/>
    <xf numFmtId="2" fontId="7" fillId="0" borderId="17" xfId="3" applyBorder="1" applyProtection="1"/>
    <xf numFmtId="2" fontId="7" fillId="0" borderId="3" xfId="3" applyBorder="1" applyProtection="1"/>
    <xf numFmtId="2" fontId="7" fillId="0" borderId="2" xfId="3" applyBorder="1" applyProtection="1"/>
    <xf numFmtId="2" fontId="7" fillId="0" borderId="1" xfId="3" applyBorder="1" applyProtection="1"/>
    <xf numFmtId="2" fontId="7" fillId="0" borderId="26" xfId="3" applyBorder="1" applyProtection="1"/>
    <xf numFmtId="2" fontId="6" fillId="0" borderId="0" xfId="3" applyFont="1" applyBorder="1" applyAlignment="1" applyProtection="1">
      <alignment horizontal="center" wrapText="1"/>
    </xf>
    <xf numFmtId="2" fontId="6" fillId="0" borderId="34" xfId="3" applyFont="1" applyBorder="1" applyAlignment="1" applyProtection="1">
      <alignment horizontal="center"/>
    </xf>
    <xf numFmtId="2" fontId="6" fillId="0" borderId="0" xfId="3" applyFont="1" applyBorder="1" applyAlignment="1" applyProtection="1">
      <alignment horizontal="center"/>
    </xf>
    <xf numFmtId="2" fontId="7" fillId="0" borderId="35" xfId="3" applyFont="1" applyFill="1" applyBorder="1" applyAlignment="1" applyProtection="1">
      <alignment horizontal="center"/>
    </xf>
    <xf numFmtId="2" fontId="7" fillId="0" borderId="0" xfId="3" applyFill="1" applyBorder="1" applyAlignment="1" applyProtection="1">
      <alignment horizontal="center"/>
    </xf>
    <xf numFmtId="2" fontId="7" fillId="0" borderId="27" xfId="3" applyNumberFormat="1" applyBorder="1" applyAlignment="1" applyProtection="1">
      <alignment horizontal="left" indent="1"/>
    </xf>
    <xf numFmtId="2" fontId="7" fillId="0" borderId="38" xfId="3" applyNumberFormat="1" applyBorder="1" applyAlignment="1" applyProtection="1">
      <alignment horizontal="left" indent="1"/>
    </xf>
    <xf numFmtId="167" fontId="9" fillId="0" borderId="28" xfId="3" applyNumberFormat="1" applyFont="1" applyBorder="1" applyAlignment="1" applyProtection="1">
      <alignment horizontal="right" indent="3"/>
    </xf>
    <xf numFmtId="2" fontId="7" fillId="0" borderId="15" xfId="3" applyNumberFormat="1" applyBorder="1" applyProtection="1"/>
    <xf numFmtId="166" fontId="9" fillId="0" borderId="28" xfId="3" applyNumberFormat="1" applyFont="1" applyBorder="1" applyAlignment="1" applyProtection="1">
      <alignment horizontal="right" indent="3"/>
    </xf>
    <xf numFmtId="2" fontId="7" fillId="0" borderId="41" xfId="3" applyBorder="1" applyProtection="1"/>
    <xf numFmtId="2" fontId="7" fillId="0" borderId="0" xfId="3" applyBorder="1" applyAlignment="1" applyProtection="1">
      <alignment horizontal="center"/>
    </xf>
    <xf numFmtId="2" fontId="6" fillId="0" borderId="3" xfId="3" applyNumberFormat="1" applyFont="1" applyBorder="1" applyAlignment="1" applyProtection="1">
      <alignment horizontal="left" indent="3"/>
    </xf>
    <xf numFmtId="2" fontId="6" fillId="0" borderId="29" xfId="3" applyNumberFormat="1" applyFont="1" applyBorder="1" applyAlignment="1" applyProtection="1">
      <alignment horizontal="left" indent="1"/>
    </xf>
    <xf numFmtId="4" fontId="6" fillId="0" borderId="4" xfId="3" applyNumberFormat="1" applyFont="1" applyBorder="1" applyAlignment="1" applyProtection="1">
      <alignment horizontal="right" indent="7"/>
    </xf>
    <xf numFmtId="2" fontId="7" fillId="0" borderId="0" xfId="3" applyBorder="1" applyProtection="1"/>
    <xf numFmtId="164" fontId="6" fillId="0" borderId="4" xfId="3" applyNumberFormat="1" applyFont="1" applyBorder="1" applyAlignment="1" applyProtection="1">
      <alignment horizontal="right" indent="7"/>
    </xf>
    <xf numFmtId="164" fontId="6" fillId="0" borderId="17" xfId="3" applyNumberFormat="1" applyFont="1" applyFill="1" applyBorder="1" applyAlignment="1" applyProtection="1">
      <alignment horizontal="right" indent="8"/>
    </xf>
    <xf numFmtId="2" fontId="7" fillId="0" borderId="3" xfId="3" applyBorder="1" applyAlignment="1" applyProtection="1">
      <alignment horizontal="left" indent="3"/>
    </xf>
    <xf numFmtId="2" fontId="7" fillId="0" borderId="29" xfId="3" applyBorder="1" applyAlignment="1" applyProtection="1">
      <alignment horizontal="left" indent="1"/>
    </xf>
    <xf numFmtId="167" fontId="6" fillId="0" borderId="0" xfId="3" applyNumberFormat="1" applyFont="1" applyBorder="1" applyAlignment="1" applyProtection="1">
      <alignment horizontal="right" indent="8"/>
    </xf>
    <xf numFmtId="164" fontId="6" fillId="0" borderId="4" xfId="3" applyNumberFormat="1" applyFont="1" applyBorder="1" applyAlignment="1" applyProtection="1">
      <alignment horizontal="right" indent="8"/>
    </xf>
    <xf numFmtId="167" fontId="6" fillId="0" borderId="4" xfId="3" applyNumberFormat="1" applyFont="1" applyBorder="1" applyAlignment="1" applyProtection="1">
      <alignment horizontal="right" indent="7"/>
    </xf>
    <xf numFmtId="2" fontId="7" fillId="0" borderId="3" xfId="3" applyNumberFormat="1" applyBorder="1" applyAlignment="1" applyProtection="1">
      <alignment horizontal="left" indent="3"/>
    </xf>
    <xf numFmtId="2" fontId="7" fillId="0" borderId="29" xfId="3" applyNumberFormat="1" applyBorder="1" applyAlignment="1" applyProtection="1">
      <alignment horizontal="left" indent="1"/>
    </xf>
    <xf numFmtId="2" fontId="7" fillId="0" borderId="3" xfId="3" applyNumberFormat="1" applyFont="1" applyBorder="1" applyAlignment="1" applyProtection="1">
      <alignment horizontal="left" indent="3"/>
    </xf>
    <xf numFmtId="2" fontId="7" fillId="0" borderId="29" xfId="3" applyNumberFormat="1" applyFont="1" applyBorder="1" applyAlignment="1" applyProtection="1">
      <alignment horizontal="left" indent="1"/>
    </xf>
    <xf numFmtId="164" fontId="7" fillId="0" borderId="17" xfId="3" applyNumberFormat="1" applyFont="1" applyFill="1" applyBorder="1" applyAlignment="1" applyProtection="1">
      <alignment horizontal="right" indent="8"/>
    </xf>
    <xf numFmtId="2" fontId="6" fillId="0" borderId="3" xfId="3" applyFont="1" applyBorder="1" applyAlignment="1" applyProtection="1">
      <alignment horizontal="left" indent="3"/>
    </xf>
    <xf numFmtId="2" fontId="6" fillId="0" borderId="29" xfId="3" applyFont="1" applyBorder="1" applyAlignment="1" applyProtection="1">
      <alignment horizontal="left" indent="1"/>
    </xf>
    <xf numFmtId="2" fontId="7" fillId="0" borderId="3" xfId="3" applyBorder="1" applyAlignment="1" applyProtection="1">
      <alignment horizontal="left" indent="1"/>
    </xf>
    <xf numFmtId="2" fontId="7" fillId="0" borderId="40" xfId="3" applyBorder="1" applyAlignment="1" applyProtection="1">
      <alignment horizontal="left" indent="1"/>
    </xf>
    <xf numFmtId="167" fontId="9" fillId="0" borderId="4" xfId="3" applyNumberFormat="1" applyFont="1" applyBorder="1" applyAlignment="1" applyProtection="1">
      <alignment horizontal="right" indent="6"/>
    </xf>
    <xf numFmtId="166" fontId="9" fillId="0" borderId="4" xfId="3" applyNumberFormat="1" applyFont="1" applyBorder="1" applyAlignment="1" applyProtection="1">
      <alignment horizontal="right" indent="3"/>
    </xf>
    <xf numFmtId="2" fontId="7" fillId="0" borderId="33" xfId="3" applyBorder="1" applyProtection="1"/>
    <xf numFmtId="164" fontId="7" fillId="0" borderId="0" xfId="3" applyNumberFormat="1" applyFont="1" applyFill="1" applyBorder="1" applyAlignment="1" applyProtection="1">
      <alignment horizontal="center"/>
    </xf>
    <xf numFmtId="164" fontId="6" fillId="0" borderId="0" xfId="3" applyNumberFormat="1" applyFont="1" applyFill="1" applyBorder="1" applyAlignment="1" applyProtection="1">
      <alignment horizontal="center"/>
    </xf>
    <xf numFmtId="2" fontId="6" fillId="0" borderId="3" xfId="3" applyFont="1" applyBorder="1" applyAlignment="1" applyProtection="1">
      <alignment horizontal="center"/>
    </xf>
    <xf numFmtId="2" fontId="6" fillId="0" borderId="17" xfId="3" applyFont="1" applyBorder="1" applyAlignment="1" applyProtection="1">
      <alignment horizontal="center"/>
    </xf>
    <xf numFmtId="2" fontId="6" fillId="0" borderId="0" xfId="3" applyFont="1" applyFill="1" applyBorder="1" applyAlignment="1" applyProtection="1">
      <alignment horizontal="right" vertical="center"/>
    </xf>
    <xf numFmtId="2" fontId="7" fillId="0" borderId="0" xfId="3" applyFont="1" applyBorder="1" applyProtection="1"/>
    <xf numFmtId="2" fontId="7" fillId="0" borderId="0" xfId="3" applyFill="1" applyBorder="1" applyAlignment="1" applyProtection="1">
      <alignment horizontal="right" vertical="center"/>
    </xf>
    <xf numFmtId="2" fontId="26" fillId="0" borderId="15" xfId="3" applyFont="1" applyBorder="1" applyAlignment="1" applyProtection="1">
      <alignment horizontal="left" indent="3"/>
    </xf>
    <xf numFmtId="2" fontId="35" fillId="0" borderId="15" xfId="3" applyFont="1" applyBorder="1" applyProtection="1"/>
    <xf numFmtId="2" fontId="34" fillId="0" borderId="15" xfId="3" applyFont="1" applyBorder="1" applyProtection="1"/>
    <xf numFmtId="2" fontId="26" fillId="0" borderId="0" xfId="3" applyFont="1" applyBorder="1" applyAlignment="1" applyProtection="1">
      <alignment horizontal="left" indent="3"/>
    </xf>
    <xf numFmtId="2" fontId="35" fillId="0" borderId="0" xfId="3" applyFont="1" applyBorder="1" applyProtection="1"/>
    <xf numFmtId="2" fontId="34" fillId="0" borderId="0" xfId="3" applyFont="1" applyBorder="1" applyProtection="1"/>
    <xf numFmtId="164" fontId="6" fillId="0" borderId="0" xfId="0" applyNumberFormat="1" applyFont="1" applyBorder="1" applyAlignment="1" applyProtection="1">
      <alignment horizontal="right" indent="7"/>
    </xf>
    <xf numFmtId="2" fontId="0" fillId="0" borderId="8" xfId="0" applyBorder="1" applyAlignment="1" applyProtection="1">
      <alignment horizontal="left" vertical="center"/>
    </xf>
    <xf numFmtId="2" fontId="7" fillId="0" borderId="49" xfId="0" applyFont="1" applyBorder="1" applyAlignment="1" applyProtection="1">
      <alignment horizontal="left" vertical="center"/>
    </xf>
    <xf numFmtId="2" fontId="7" fillId="0" borderId="66" xfId="0" applyFont="1" applyFill="1" applyBorder="1" applyAlignment="1" applyProtection="1">
      <alignment horizontal="left" vertical="center" wrapText="1"/>
    </xf>
    <xf numFmtId="2" fontId="7" fillId="0" borderId="67" xfId="0" applyFont="1" applyFill="1" applyBorder="1" applyAlignment="1" applyProtection="1">
      <alignment horizontal="left"/>
    </xf>
    <xf numFmtId="2" fontId="7" fillId="0" borderId="67" xfId="0" applyFont="1" applyBorder="1" applyAlignment="1" applyProtection="1">
      <alignment vertical="center"/>
    </xf>
    <xf numFmtId="2" fontId="7" fillId="0" borderId="67" xfId="0" applyFont="1" applyBorder="1" applyAlignment="1" applyProtection="1">
      <alignment vertical="center" wrapText="1"/>
    </xf>
    <xf numFmtId="2" fontId="7" fillId="0" borderId="68" xfId="0" applyFont="1" applyBorder="1" applyAlignment="1" applyProtection="1">
      <alignment vertical="center"/>
    </xf>
    <xf numFmtId="2" fontId="7" fillId="0" borderId="69" xfId="0" applyFont="1" applyFill="1" applyBorder="1" applyAlignment="1" applyProtection="1">
      <alignment vertical="center"/>
    </xf>
    <xf numFmtId="2" fontId="7" fillId="0" borderId="30" xfId="0" applyFont="1" applyBorder="1" applyProtection="1"/>
    <xf numFmtId="2" fontId="18" fillId="0" borderId="32" xfId="0" applyFont="1" applyBorder="1" applyAlignment="1" applyProtection="1">
      <alignment horizontal="center"/>
      <protection locked="0"/>
    </xf>
    <xf numFmtId="2" fontId="7" fillId="0" borderId="12" xfId="0" applyFont="1" applyBorder="1" applyProtection="1"/>
    <xf numFmtId="2" fontId="18" fillId="0" borderId="8" xfId="0" applyFont="1" applyBorder="1" applyAlignment="1" applyProtection="1">
      <alignment horizontal="center"/>
    </xf>
    <xf numFmtId="2" fontId="18" fillId="0" borderId="8" xfId="0" applyFont="1" applyBorder="1" applyAlignment="1" applyProtection="1">
      <alignment horizontal="center"/>
      <protection locked="0"/>
    </xf>
    <xf numFmtId="2" fontId="0" fillId="0" borderId="12" xfId="0" applyBorder="1" applyProtection="1"/>
    <xf numFmtId="2" fontId="0" fillId="0" borderId="8" xfId="0" applyBorder="1" applyAlignment="1" applyProtection="1">
      <alignment horizontal="center"/>
    </xf>
    <xf numFmtId="2" fontId="0" fillId="0" borderId="22" xfId="0" applyBorder="1" applyProtection="1"/>
    <xf numFmtId="2" fontId="0" fillId="0" borderId="9" xfId="0" applyBorder="1" applyAlignment="1" applyProtection="1">
      <alignment horizontal="center"/>
    </xf>
    <xf numFmtId="2" fontId="18" fillId="0" borderId="10" xfId="0" applyFont="1" applyFill="1" applyBorder="1" applyAlignment="1" applyProtection="1">
      <alignment horizontal="center" vertical="center" wrapText="1"/>
      <protection locked="0"/>
    </xf>
    <xf numFmtId="2" fontId="7" fillId="0" borderId="36" xfId="0" applyFont="1" applyFill="1" applyBorder="1" applyAlignment="1" applyProtection="1">
      <alignment vertical="center" wrapText="1"/>
    </xf>
    <xf numFmtId="2" fontId="18" fillId="0" borderId="44" xfId="0" applyFont="1" applyBorder="1" applyAlignment="1" applyProtection="1">
      <alignment horizontal="center" vertical="center" wrapText="1"/>
      <protection locked="0"/>
    </xf>
    <xf numFmtId="2" fontId="18" fillId="0" borderId="24" xfId="0" applyFont="1" applyBorder="1" applyAlignment="1" applyProtection="1">
      <alignment horizontal="center" vertical="center" wrapText="1"/>
      <protection locked="0"/>
    </xf>
    <xf numFmtId="2" fontId="7" fillId="0" borderId="30" xfId="0" applyFont="1" applyFill="1" applyBorder="1" applyAlignment="1" applyProtection="1">
      <alignment vertical="center" wrapText="1"/>
    </xf>
    <xf numFmtId="2" fontId="7" fillId="0" borderId="12" xfId="0" applyFont="1" applyFill="1" applyBorder="1" applyAlignment="1" applyProtection="1">
      <alignment horizontal="left" vertical="center" wrapText="1" indent="1"/>
    </xf>
    <xf numFmtId="2" fontId="6" fillId="4" borderId="27" xfId="3" applyFont="1" applyFill="1" applyBorder="1" applyProtection="1"/>
    <xf numFmtId="2" fontId="6" fillId="4" borderId="25" xfId="3" applyFont="1" applyFill="1" applyBorder="1" applyProtection="1"/>
    <xf numFmtId="2" fontId="6" fillId="3" borderId="6" xfId="3" applyFont="1" applyFill="1" applyBorder="1" applyAlignment="1" applyProtection="1">
      <alignment horizontal="center"/>
    </xf>
    <xf numFmtId="2" fontId="7" fillId="0" borderId="12" xfId="3" applyFont="1" applyBorder="1" applyAlignment="1" applyProtection="1">
      <alignment vertical="center" wrapText="1"/>
    </xf>
    <xf numFmtId="2" fontId="7" fillId="4" borderId="6" xfId="3" applyFont="1" applyFill="1" applyBorder="1" applyAlignment="1" applyProtection="1">
      <alignment horizontal="center"/>
    </xf>
    <xf numFmtId="2" fontId="7" fillId="0" borderId="55" xfId="3" applyFont="1" applyBorder="1" applyAlignment="1" applyProtection="1">
      <alignment wrapText="1"/>
    </xf>
    <xf numFmtId="9" fontId="0" fillId="0" borderId="0" xfId="8" applyFont="1" applyProtection="1"/>
    <xf numFmtId="2" fontId="7" fillId="0" borderId="22" xfId="3" applyFont="1" applyBorder="1" applyProtection="1"/>
    <xf numFmtId="9" fontId="7" fillId="4" borderId="6" xfId="8" applyFont="1" applyFill="1" applyBorder="1" applyAlignment="1" applyProtection="1">
      <alignment horizontal="center"/>
    </xf>
    <xf numFmtId="2" fontId="7" fillId="0" borderId="55" xfId="0" applyFont="1" applyBorder="1" applyAlignment="1" applyProtection="1">
      <alignment vertical="center" wrapText="1"/>
    </xf>
    <xf numFmtId="2" fontId="18" fillId="0" borderId="21" xfId="0" applyFont="1" applyBorder="1" applyAlignment="1" applyProtection="1">
      <alignment horizontal="center" vertical="center" wrapText="1"/>
      <protection locked="0"/>
    </xf>
    <xf numFmtId="2" fontId="18" fillId="0" borderId="8" xfId="0" applyFont="1" applyBorder="1" applyAlignment="1" applyProtection="1">
      <alignment horizontal="center" vertical="center" wrapText="1"/>
      <protection locked="0"/>
    </xf>
    <xf numFmtId="2" fontId="7" fillId="0" borderId="55" xfId="0" applyFont="1" applyFill="1" applyBorder="1" applyAlignment="1" applyProtection="1">
      <alignment horizontal="left" vertical="center" wrapText="1" indent="1"/>
    </xf>
    <xf numFmtId="2" fontId="18" fillId="0" borderId="8" xfId="0" applyFont="1" applyBorder="1" applyAlignment="1" applyProtection="1">
      <alignment horizontal="center" vertical="center"/>
      <protection locked="0"/>
    </xf>
    <xf numFmtId="2" fontId="29" fillId="0" borderId="52" xfId="0" applyFont="1" applyFill="1" applyBorder="1" applyAlignment="1" applyProtection="1">
      <alignment horizontal="center" vertical="center" wrapText="1"/>
    </xf>
    <xf numFmtId="2" fontId="6" fillId="4" borderId="45" xfId="0" applyFont="1" applyFill="1" applyBorder="1" applyAlignment="1">
      <alignment horizontal="center"/>
    </xf>
    <xf numFmtId="2" fontId="0" fillId="0" borderId="53" xfId="0" applyBorder="1" applyAlignment="1">
      <alignment horizontal="center"/>
    </xf>
    <xf numFmtId="2" fontId="7" fillId="0" borderId="22" xfId="0" applyFont="1" applyBorder="1" applyAlignment="1" applyProtection="1">
      <alignment horizontal="left" indent="1"/>
    </xf>
    <xf numFmtId="2" fontId="0" fillId="0" borderId="6" xfId="0" applyFill="1" applyBorder="1" applyAlignment="1">
      <alignment horizontal="center"/>
    </xf>
    <xf numFmtId="2" fontId="7" fillId="0" borderId="6" xfId="0" applyFont="1" applyFill="1" applyBorder="1" applyAlignment="1">
      <alignment horizontal="center"/>
    </xf>
    <xf numFmtId="2" fontId="7" fillId="0" borderId="8" xfId="0" applyFont="1" applyFill="1" applyBorder="1"/>
    <xf numFmtId="2" fontId="7" fillId="0" borderId="9" xfId="0" applyFont="1" applyFill="1" applyBorder="1"/>
    <xf numFmtId="2" fontId="6" fillId="4" borderId="30" xfId="0" applyFont="1" applyFill="1" applyBorder="1"/>
    <xf numFmtId="2" fontId="6" fillId="4" borderId="31" xfId="0" applyFont="1" applyFill="1" applyBorder="1"/>
    <xf numFmtId="2" fontId="6" fillId="4" borderId="31" xfId="0" applyFont="1" applyFill="1" applyBorder="1" applyAlignment="1">
      <alignment horizontal="center"/>
    </xf>
    <xf numFmtId="2" fontId="6" fillId="4" borderId="32" xfId="0" applyFont="1" applyFill="1" applyBorder="1"/>
    <xf numFmtId="2" fontId="7" fillId="0" borderId="24" xfId="0" applyFont="1" applyBorder="1"/>
    <xf numFmtId="2" fontId="7" fillId="0" borderId="49" xfId="0" applyFont="1" applyBorder="1"/>
    <xf numFmtId="2" fontId="6" fillId="4" borderId="12" xfId="0" applyFont="1" applyFill="1" applyBorder="1" applyAlignment="1">
      <alignment horizontal="left"/>
    </xf>
    <xf numFmtId="2" fontId="0" fillId="0" borderId="22" xfId="0" applyFill="1" applyBorder="1"/>
    <xf numFmtId="2" fontId="7" fillId="0" borderId="6" xfId="3" applyFont="1" applyBorder="1" applyAlignment="1" applyProtection="1">
      <alignment vertical="center" wrapText="1"/>
    </xf>
    <xf numFmtId="2" fontId="7" fillId="4" borderId="6" xfId="3" applyFill="1" applyBorder="1" applyAlignment="1" applyProtection="1">
      <alignment horizontal="center"/>
    </xf>
    <xf numFmtId="164" fontId="18" fillId="0" borderId="24" xfId="0" applyNumberFormat="1" applyFont="1" applyBorder="1" applyAlignment="1" applyProtection="1">
      <alignment horizontal="center" vertical="center" wrapText="1"/>
      <protection locked="0"/>
    </xf>
    <xf numFmtId="168" fontId="29" fillId="0" borderId="24" xfId="10" applyNumberFormat="1" applyFont="1" applyFill="1" applyBorder="1" applyAlignment="1" applyProtection="1">
      <alignment horizontal="center" vertical="center" wrapText="1"/>
    </xf>
    <xf numFmtId="168" fontId="29" fillId="0" borderId="24" xfId="0" applyNumberFormat="1" applyFont="1" applyFill="1" applyBorder="1" applyAlignment="1" applyProtection="1">
      <alignment horizontal="center" vertical="center" wrapText="1"/>
    </xf>
    <xf numFmtId="168" fontId="29" fillId="0" borderId="9" xfId="8" applyNumberFormat="1" applyFont="1" applyBorder="1" applyAlignment="1" applyProtection="1">
      <alignment horizontal="center" vertical="center"/>
    </xf>
    <xf numFmtId="2" fontId="7" fillId="0" borderId="0" xfId="3" applyFill="1" applyProtection="1"/>
    <xf numFmtId="2" fontId="37" fillId="0" borderId="9" xfId="0" applyFont="1" applyBorder="1"/>
    <xf numFmtId="1" fontId="7" fillId="0" borderId="12" xfId="0" applyNumberFormat="1" applyFont="1" applyBorder="1" applyAlignment="1">
      <alignment horizontal="left" vertical="center"/>
    </xf>
    <xf numFmtId="2" fontId="0" fillId="0" borderId="8" xfId="0" applyBorder="1"/>
    <xf numFmtId="1" fontId="7" fillId="0" borderId="22" xfId="0" applyNumberFormat="1" applyFont="1" applyBorder="1" applyAlignment="1">
      <alignment horizontal="left" vertical="center"/>
    </xf>
    <xf numFmtId="1" fontId="7" fillId="0" borderId="7" xfId="0" applyNumberFormat="1" applyFont="1" applyBorder="1" applyAlignment="1">
      <alignment horizontal="center" vertical="center"/>
    </xf>
    <xf numFmtId="1" fontId="0" fillId="0" borderId="7" xfId="0" applyNumberFormat="1" applyBorder="1" applyAlignment="1">
      <alignment horizontal="center" vertical="center"/>
    </xf>
    <xf numFmtId="165" fontId="0" fillId="0" borderId="7" xfId="0" applyNumberFormat="1" applyBorder="1" applyAlignment="1">
      <alignment horizontal="center"/>
    </xf>
    <xf numFmtId="2" fontId="0" fillId="0" borderId="9" xfId="0" applyBorder="1"/>
    <xf numFmtId="0" fontId="3" fillId="0" borderId="0" xfId="9" applyFont="1" applyAlignment="1"/>
    <xf numFmtId="168" fontId="29" fillId="0" borderId="24" xfId="0" applyNumberFormat="1" applyFont="1" applyBorder="1" applyAlignment="1" applyProtection="1">
      <alignment horizontal="center" vertical="center" wrapText="1"/>
    </xf>
    <xf numFmtId="168" fontId="29" fillId="0" borderId="6" xfId="3" applyNumberFormat="1" applyFont="1" applyBorder="1" applyAlignment="1" applyProtection="1">
      <alignment horizontal="center" vertical="center"/>
    </xf>
    <xf numFmtId="2" fontId="0" fillId="4" borderId="6" xfId="0" applyFill="1" applyBorder="1" applyAlignment="1" applyProtection="1">
      <alignment horizontal="center"/>
    </xf>
    <xf numFmtId="2" fontId="19" fillId="0" borderId="0" xfId="1" applyProtection="1"/>
    <xf numFmtId="2" fontId="0" fillId="4" borderId="6" xfId="0" applyFill="1" applyBorder="1" applyProtection="1"/>
    <xf numFmtId="2" fontId="18" fillId="0" borderId="74" xfId="0" applyFont="1" applyBorder="1" applyAlignment="1" applyProtection="1">
      <alignment horizontal="center" vertical="center" wrapText="1"/>
      <protection locked="0"/>
    </xf>
    <xf numFmtId="2" fontId="0" fillId="0" borderId="0" xfId="0" applyProtection="1"/>
    <xf numFmtId="2" fontId="7" fillId="0" borderId="6" xfId="0" applyFont="1" applyBorder="1" applyAlignment="1" applyProtection="1">
      <alignment vertical="center" wrapText="1"/>
      <protection locked="0"/>
    </xf>
    <xf numFmtId="2" fontId="7" fillId="0" borderId="6" xfId="0" applyFont="1" applyBorder="1" applyAlignment="1" applyProtection="1">
      <alignment horizontal="center" vertical="center"/>
      <protection locked="0"/>
    </xf>
    <xf numFmtId="2" fontId="7" fillId="0" borderId="12" xfId="0" applyFont="1" applyBorder="1" applyAlignment="1" applyProtection="1">
      <alignment vertical="center" wrapText="1"/>
    </xf>
    <xf numFmtId="2" fontId="7" fillId="0" borderId="30" xfId="0" applyFont="1" applyBorder="1" applyAlignment="1" applyProtection="1">
      <alignment vertical="center" wrapText="1"/>
    </xf>
    <xf numFmtId="2" fontId="7" fillId="0" borderId="22" xfId="0" applyFont="1" applyBorder="1" applyAlignment="1" applyProtection="1">
      <alignment vertical="center" wrapText="1"/>
    </xf>
    <xf numFmtId="2" fontId="6" fillId="3" borderId="6" xfId="0" applyFont="1" applyFill="1" applyBorder="1" applyProtection="1"/>
    <xf numFmtId="2" fontId="19" fillId="0" borderId="6" xfId="1" applyBorder="1" applyAlignment="1" applyProtection="1">
      <alignment vertical="center"/>
      <protection locked="0"/>
    </xf>
    <xf numFmtId="2" fontId="7" fillId="0" borderId="0" xfId="0" applyFont="1" applyAlignment="1" applyProtection="1">
      <alignment horizontal="left" vertical="center" wrapText="1"/>
    </xf>
    <xf numFmtId="2" fontId="17" fillId="0" borderId="0" xfId="0" applyFont="1" applyAlignment="1" applyProtection="1">
      <alignment horizontal="left" vertical="top"/>
    </xf>
    <xf numFmtId="2" fontId="7" fillId="0" borderId="20" xfId="0" applyFont="1" applyBorder="1" applyAlignment="1" applyProtection="1">
      <alignment horizontal="left" vertical="center"/>
    </xf>
    <xf numFmtId="2" fontId="0" fillId="0" borderId="21" xfId="0" applyBorder="1" applyAlignment="1" applyProtection="1">
      <alignment horizontal="left" vertical="center"/>
    </xf>
    <xf numFmtId="2" fontId="6" fillId="0" borderId="4" xfId="3" applyFont="1" applyBorder="1" applyAlignment="1" applyProtection="1">
      <alignment horizontal="center"/>
    </xf>
    <xf numFmtId="4" fontId="18" fillId="0" borderId="6" xfId="3" applyNumberFormat="1" applyFont="1" applyBorder="1" applyAlignment="1" applyProtection="1">
      <alignment horizontal="center" vertical="center"/>
      <protection locked="0"/>
    </xf>
    <xf numFmtId="164" fontId="18" fillId="0" borderId="6" xfId="3" applyNumberFormat="1" applyFont="1" applyBorder="1" applyAlignment="1" applyProtection="1">
      <alignment horizontal="center" vertical="center"/>
      <protection locked="0"/>
    </xf>
    <xf numFmtId="4" fontId="18" fillId="0" borderId="8" xfId="3" applyNumberFormat="1" applyFont="1" applyBorder="1" applyAlignment="1" applyProtection="1">
      <alignment horizontal="center" vertical="center"/>
      <protection locked="0"/>
    </xf>
    <xf numFmtId="164" fontId="18" fillId="0" borderId="8" xfId="8" applyNumberFormat="1" applyFont="1" applyBorder="1" applyAlignment="1" applyProtection="1">
      <alignment horizontal="center" vertical="center"/>
      <protection locked="0"/>
    </xf>
    <xf numFmtId="2" fontId="6" fillId="4" borderId="11" xfId="0" applyFont="1" applyFill="1" applyBorder="1" applyAlignment="1" applyProtection="1">
      <alignment horizontal="left" vertical="center" wrapText="1"/>
    </xf>
    <xf numFmtId="2" fontId="6" fillId="4" borderId="10" xfId="0" applyFont="1" applyFill="1" applyBorder="1" applyAlignment="1" applyProtection="1">
      <alignment horizontal="left" vertical="center" wrapText="1"/>
    </xf>
    <xf numFmtId="2" fontId="7" fillId="0" borderId="14" xfId="0" applyFont="1" applyBorder="1" applyAlignment="1" applyProtection="1">
      <alignment vertical="center" wrapText="1"/>
    </xf>
    <xf numFmtId="2" fontId="0" fillId="0" borderId="6" xfId="0" quotePrefix="1" applyBorder="1" applyAlignment="1" applyProtection="1">
      <alignment horizontal="center" vertical="center"/>
      <protection locked="0"/>
    </xf>
    <xf numFmtId="0" fontId="1" fillId="0" borderId="0" xfId="9" applyFont="1" applyAlignment="1"/>
    <xf numFmtId="2" fontId="6" fillId="0" borderId="0" xfId="0" applyFont="1" applyAlignment="1" applyProtection="1">
      <alignment horizontal="left" vertical="center" wrapText="1"/>
    </xf>
    <xf numFmtId="2" fontId="16" fillId="0" borderId="0" xfId="0" applyFont="1" applyAlignment="1" applyProtection="1">
      <alignment horizontal="left" vertical="center" wrapText="1"/>
    </xf>
    <xf numFmtId="2" fontId="26" fillId="0" borderId="0" xfId="0" applyFont="1" applyAlignment="1" applyProtection="1">
      <alignment horizontal="left" vertical="center" wrapText="1"/>
    </xf>
    <xf numFmtId="2" fontId="7" fillId="0" borderId="0" xfId="0" applyFont="1" applyAlignment="1" applyProtection="1">
      <alignment horizontal="left" vertical="center" wrapText="1"/>
    </xf>
    <xf numFmtId="2" fontId="19" fillId="0" borderId="0" xfId="1" applyAlignment="1" applyProtection="1">
      <alignment horizontal="left" vertical="center" wrapText="1"/>
    </xf>
    <xf numFmtId="2" fontId="7" fillId="0" borderId="0" xfId="0" applyFont="1" applyAlignment="1" applyProtection="1">
      <alignment horizontal="left" wrapText="1"/>
    </xf>
    <xf numFmtId="2" fontId="7" fillId="0" borderId="45" xfId="0" applyFont="1" applyBorder="1" applyAlignment="1" applyProtection="1">
      <alignment horizontal="left" vertical="top" wrapText="1"/>
    </xf>
    <xf numFmtId="2" fontId="7" fillId="0" borderId="24" xfId="0" applyFont="1" applyBorder="1" applyAlignment="1" applyProtection="1">
      <alignment horizontal="left" vertical="top" wrapText="1"/>
    </xf>
    <xf numFmtId="2" fontId="7" fillId="0" borderId="53" xfId="0" applyFont="1" applyBorder="1" applyAlignment="1" applyProtection="1">
      <alignment horizontal="left" vertical="top" wrapText="1"/>
    </xf>
    <xf numFmtId="2" fontId="7" fillId="0" borderId="52" xfId="0" applyFont="1" applyBorder="1" applyAlignment="1" applyProtection="1">
      <alignment horizontal="left" vertical="top" wrapText="1"/>
    </xf>
    <xf numFmtId="49" fontId="7" fillId="0" borderId="70" xfId="0" applyNumberFormat="1" applyFont="1" applyBorder="1" applyAlignment="1" applyProtection="1">
      <alignment horizontal="left" vertical="top"/>
    </xf>
    <xf numFmtId="49" fontId="7" fillId="0" borderId="71" xfId="0" applyNumberFormat="1" applyFont="1" applyBorder="1" applyAlignment="1" applyProtection="1">
      <alignment horizontal="left" vertical="top"/>
    </xf>
    <xf numFmtId="2" fontId="0" fillId="0" borderId="72" xfId="0" applyBorder="1" applyAlignment="1" applyProtection="1">
      <alignment horizontal="left" vertical="top"/>
    </xf>
    <xf numFmtId="2" fontId="0" fillId="0" borderId="73" xfId="0" applyBorder="1" applyAlignment="1" applyProtection="1">
      <alignment horizontal="left" vertical="top"/>
    </xf>
    <xf numFmtId="2" fontId="19" fillId="0" borderId="45" xfId="1" applyBorder="1" applyAlignment="1" applyProtection="1">
      <alignment horizontal="center" vertical="center" wrapText="1"/>
    </xf>
    <xf numFmtId="2" fontId="0" fillId="0" borderId="24" xfId="0" applyBorder="1" applyAlignment="1" applyProtection="1">
      <alignment horizontal="center" vertical="center" wrapText="1"/>
    </xf>
    <xf numFmtId="49" fontId="7" fillId="0" borderId="13" xfId="0" applyNumberFormat="1" applyFont="1" applyBorder="1" applyAlignment="1" applyProtection="1">
      <alignment horizontal="left" vertical="top" wrapText="1"/>
    </xf>
    <xf numFmtId="2" fontId="0" fillId="0" borderId="49" xfId="0" applyBorder="1" applyAlignment="1" applyProtection="1">
      <alignment horizontal="left" vertical="top"/>
    </xf>
    <xf numFmtId="2" fontId="0" fillId="0" borderId="24" xfId="0" applyBorder="1" applyAlignment="1" applyProtection="1">
      <alignment horizontal="left" vertical="top" wrapText="1"/>
    </xf>
    <xf numFmtId="49" fontId="7" fillId="0" borderId="12" xfId="0" applyNumberFormat="1" applyFont="1" applyBorder="1" applyAlignment="1" applyProtection="1">
      <alignment horizontal="left" vertical="top"/>
    </xf>
    <xf numFmtId="49" fontId="7" fillId="0" borderId="6" xfId="0" applyNumberFormat="1" applyFont="1" applyBorder="1" applyAlignment="1" applyProtection="1">
      <alignment horizontal="left" vertical="top"/>
    </xf>
    <xf numFmtId="49" fontId="7" fillId="0" borderId="22" xfId="0" applyNumberFormat="1" applyFont="1" applyBorder="1" applyAlignment="1" applyProtection="1">
      <alignment horizontal="left" vertical="top"/>
    </xf>
    <xf numFmtId="49" fontId="7" fillId="0" borderId="7" xfId="0" applyNumberFormat="1" applyFont="1" applyBorder="1" applyAlignment="1" applyProtection="1">
      <alignment horizontal="left" vertical="top"/>
    </xf>
    <xf numFmtId="2" fontId="0" fillId="0" borderId="23" xfId="0" applyBorder="1" applyAlignment="1" applyProtection="1">
      <alignment horizontal="left" vertical="center"/>
    </xf>
    <xf numFmtId="2" fontId="0" fillId="0" borderId="24" xfId="0" applyBorder="1" applyAlignment="1" applyProtection="1">
      <alignment horizontal="left" vertical="center"/>
    </xf>
    <xf numFmtId="2" fontId="17" fillId="0" borderId="0" xfId="0" applyFont="1" applyAlignment="1" applyProtection="1">
      <alignment horizontal="left" vertical="top"/>
    </xf>
    <xf numFmtId="2" fontId="7" fillId="0" borderId="0" xfId="0" applyFont="1" applyAlignment="1" applyProtection="1">
      <alignment horizontal="left" vertical="top" wrapText="1"/>
    </xf>
    <xf numFmtId="2" fontId="10" fillId="0" borderId="0" xfId="0" applyFont="1" applyAlignment="1" applyProtection="1">
      <alignment horizontal="left" vertical="top" wrapText="1"/>
    </xf>
    <xf numFmtId="2" fontId="10" fillId="0" borderId="0" xfId="0" applyFont="1" applyAlignment="1" applyProtection="1">
      <alignment horizontal="left" vertical="center" wrapText="1"/>
    </xf>
    <xf numFmtId="2" fontId="6" fillId="4" borderId="11" xfId="0" applyFont="1" applyFill="1" applyBorder="1" applyAlignment="1" applyProtection="1">
      <alignment horizontal="left"/>
    </xf>
    <xf numFmtId="2" fontId="8" fillId="4" borderId="19" xfId="0" applyFont="1" applyFill="1" applyBorder="1" applyAlignment="1" applyProtection="1">
      <alignment horizontal="left"/>
    </xf>
    <xf numFmtId="2" fontId="8" fillId="4" borderId="10" xfId="0" applyFont="1" applyFill="1" applyBorder="1" applyAlignment="1" applyProtection="1">
      <alignment horizontal="left"/>
    </xf>
    <xf numFmtId="2" fontId="23" fillId="0" borderId="0" xfId="0" applyFont="1" applyFill="1" applyAlignment="1" applyProtection="1">
      <alignment horizontal="left" vertical="center" wrapText="1"/>
    </xf>
    <xf numFmtId="2" fontId="7" fillId="0" borderId="14" xfId="0" applyFont="1" applyBorder="1" applyAlignment="1" applyProtection="1"/>
    <xf numFmtId="2" fontId="0" fillId="0" borderId="16" xfId="0" applyBorder="1" applyAlignment="1" applyProtection="1"/>
    <xf numFmtId="2" fontId="0" fillId="0" borderId="18" xfId="0" applyBorder="1" applyAlignment="1" applyProtection="1"/>
    <xf numFmtId="2" fontId="7" fillId="0" borderId="12" xfId="0" applyFont="1" applyBorder="1" applyAlignment="1" applyProtection="1"/>
    <xf numFmtId="2" fontId="0" fillId="0" borderId="6" xfId="0" applyBorder="1" applyAlignment="1" applyProtection="1"/>
    <xf numFmtId="2" fontId="0" fillId="0" borderId="8" xfId="0" applyBorder="1" applyAlignment="1" applyProtection="1"/>
    <xf numFmtId="2" fontId="7" fillId="6" borderId="22" xfId="0" applyFont="1" applyFill="1" applyBorder="1" applyAlignment="1" applyProtection="1"/>
    <xf numFmtId="2" fontId="0" fillId="6" borderId="7" xfId="0" applyFill="1" applyBorder="1" applyAlignment="1" applyProtection="1"/>
    <xf numFmtId="2" fontId="0" fillId="6" borderId="9" xfId="0" applyFill="1" applyBorder="1" applyAlignment="1" applyProtection="1"/>
    <xf numFmtId="2" fontId="6" fillId="4" borderId="19" xfId="0" applyFont="1" applyFill="1" applyBorder="1" applyAlignment="1" applyProtection="1">
      <alignment horizontal="left"/>
    </xf>
    <xf numFmtId="2" fontId="6" fillId="4" borderId="10" xfId="0" applyFont="1" applyFill="1" applyBorder="1" applyAlignment="1" applyProtection="1">
      <alignment horizontal="left"/>
    </xf>
    <xf numFmtId="2" fontId="7" fillId="0" borderId="20" xfId="0" applyFont="1" applyBorder="1" applyAlignment="1" applyProtection="1">
      <alignment horizontal="left" vertical="center"/>
    </xf>
    <xf numFmtId="2" fontId="0" fillId="0" borderId="21" xfId="0" applyBorder="1" applyAlignment="1" applyProtection="1">
      <alignment horizontal="left" vertical="center"/>
    </xf>
    <xf numFmtId="2" fontId="7" fillId="0" borderId="13" xfId="0" applyFont="1" applyBorder="1" applyAlignment="1" applyProtection="1"/>
    <xf numFmtId="2" fontId="0" fillId="0" borderId="23" xfId="0" applyBorder="1" applyAlignment="1" applyProtection="1"/>
    <xf numFmtId="2" fontId="0" fillId="0" borderId="24" xfId="0" applyBorder="1" applyAlignment="1" applyProtection="1"/>
    <xf numFmtId="2" fontId="7" fillId="0" borderId="23" xfId="0" applyFont="1" applyBorder="1" applyAlignment="1" applyProtection="1">
      <alignment horizontal="left" vertical="center"/>
    </xf>
    <xf numFmtId="2" fontId="7" fillId="0" borderId="23" xfId="0" applyFont="1" applyBorder="1" applyAlignment="1" applyProtection="1">
      <alignment horizontal="left" vertical="center" wrapText="1"/>
    </xf>
    <xf numFmtId="2" fontId="0" fillId="0" borderId="24" xfId="0" applyBorder="1" applyAlignment="1" applyProtection="1">
      <alignment horizontal="left" vertical="center" wrapText="1"/>
    </xf>
    <xf numFmtId="2" fontId="7" fillId="0" borderId="65" xfId="0" applyFont="1" applyFill="1" applyBorder="1" applyAlignment="1" applyProtection="1">
      <alignment horizontal="left" vertical="center" wrapText="1"/>
    </xf>
    <xf numFmtId="2" fontId="0" fillId="0" borderId="32" xfId="0" applyBorder="1" applyAlignment="1" applyProtection="1">
      <alignment horizontal="left" vertical="center" wrapText="1"/>
    </xf>
    <xf numFmtId="2" fontId="7" fillId="0" borderId="49" xfId="0" applyFont="1" applyFill="1" applyBorder="1" applyAlignment="1" applyProtection="1">
      <alignment horizontal="left"/>
    </xf>
    <xf numFmtId="2" fontId="7" fillId="0" borderId="8" xfId="0" applyFont="1" applyBorder="1" applyAlignment="1" applyProtection="1">
      <alignment horizontal="left"/>
    </xf>
    <xf numFmtId="2" fontId="6" fillId="4" borderId="11" xfId="0" applyFont="1" applyFill="1" applyBorder="1" applyAlignment="1" applyProtection="1">
      <alignment horizontal="left" vertical="center" wrapText="1"/>
    </xf>
    <xf numFmtId="2" fontId="6" fillId="4" borderId="10" xfId="0" applyFont="1" applyFill="1" applyBorder="1" applyAlignment="1" applyProtection="1">
      <alignment horizontal="left" vertical="center" wrapText="1"/>
    </xf>
    <xf numFmtId="2" fontId="8" fillId="4" borderId="11" xfId="0" applyFont="1" applyFill="1" applyBorder="1" applyAlignment="1" applyProtection="1">
      <alignment horizontal="left"/>
    </xf>
    <xf numFmtId="2" fontId="6" fillId="4" borderId="36" xfId="0" applyFont="1" applyFill="1" applyBorder="1" applyAlignment="1" applyProtection="1">
      <alignment horizontal="left"/>
    </xf>
    <xf numFmtId="2" fontId="6" fillId="4" borderId="37" xfId="0" applyFont="1" applyFill="1" applyBorder="1" applyAlignment="1" applyProtection="1">
      <alignment horizontal="left"/>
    </xf>
    <xf numFmtId="2" fontId="6" fillId="4" borderId="11" xfId="3" applyFont="1" applyFill="1" applyBorder="1" applyAlignment="1" applyProtection="1">
      <alignment horizontal="left"/>
    </xf>
    <xf numFmtId="2" fontId="6" fillId="4" borderId="10" xfId="3" applyFont="1" applyFill="1" applyBorder="1" applyAlignment="1" applyProtection="1">
      <alignment horizontal="left"/>
    </xf>
    <xf numFmtId="2" fontId="7" fillId="4" borderId="11" xfId="0" applyFont="1" applyFill="1" applyBorder="1" applyAlignment="1" applyProtection="1">
      <alignment horizontal="left" vertical="center" wrapText="1"/>
    </xf>
    <xf numFmtId="2" fontId="7" fillId="4" borderId="10" xfId="0" applyFont="1" applyFill="1" applyBorder="1" applyAlignment="1" applyProtection="1">
      <alignment horizontal="left" vertical="center" wrapText="1"/>
    </xf>
    <xf numFmtId="2" fontId="6" fillId="3" borderId="45" xfId="3" applyFont="1" applyFill="1" applyBorder="1" applyAlignment="1" applyProtection="1">
      <alignment horizontal="left" vertical="center" wrapText="1"/>
    </xf>
    <xf numFmtId="2" fontId="6" fillId="3" borderId="49" xfId="3" applyFont="1" applyFill="1" applyBorder="1" applyAlignment="1" applyProtection="1">
      <alignment horizontal="left" vertical="center" wrapText="1"/>
    </xf>
    <xf numFmtId="2" fontId="6" fillId="5" borderId="11" xfId="0" applyFont="1" applyFill="1" applyBorder="1" applyAlignment="1" applyProtection="1">
      <alignment horizontal="center"/>
    </xf>
    <xf numFmtId="2" fontId="6" fillId="5" borderId="19" xfId="0" applyFont="1" applyFill="1" applyBorder="1" applyAlignment="1" applyProtection="1">
      <alignment horizontal="center"/>
    </xf>
    <xf numFmtId="2" fontId="6" fillId="5" borderId="10" xfId="0" applyFont="1" applyFill="1" applyBorder="1" applyAlignment="1" applyProtection="1">
      <alignment horizontal="center"/>
    </xf>
    <xf numFmtId="2" fontId="6" fillId="0" borderId="0" xfId="3" applyFont="1" applyAlignment="1" applyProtection="1">
      <alignment horizontal="center" vertical="center" wrapText="1"/>
    </xf>
    <xf numFmtId="2" fontId="6" fillId="0" borderId="0" xfId="3" applyFont="1" applyAlignment="1" applyProtection="1">
      <alignment horizontal="center" wrapText="1"/>
    </xf>
    <xf numFmtId="2" fontId="6" fillId="0" borderId="29" xfId="3" applyFont="1" applyBorder="1" applyAlignment="1" applyProtection="1">
      <alignment horizontal="center"/>
    </xf>
    <xf numFmtId="2" fontId="6" fillId="0" borderId="4" xfId="3" applyFont="1" applyBorder="1" applyAlignment="1" applyProtection="1">
      <alignment horizontal="center"/>
    </xf>
    <xf numFmtId="2" fontId="7" fillId="0" borderId="39" xfId="3" applyFont="1" applyBorder="1" applyAlignment="1" applyProtection="1">
      <alignment horizontal="center"/>
    </xf>
    <xf numFmtId="2" fontId="7" fillId="0" borderId="5" xfId="3" applyFont="1" applyBorder="1" applyAlignment="1" applyProtection="1">
      <alignment horizontal="center"/>
    </xf>
    <xf numFmtId="2" fontId="7" fillId="0" borderId="39" xfId="3" applyBorder="1" applyAlignment="1" applyProtection="1">
      <alignment horizontal="center"/>
    </xf>
    <xf numFmtId="2" fontId="7" fillId="0" borderId="5" xfId="3" applyBorder="1" applyAlignment="1" applyProtection="1">
      <alignment horizontal="center"/>
    </xf>
    <xf numFmtId="2" fontId="6" fillId="0" borderId="13" xfId="3" applyFont="1" applyBorder="1" applyAlignment="1" applyProtection="1">
      <alignment horizontal="center" vertical="center"/>
    </xf>
    <xf numFmtId="2" fontId="6" fillId="0" borderId="23" xfId="3" applyFont="1" applyBorder="1" applyAlignment="1" applyProtection="1">
      <alignment horizontal="center" vertical="center"/>
    </xf>
    <xf numFmtId="2" fontId="6" fillId="0" borderId="24" xfId="3" applyFont="1" applyBorder="1" applyAlignment="1" applyProtection="1">
      <alignment horizontal="center" vertical="center"/>
    </xf>
    <xf numFmtId="2" fontId="33" fillId="7" borderId="11" xfId="3" applyFont="1" applyFill="1" applyBorder="1" applyAlignment="1" applyProtection="1">
      <alignment horizontal="center" vertical="center"/>
    </xf>
    <xf numFmtId="2" fontId="33" fillId="7" borderId="19" xfId="3" applyFont="1" applyFill="1" applyBorder="1" applyAlignment="1" applyProtection="1">
      <alignment horizontal="center" vertical="center"/>
    </xf>
    <xf numFmtId="2" fontId="33" fillId="7" borderId="10" xfId="3" applyFont="1" applyFill="1" applyBorder="1" applyAlignment="1" applyProtection="1">
      <alignment horizontal="center" vertical="center"/>
    </xf>
    <xf numFmtId="2" fontId="33" fillId="0" borderId="2" xfId="3" applyFont="1" applyBorder="1" applyAlignment="1" applyProtection="1">
      <alignment horizontal="justify" vertical="top" wrapText="1"/>
    </xf>
    <xf numFmtId="2" fontId="33" fillId="0" borderId="1" xfId="3" applyFont="1" applyBorder="1" applyAlignment="1" applyProtection="1">
      <alignment horizontal="justify" vertical="top" wrapText="1"/>
    </xf>
    <xf numFmtId="2" fontId="33" fillId="0" borderId="26" xfId="3" applyFont="1" applyBorder="1" applyAlignment="1" applyProtection="1">
      <alignment horizontal="justify" vertical="top" wrapText="1"/>
    </xf>
    <xf numFmtId="2" fontId="34" fillId="8" borderId="11" xfId="3" applyFont="1" applyFill="1" applyBorder="1" applyAlignment="1" applyProtection="1">
      <alignment horizontal="center" vertical="top" wrapText="1"/>
    </xf>
    <xf numFmtId="2" fontId="34" fillId="8" borderId="19" xfId="3" applyFont="1" applyFill="1" applyBorder="1" applyAlignment="1" applyProtection="1">
      <alignment horizontal="center" vertical="top" wrapText="1"/>
    </xf>
    <xf numFmtId="2" fontId="34" fillId="8" borderId="10" xfId="3" applyFont="1" applyFill="1" applyBorder="1" applyAlignment="1" applyProtection="1">
      <alignment horizontal="center" vertical="top" wrapText="1"/>
    </xf>
    <xf numFmtId="2" fontId="11" fillId="2" borderId="2" xfId="3" applyFont="1" applyFill="1" applyBorder="1" applyAlignment="1" applyProtection="1">
      <alignment horizontal="center" vertical="center"/>
    </xf>
    <xf numFmtId="2" fontId="11" fillId="2" borderId="1" xfId="3" applyFont="1" applyFill="1" applyBorder="1" applyAlignment="1" applyProtection="1">
      <alignment horizontal="center" vertical="center"/>
    </xf>
    <xf numFmtId="2" fontId="11" fillId="2" borderId="26" xfId="3" applyFont="1" applyFill="1" applyBorder="1" applyAlignment="1" applyProtection="1">
      <alignment horizontal="center" vertical="center"/>
    </xf>
    <xf numFmtId="2" fontId="6" fillId="0" borderId="62" xfId="3" applyFont="1" applyBorder="1" applyAlignment="1" applyProtection="1">
      <alignment horizontal="center" vertical="center"/>
    </xf>
    <xf numFmtId="2" fontId="6" fillId="0" borderId="63" xfId="3" applyFont="1" applyBorder="1" applyAlignment="1" applyProtection="1">
      <alignment horizontal="center" vertical="center"/>
    </xf>
    <xf numFmtId="2" fontId="6" fillId="0" borderId="64" xfId="3" applyFont="1" applyBorder="1" applyAlignment="1" applyProtection="1">
      <alignment horizontal="center" vertical="center"/>
    </xf>
    <xf numFmtId="2" fontId="6" fillId="0" borderId="29" xfId="3" applyFont="1" applyBorder="1" applyAlignment="1" applyProtection="1">
      <alignment horizontal="center" wrapText="1"/>
    </xf>
    <xf numFmtId="2" fontId="6" fillId="0" borderId="4" xfId="3" applyFont="1" applyBorder="1" applyAlignment="1" applyProtection="1">
      <alignment horizontal="center" wrapText="1"/>
    </xf>
    <xf numFmtId="2" fontId="17" fillId="0" borderId="0" xfId="0" applyFont="1" applyAlignment="1">
      <alignment horizontal="left" vertical="top"/>
    </xf>
    <xf numFmtId="2" fontId="16" fillId="0" borderId="0" xfId="0" applyFont="1" applyAlignment="1">
      <alignment horizontal="left"/>
    </xf>
    <xf numFmtId="2" fontId="6" fillId="3" borderId="45" xfId="0" applyFont="1" applyFill="1" applyBorder="1" applyAlignment="1">
      <alignment horizontal="center" vertical="center"/>
    </xf>
    <xf numFmtId="2" fontId="6" fillId="3" borderId="49" xfId="0" applyFont="1" applyFill="1" applyBorder="1" applyAlignment="1">
      <alignment horizontal="center" vertical="center"/>
    </xf>
    <xf numFmtId="2" fontId="6" fillId="3" borderId="23" xfId="0" applyFont="1" applyFill="1" applyBorder="1" applyAlignment="1">
      <alignment horizontal="center" vertical="center"/>
    </xf>
    <xf numFmtId="2" fontId="6" fillId="5" borderId="42" xfId="0" applyFont="1" applyFill="1" applyBorder="1" applyAlignment="1">
      <alignment horizontal="left"/>
    </xf>
    <xf numFmtId="2" fontId="6" fillId="5" borderId="43" xfId="0" applyFont="1" applyFill="1" applyBorder="1" applyAlignment="1">
      <alignment horizontal="left"/>
    </xf>
    <xf numFmtId="2" fontId="6" fillId="5" borderId="44" xfId="0" applyFont="1" applyFill="1" applyBorder="1" applyAlignment="1">
      <alignment horizontal="left"/>
    </xf>
    <xf numFmtId="2" fontId="6" fillId="3" borderId="30" xfId="0" applyFont="1" applyFill="1" applyBorder="1" applyAlignment="1">
      <alignment horizontal="left"/>
    </xf>
    <xf numFmtId="2" fontId="6" fillId="3" borderId="31" xfId="0" applyFont="1" applyFill="1" applyBorder="1" applyAlignment="1">
      <alignment horizontal="left"/>
    </xf>
    <xf numFmtId="2" fontId="6" fillId="3" borderId="32" xfId="0" applyFont="1" applyFill="1" applyBorder="1" applyAlignment="1">
      <alignment horizontal="left"/>
    </xf>
    <xf numFmtId="2" fontId="6" fillId="3" borderId="46" xfId="0" applyFont="1" applyFill="1" applyBorder="1" applyAlignment="1">
      <alignment horizontal="left"/>
    </xf>
    <xf numFmtId="2" fontId="6" fillId="3" borderId="47" xfId="0" applyFont="1" applyFill="1" applyBorder="1" applyAlignment="1">
      <alignment horizontal="left"/>
    </xf>
    <xf numFmtId="2" fontId="6" fillId="3" borderId="48" xfId="0" applyFont="1" applyFill="1" applyBorder="1" applyAlignment="1">
      <alignment horizontal="left"/>
    </xf>
    <xf numFmtId="0" fontId="31" fillId="4" borderId="6" xfId="9" applyFont="1" applyFill="1" applyBorder="1" applyAlignment="1">
      <alignment horizontal="center"/>
    </xf>
  </cellXfs>
  <cellStyles count="13">
    <cellStyle name="Comma 2" xfId="11"/>
    <cellStyle name="Hyperlink" xfId="1" builtinId="8"/>
    <cellStyle name="Hyperlink 2" xfId="2"/>
    <cellStyle name="Normal" xfId="0" builtinId="0"/>
    <cellStyle name="Normal 2" xfId="3"/>
    <cellStyle name="Normal 2 2" xfId="4"/>
    <cellStyle name="Normal 2 3" xfId="5"/>
    <cellStyle name="Normal 3" xfId="6"/>
    <cellStyle name="Normal 3 2" xfId="9"/>
    <cellStyle name="Normal 3 3" xfId="12"/>
    <cellStyle name="Normal 4" xfId="7"/>
    <cellStyle name="Percent" xfId="10" builtinId="5"/>
    <cellStyle name="Percent 2" xfId="8"/>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99"/>
        </patternFill>
      </fill>
    </dxf>
    <dxf>
      <font>
        <color auto="1"/>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00"/>
      <color rgb="FFCC6600"/>
      <color rgb="FF0000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pa.gov/air/tribal/pdfs/existing_source_registration_rev.pdf" TargetMode="External"/><Relationship Id="rId1" Type="http://schemas.openxmlformats.org/officeDocument/2006/relationships/hyperlink" Target="http://www.epa.gov/air/tribal/tribalnsr.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3" Type="http://schemas.openxmlformats.org/officeDocument/2006/relationships/hyperlink" Target="mailto:gupta.kaushal@epa.gov" TargetMode="External"/><Relationship Id="rId18" Type="http://schemas.openxmlformats.org/officeDocument/2006/relationships/hyperlink" Target="mailto:smith.claudia@epa.gov" TargetMode="External"/><Relationship Id="rId26" Type="http://schemas.openxmlformats.org/officeDocument/2006/relationships/hyperlink" Target="mailto:paser.kathleen@epa.gov" TargetMode="External"/><Relationship Id="rId39" Type="http://schemas.openxmlformats.org/officeDocument/2006/relationships/hyperlink" Target="mailto:shepherd.lorinda@epa.gov" TargetMode="External"/><Relationship Id="rId21" Type="http://schemas.openxmlformats.org/officeDocument/2006/relationships/hyperlink" Target="mailto:smith.claudia@epa.gov" TargetMode="External"/><Relationship Id="rId34" Type="http://schemas.openxmlformats.org/officeDocument/2006/relationships/hyperlink" Target="mailto:oquendo.ana@epa.gov" TargetMode="External"/><Relationship Id="rId42" Type="http://schemas.openxmlformats.org/officeDocument/2006/relationships/hyperlink" Target="mailto:shepherd.lorinda@epa.gov" TargetMode="External"/><Relationship Id="rId47" Type="http://schemas.openxmlformats.org/officeDocument/2006/relationships/hyperlink" Target="mailto:Gutierrez.roberto@epa.gov" TargetMode="External"/><Relationship Id="rId50" Type="http://schemas.openxmlformats.org/officeDocument/2006/relationships/hyperlink" Target="mailto:glass.geoffrey@epa.gov" TargetMode="External"/><Relationship Id="rId55" Type="http://schemas.openxmlformats.org/officeDocument/2006/relationships/hyperlink" Target="mailto:todd.bill@epa.gov" TargetMode="External"/><Relationship Id="rId63" Type="http://schemas.openxmlformats.org/officeDocument/2006/relationships/hyperlink" Target="mailto:webber.robert@epa.gov" TargetMode="External"/><Relationship Id="rId7" Type="http://schemas.openxmlformats.org/officeDocument/2006/relationships/hyperlink" Target="mailto:lau.gavin@epa.gov" TargetMode="External"/><Relationship Id="rId2" Type="http://schemas.openxmlformats.org/officeDocument/2006/relationships/hyperlink" Target="mailto:McCahill.brendan@epa.gov" TargetMode="External"/><Relationship Id="rId16" Type="http://schemas.openxmlformats.org/officeDocument/2006/relationships/hyperlink" Target="mailto:paser.kathleen@epa.gov" TargetMode="External"/><Relationship Id="rId20" Type="http://schemas.openxmlformats.org/officeDocument/2006/relationships/hyperlink" Target="mailto:smith.claudia@epa.gov" TargetMode="External"/><Relationship Id="rId29" Type="http://schemas.openxmlformats.org/officeDocument/2006/relationships/hyperlink" Target="mailto:gupta.kaushal@epa.gov" TargetMode="External"/><Relationship Id="rId41" Type="http://schemas.openxmlformats.org/officeDocument/2006/relationships/hyperlink" Target="mailto:shepherd.lorinda@epa.gov" TargetMode="External"/><Relationship Id="rId54" Type="http://schemas.openxmlformats.org/officeDocument/2006/relationships/hyperlink" Target="mailto:todd.bill@epa.gov" TargetMode="External"/><Relationship Id="rId62" Type="http://schemas.openxmlformats.org/officeDocument/2006/relationships/hyperlink" Target="mailto:braganza.bonnie@epa.gov" TargetMode="External"/><Relationship Id="rId1" Type="http://schemas.openxmlformats.org/officeDocument/2006/relationships/hyperlink" Target="mailto:McCahill.brendan@epa.gov" TargetMode="External"/><Relationship Id="rId6" Type="http://schemas.openxmlformats.org/officeDocument/2006/relationships/hyperlink" Target="mailto:McCahill.brendan@epa.gov" TargetMode="External"/><Relationship Id="rId11" Type="http://schemas.openxmlformats.org/officeDocument/2006/relationships/hyperlink" Target="mailto:oquendo.ana@epa.gov" TargetMode="External"/><Relationship Id="rId24" Type="http://schemas.openxmlformats.org/officeDocument/2006/relationships/hyperlink" Target="mailto:paser.kathleen@epa.gov" TargetMode="External"/><Relationship Id="rId32" Type="http://schemas.openxmlformats.org/officeDocument/2006/relationships/hyperlink" Target="mailto:oquendo.ana@epa.gov" TargetMode="External"/><Relationship Id="rId37" Type="http://schemas.openxmlformats.org/officeDocument/2006/relationships/hyperlink" Target="mailto:oquendo.ana@epa.gov" TargetMode="External"/><Relationship Id="rId40" Type="http://schemas.openxmlformats.org/officeDocument/2006/relationships/hyperlink" Target="mailto:shepherd.lorinda@epa.gov" TargetMode="External"/><Relationship Id="rId45" Type="http://schemas.openxmlformats.org/officeDocument/2006/relationships/hyperlink" Target="mailto:shepherd.lorinda@epa.gov" TargetMode="External"/><Relationship Id="rId53" Type="http://schemas.openxmlformats.org/officeDocument/2006/relationships/hyperlink" Target="mailto:Gutierrez.roberto@epa.gov" TargetMode="External"/><Relationship Id="rId58" Type="http://schemas.openxmlformats.org/officeDocument/2006/relationships/hyperlink" Target="mailto:braganza.bonnie@epa.gov" TargetMode="External"/><Relationship Id="rId66" Type="http://schemas.openxmlformats.org/officeDocument/2006/relationships/printerSettings" Target="../printerSettings/printerSettings10.bin"/><Relationship Id="rId5" Type="http://schemas.openxmlformats.org/officeDocument/2006/relationships/hyperlink" Target="mailto:McCahill.brendan@epa.gov" TargetMode="External"/><Relationship Id="rId15" Type="http://schemas.openxmlformats.org/officeDocument/2006/relationships/hyperlink" Target="mailto:smith.claudia@epa.gov" TargetMode="External"/><Relationship Id="rId23" Type="http://schemas.openxmlformats.org/officeDocument/2006/relationships/hyperlink" Target="mailto:paser.kathleen@epa.gov" TargetMode="External"/><Relationship Id="rId28" Type="http://schemas.openxmlformats.org/officeDocument/2006/relationships/hyperlink" Target="mailto:gupta.kaushal@epa.gov" TargetMode="External"/><Relationship Id="rId36" Type="http://schemas.openxmlformats.org/officeDocument/2006/relationships/hyperlink" Target="mailto:oquendo.ana@epa.gov" TargetMode="External"/><Relationship Id="rId49" Type="http://schemas.openxmlformats.org/officeDocument/2006/relationships/hyperlink" Target="mailto:glass.geoffrey@epa.gov" TargetMode="External"/><Relationship Id="rId57" Type="http://schemas.openxmlformats.org/officeDocument/2006/relationships/hyperlink" Target="mailto:todd.bill@epa.gov" TargetMode="External"/><Relationship Id="rId61" Type="http://schemas.openxmlformats.org/officeDocument/2006/relationships/hyperlink" Target="mailto:braganza.bonnie@epa.gov" TargetMode="External"/><Relationship Id="rId10" Type="http://schemas.openxmlformats.org/officeDocument/2006/relationships/hyperlink" Target="mailto:Dholakia.umesh@epa.gov" TargetMode="External"/><Relationship Id="rId19" Type="http://schemas.openxmlformats.org/officeDocument/2006/relationships/hyperlink" Target="mailto:smith.claudia@epa.gov" TargetMode="External"/><Relationship Id="rId31" Type="http://schemas.openxmlformats.org/officeDocument/2006/relationships/hyperlink" Target="mailto:gupta.kaushal@epa.gov" TargetMode="External"/><Relationship Id="rId44" Type="http://schemas.openxmlformats.org/officeDocument/2006/relationships/hyperlink" Target="mailto:shepherd.lorinda@epa.gov" TargetMode="External"/><Relationship Id="rId52" Type="http://schemas.openxmlformats.org/officeDocument/2006/relationships/hyperlink" Target="mailto:Gutierrez.roberto@epa.gov" TargetMode="External"/><Relationship Id="rId60" Type="http://schemas.openxmlformats.org/officeDocument/2006/relationships/hyperlink" Target="mailto:braganza.bonnie@epa.gov" TargetMode="External"/><Relationship Id="rId65" Type="http://schemas.openxmlformats.org/officeDocument/2006/relationships/hyperlink" Target="mailto:webber.robert@epa.gov" TargetMode="External"/><Relationship Id="rId4" Type="http://schemas.openxmlformats.org/officeDocument/2006/relationships/hyperlink" Target="mailto:McCahill.brendan@epa.gov" TargetMode="External"/><Relationship Id="rId9" Type="http://schemas.openxmlformats.org/officeDocument/2006/relationships/hyperlink" Target="mailto:lau.gavin@epa.gov" TargetMode="External"/><Relationship Id="rId14" Type="http://schemas.openxmlformats.org/officeDocument/2006/relationships/hyperlink" Target="mailto:webber.robert@epa.gov" TargetMode="External"/><Relationship Id="rId22" Type="http://schemas.openxmlformats.org/officeDocument/2006/relationships/hyperlink" Target="mailto:paser.kathleen@epa.gov" TargetMode="External"/><Relationship Id="rId27" Type="http://schemas.openxmlformats.org/officeDocument/2006/relationships/hyperlink" Target="mailto:gupta.kaushal@epa.gov" TargetMode="External"/><Relationship Id="rId30" Type="http://schemas.openxmlformats.org/officeDocument/2006/relationships/hyperlink" Target="mailto:gupta.kaushal@epa.gov" TargetMode="External"/><Relationship Id="rId35" Type="http://schemas.openxmlformats.org/officeDocument/2006/relationships/hyperlink" Target="mailto:oquendo.ana@epa.gov" TargetMode="External"/><Relationship Id="rId43" Type="http://schemas.openxmlformats.org/officeDocument/2006/relationships/hyperlink" Target="mailto:shepherd.lorinda@epa.gov" TargetMode="External"/><Relationship Id="rId48" Type="http://schemas.openxmlformats.org/officeDocument/2006/relationships/hyperlink" Target="mailto:glass.geoffrey@epa.gov" TargetMode="External"/><Relationship Id="rId56" Type="http://schemas.openxmlformats.org/officeDocument/2006/relationships/hyperlink" Target="mailto:todd.bill@epa.gov" TargetMode="External"/><Relationship Id="rId64" Type="http://schemas.openxmlformats.org/officeDocument/2006/relationships/hyperlink" Target="mailto:webber.robert@epa.gov" TargetMode="External"/><Relationship Id="rId8" Type="http://schemas.openxmlformats.org/officeDocument/2006/relationships/hyperlink" Target="mailto:Dholakia.umesh@epa.gov" TargetMode="External"/><Relationship Id="rId51" Type="http://schemas.openxmlformats.org/officeDocument/2006/relationships/hyperlink" Target="mailto:Gutierrez.roberto@epa.gov" TargetMode="External"/><Relationship Id="rId3" Type="http://schemas.openxmlformats.org/officeDocument/2006/relationships/hyperlink" Target="mailto:McCahill.brendan@epa.gov" TargetMode="External"/><Relationship Id="rId12" Type="http://schemas.openxmlformats.org/officeDocument/2006/relationships/hyperlink" Target="mailto:shepherd.lorinda@epa.gov" TargetMode="External"/><Relationship Id="rId17" Type="http://schemas.openxmlformats.org/officeDocument/2006/relationships/hyperlink" Target="mailto:smith.claudia@epa.gov" TargetMode="External"/><Relationship Id="rId25" Type="http://schemas.openxmlformats.org/officeDocument/2006/relationships/hyperlink" Target="mailto:paser.kathleen@epa.gov" TargetMode="External"/><Relationship Id="rId33" Type="http://schemas.openxmlformats.org/officeDocument/2006/relationships/hyperlink" Target="mailto:oquendo.ana@epa.gov" TargetMode="External"/><Relationship Id="rId38" Type="http://schemas.openxmlformats.org/officeDocument/2006/relationships/hyperlink" Target="mailto:oquendo.ana@epa.gov" TargetMode="External"/><Relationship Id="rId46" Type="http://schemas.openxmlformats.org/officeDocument/2006/relationships/hyperlink" Target="mailto:glass.geoffrey@epa.gov" TargetMode="External"/><Relationship Id="rId59" Type="http://schemas.openxmlformats.org/officeDocument/2006/relationships/hyperlink" Target="mailto:braganza.bonnie@ep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pa.gov/oar/oaqps/greenbk/ancl.html"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hyperlink" Target="mailto:jonathan_dorn@abtassoc.com" TargetMode="External"/><Relationship Id="rId7" Type="http://schemas.openxmlformats.org/officeDocument/2006/relationships/hyperlink" Target="mailto:jonathan_dorn@abtassoc.com" TargetMode="External"/><Relationship Id="rId2" Type="http://schemas.openxmlformats.org/officeDocument/2006/relationships/hyperlink" Target="mailto:jonathan_dorn@abtassoc.com" TargetMode="External"/><Relationship Id="rId1" Type="http://schemas.openxmlformats.org/officeDocument/2006/relationships/hyperlink" Target="mailto:jonathan_dorn@abtassoc.com" TargetMode="External"/><Relationship Id="rId6" Type="http://schemas.openxmlformats.org/officeDocument/2006/relationships/hyperlink" Target="mailto:jonathan_dorn@abtassoc.com" TargetMode="External"/><Relationship Id="rId5" Type="http://schemas.openxmlformats.org/officeDocument/2006/relationships/hyperlink" Target="mailto:jonathan_dorn@abtassoc.com" TargetMode="External"/><Relationship Id="rId4" Type="http://schemas.openxmlformats.org/officeDocument/2006/relationships/hyperlink" Target="mailto:jonathan_dorn@abtassoc.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7"/>
  <sheetViews>
    <sheetView showGridLines="0" tabSelected="1" zoomScaleNormal="100" workbookViewId="0">
      <selection sqref="A1:XFD1"/>
    </sheetView>
  </sheetViews>
  <sheetFormatPr defaultColWidth="9.109375" defaultRowHeight="13.2" x14ac:dyDescent="0.25"/>
  <cols>
    <col min="1" max="1" width="2.109375" style="42" customWidth="1"/>
    <col min="2" max="2" width="5.88671875" style="118" customWidth="1"/>
    <col min="3" max="3" width="120.88671875" style="308" customWidth="1"/>
    <col min="4" max="16384" width="9.109375" style="42"/>
  </cols>
  <sheetData>
    <row r="1" spans="2:6" ht="17.399999999999999" x14ac:dyDescent="0.25">
      <c r="B1" s="331" t="s">
        <v>162</v>
      </c>
      <c r="C1" s="331"/>
    </row>
    <row r="2" spans="2:6" ht="15.6" x14ac:dyDescent="0.25">
      <c r="B2" s="332" t="s">
        <v>163</v>
      </c>
      <c r="C2" s="332"/>
    </row>
    <row r="3" spans="2:6" x14ac:dyDescent="0.25">
      <c r="B3" s="112"/>
      <c r="C3" s="42"/>
    </row>
    <row r="4" spans="2:6" x14ac:dyDescent="0.25">
      <c r="B4" s="330" t="s">
        <v>164</v>
      </c>
      <c r="C4" s="330"/>
    </row>
    <row r="5" spans="2:6" ht="75" customHeight="1" x14ac:dyDescent="0.25">
      <c r="B5" s="333" t="s">
        <v>480</v>
      </c>
      <c r="C5" s="333"/>
      <c r="F5" s="305"/>
    </row>
    <row r="6" spans="2:6" ht="18" customHeight="1" x14ac:dyDescent="0.25">
      <c r="B6" s="334" t="s">
        <v>481</v>
      </c>
      <c r="C6" s="334"/>
      <c r="F6" s="305"/>
    </row>
    <row r="7" spans="2:6" ht="15" customHeight="1" x14ac:dyDescent="0.25">
      <c r="B7" s="113"/>
      <c r="C7" s="42"/>
    </row>
    <row r="8" spans="2:6" x14ac:dyDescent="0.25">
      <c r="B8" s="330" t="s">
        <v>165</v>
      </c>
      <c r="C8" s="330"/>
    </row>
    <row r="9" spans="2:6" ht="97.5" customHeight="1" x14ac:dyDescent="0.25">
      <c r="B9" s="333" t="s">
        <v>482</v>
      </c>
      <c r="C9" s="333"/>
    </row>
    <row r="10" spans="2:6" ht="15" customHeight="1" x14ac:dyDescent="0.25">
      <c r="B10" s="113"/>
      <c r="C10" s="42"/>
    </row>
    <row r="11" spans="2:6" x14ac:dyDescent="0.25">
      <c r="B11" s="330" t="s">
        <v>166</v>
      </c>
      <c r="C11" s="330"/>
    </row>
    <row r="12" spans="2:6" ht="84" customHeight="1" x14ac:dyDescent="0.25">
      <c r="B12" s="333" t="s">
        <v>483</v>
      </c>
      <c r="C12" s="333"/>
    </row>
    <row r="13" spans="2:6" ht="15" customHeight="1" x14ac:dyDescent="0.25">
      <c r="B13" s="113"/>
      <c r="C13" s="42"/>
    </row>
    <row r="14" spans="2:6" x14ac:dyDescent="0.25">
      <c r="B14" s="330" t="s">
        <v>167</v>
      </c>
      <c r="C14" s="330"/>
    </row>
    <row r="15" spans="2:6" ht="18.75" customHeight="1" x14ac:dyDescent="0.25">
      <c r="B15" s="333" t="s">
        <v>484</v>
      </c>
      <c r="C15" s="333"/>
    </row>
    <row r="16" spans="2:6" ht="15.75" customHeight="1" x14ac:dyDescent="0.25">
      <c r="B16" s="114" t="s">
        <v>168</v>
      </c>
      <c r="C16" s="117" t="s">
        <v>485</v>
      </c>
    </row>
    <row r="17" spans="2:3" ht="27.75" customHeight="1" x14ac:dyDescent="0.25">
      <c r="B17" s="114" t="s">
        <v>169</v>
      </c>
      <c r="C17" s="117" t="s">
        <v>534</v>
      </c>
    </row>
    <row r="18" spans="2:3" ht="9" customHeight="1" x14ac:dyDescent="0.25">
      <c r="B18" s="316"/>
      <c r="C18" s="42"/>
    </row>
    <row r="19" spans="2:3" x14ac:dyDescent="0.25">
      <c r="B19" s="330" t="s">
        <v>170</v>
      </c>
      <c r="C19" s="330"/>
    </row>
    <row r="20" spans="2:3" ht="18" customHeight="1" x14ac:dyDescent="0.25">
      <c r="B20" s="333" t="s">
        <v>171</v>
      </c>
      <c r="C20" s="333"/>
    </row>
    <row r="21" spans="2:3" x14ac:dyDescent="0.25">
      <c r="B21" s="114" t="s">
        <v>168</v>
      </c>
      <c r="C21" s="115" t="s">
        <v>486</v>
      </c>
    </row>
    <row r="22" spans="2:3" x14ac:dyDescent="0.25">
      <c r="B22" s="114" t="s">
        <v>169</v>
      </c>
      <c r="C22" s="115" t="s">
        <v>487</v>
      </c>
    </row>
    <row r="23" spans="2:3" x14ac:dyDescent="0.25">
      <c r="B23" s="114" t="s">
        <v>172</v>
      </c>
      <c r="C23" s="115" t="s">
        <v>488</v>
      </c>
    </row>
    <row r="24" spans="2:3" x14ac:dyDescent="0.25">
      <c r="B24" s="42"/>
      <c r="C24" s="316"/>
    </row>
    <row r="25" spans="2:3" x14ac:dyDescent="0.25">
      <c r="B25" s="330" t="s">
        <v>173</v>
      </c>
      <c r="C25" s="330"/>
    </row>
    <row r="26" spans="2:3" ht="51" customHeight="1" x14ac:dyDescent="0.25">
      <c r="B26" s="335" t="s">
        <v>511</v>
      </c>
      <c r="C26" s="335"/>
    </row>
    <row r="27" spans="2:3" ht="24" customHeight="1" x14ac:dyDescent="0.25">
      <c r="B27" s="334" t="s">
        <v>512</v>
      </c>
      <c r="C27" s="333"/>
    </row>
    <row r="28" spans="2:3" x14ac:dyDescent="0.25">
      <c r="B28" s="116"/>
      <c r="C28" s="42"/>
    </row>
    <row r="29" spans="2:3" x14ac:dyDescent="0.25">
      <c r="B29" s="330" t="s">
        <v>174</v>
      </c>
      <c r="C29" s="330"/>
    </row>
    <row r="30" spans="2:3" ht="53.25" customHeight="1" x14ac:dyDescent="0.25">
      <c r="B30" s="333" t="s">
        <v>489</v>
      </c>
      <c r="C30" s="333"/>
    </row>
    <row r="31" spans="2:3" x14ac:dyDescent="0.25">
      <c r="B31" s="113"/>
      <c r="C31" s="42"/>
    </row>
    <row r="32" spans="2:3" x14ac:dyDescent="0.25">
      <c r="B32" s="330" t="s">
        <v>175</v>
      </c>
      <c r="C32" s="330"/>
    </row>
    <row r="33" spans="2:3" x14ac:dyDescent="0.25">
      <c r="B33" s="114" t="s">
        <v>168</v>
      </c>
      <c r="C33" s="117" t="s">
        <v>490</v>
      </c>
    </row>
    <row r="34" spans="2:3" x14ac:dyDescent="0.25">
      <c r="B34" s="114" t="s">
        <v>169</v>
      </c>
      <c r="C34" s="117" t="s">
        <v>176</v>
      </c>
    </row>
    <row r="35" spans="2:3" ht="26.4" x14ac:dyDescent="0.25">
      <c r="B35" s="114" t="s">
        <v>172</v>
      </c>
      <c r="C35" s="117" t="s">
        <v>535</v>
      </c>
    </row>
    <row r="36" spans="2:3" ht="26.4" x14ac:dyDescent="0.25">
      <c r="B36" s="114" t="s">
        <v>177</v>
      </c>
      <c r="C36" s="117" t="s">
        <v>533</v>
      </c>
    </row>
    <row r="37" spans="2:3" x14ac:dyDescent="0.25">
      <c r="B37" s="114" t="s">
        <v>178</v>
      </c>
      <c r="C37" s="117" t="s">
        <v>179</v>
      </c>
    </row>
  </sheetData>
  <sheetProtection password="C969" sheet="1" objects="1" scenarios="1"/>
  <mergeCells count="19">
    <mergeCell ref="B32:C32"/>
    <mergeCell ref="B20:C20"/>
    <mergeCell ref="B25:C25"/>
    <mergeCell ref="B26:C26"/>
    <mergeCell ref="B27:C27"/>
    <mergeCell ref="B29:C29"/>
    <mergeCell ref="B30:C30"/>
    <mergeCell ref="B19:C19"/>
    <mergeCell ref="B1:C1"/>
    <mergeCell ref="B2:C2"/>
    <mergeCell ref="B4:C4"/>
    <mergeCell ref="B5:C5"/>
    <mergeCell ref="B6:C6"/>
    <mergeCell ref="B8:C8"/>
    <mergeCell ref="B9:C9"/>
    <mergeCell ref="B11:C11"/>
    <mergeCell ref="B12:C12"/>
    <mergeCell ref="B14:C14"/>
    <mergeCell ref="B15:C15"/>
  </mergeCells>
  <hyperlinks>
    <hyperlink ref="B6:C6" r:id="rId1" display="Please visit http://www.epa.gov/air/tribal/tribalnsr.html for more information about the Tribal NSR Rule."/>
    <hyperlink ref="B27" r:id="rId2"/>
  </hyperlinks>
  <pageMargins left="0.7" right="0.7" top="0.75" bottom="0.75" header="0.3" footer="0.3"/>
  <pageSetup scale="72" orientation="portrait" r:id="rId3"/>
  <headerFooter>
    <oddFooter>&amp;LPage &amp;P of &amp;N&amp;C&amp;F&amp;RPrinted &amp;D</oddFooter>
  </headerFooter>
  <ignoredErrors>
    <ignoredError sqref="B16:B17 B21:B23 B33:B3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
  <sheetViews>
    <sheetView workbookViewId="0"/>
  </sheetViews>
  <sheetFormatPr defaultRowHeight="13.2" x14ac:dyDescent="0.25"/>
  <cols>
    <col min="1" max="1" width="19.88671875" bestFit="1" customWidth="1"/>
    <col min="2" max="2" width="15" bestFit="1" customWidth="1"/>
    <col min="3" max="3" width="25.5546875" bestFit="1" customWidth="1"/>
    <col min="4" max="4" width="27.6640625" bestFit="1" customWidth="1"/>
    <col min="5" max="5" width="228.109375" bestFit="1" customWidth="1"/>
  </cols>
  <sheetData>
    <row r="1" spans="1:5" ht="17.399999999999999" x14ac:dyDescent="0.3">
      <c r="A1" s="2" t="s">
        <v>87</v>
      </c>
      <c r="C1" s="9"/>
      <c r="D1" s="9"/>
    </row>
    <row r="2" spans="1:5" ht="13.8" thickBot="1" x14ac:dyDescent="0.3">
      <c r="C2" s="9"/>
      <c r="D2" s="9"/>
    </row>
    <row r="3" spans="1:5" x14ac:dyDescent="0.25">
      <c r="A3" s="433" t="s">
        <v>86</v>
      </c>
      <c r="B3" s="434"/>
      <c r="C3" s="434"/>
      <c r="D3" s="434"/>
      <c r="E3" s="435"/>
    </row>
    <row r="4" spans="1:5" x14ac:dyDescent="0.25">
      <c r="A4" s="56" t="s">
        <v>88</v>
      </c>
      <c r="B4" s="57" t="s">
        <v>89</v>
      </c>
      <c r="C4" s="13" t="s">
        <v>90</v>
      </c>
      <c r="D4" s="13" t="s">
        <v>91</v>
      </c>
      <c r="E4" s="58" t="s">
        <v>38</v>
      </c>
    </row>
    <row r="5" spans="1:5" x14ac:dyDescent="0.25">
      <c r="A5" s="15" t="s">
        <v>69</v>
      </c>
      <c r="B5" s="54">
        <v>3.8492000000000002</v>
      </c>
      <c r="C5" s="14" t="s">
        <v>79</v>
      </c>
      <c r="D5" s="14" t="s">
        <v>80</v>
      </c>
      <c r="E5" s="55" t="s">
        <v>81</v>
      </c>
    </row>
    <row r="6" spans="1:5" ht="15.6" x14ac:dyDescent="0.25">
      <c r="A6" s="15" t="s">
        <v>68</v>
      </c>
      <c r="B6" s="54">
        <v>1023</v>
      </c>
      <c r="C6" s="14" t="s">
        <v>82</v>
      </c>
      <c r="D6" s="14" t="s">
        <v>83</v>
      </c>
      <c r="E6" s="55" t="s">
        <v>84</v>
      </c>
    </row>
    <row r="7" spans="1:5" x14ac:dyDescent="0.25">
      <c r="A7" s="15" t="s">
        <v>70</v>
      </c>
      <c r="B7" s="54">
        <v>5.8250000000000002</v>
      </c>
      <c r="C7" s="14" t="s">
        <v>79</v>
      </c>
      <c r="D7" s="14" t="s">
        <v>80</v>
      </c>
      <c r="E7" s="55" t="s">
        <v>85</v>
      </c>
    </row>
    <row r="8" spans="1:5" x14ac:dyDescent="0.25">
      <c r="A8" s="65" t="s">
        <v>147</v>
      </c>
      <c r="B8" s="88">
        <v>140</v>
      </c>
      <c r="C8" s="14" t="s">
        <v>79</v>
      </c>
      <c r="D8" s="14" t="s">
        <v>72</v>
      </c>
      <c r="E8" s="46" t="s">
        <v>149</v>
      </c>
    </row>
    <row r="9" spans="1:5" ht="13.8" thickBot="1" x14ac:dyDescent="0.3">
      <c r="A9" s="3"/>
      <c r="C9" s="9"/>
      <c r="D9" s="9"/>
    </row>
    <row r="10" spans="1:5" x14ac:dyDescent="0.25">
      <c r="A10" s="433" t="s">
        <v>92</v>
      </c>
      <c r="B10" s="434"/>
      <c r="C10" s="434"/>
      <c r="D10" s="435"/>
    </row>
    <row r="11" spans="1:5" x14ac:dyDescent="0.25">
      <c r="A11" s="56" t="s">
        <v>88</v>
      </c>
      <c r="B11" s="57" t="s">
        <v>89</v>
      </c>
      <c r="C11" s="13" t="s">
        <v>90</v>
      </c>
      <c r="D11" s="59" t="s">
        <v>91</v>
      </c>
      <c r="E11" s="60"/>
    </row>
    <row r="12" spans="1:5" x14ac:dyDescent="0.25">
      <c r="A12" s="15" t="s">
        <v>69</v>
      </c>
      <c r="B12" s="54">
        <f>3.86*1000/42</f>
        <v>91.904761904761898</v>
      </c>
      <c r="C12" s="14" t="s">
        <v>79</v>
      </c>
      <c r="D12" s="61" t="s">
        <v>72</v>
      </c>
    </row>
    <row r="13" spans="1:5" x14ac:dyDescent="0.25">
      <c r="A13" s="15" t="s">
        <v>68</v>
      </c>
      <c r="B13" s="54">
        <f>B6</f>
        <v>1023</v>
      </c>
      <c r="C13" s="14" t="s">
        <v>79</v>
      </c>
      <c r="D13" s="61" t="s">
        <v>78</v>
      </c>
    </row>
    <row r="14" spans="1:5" x14ac:dyDescent="0.25">
      <c r="A14" s="15" t="s">
        <v>70</v>
      </c>
      <c r="B14" s="54">
        <f>B7*1000/42</f>
        <v>138.6904761904762</v>
      </c>
      <c r="C14" s="14" t="s">
        <v>79</v>
      </c>
      <c r="D14" s="61" t="s">
        <v>72</v>
      </c>
    </row>
    <row r="15" spans="1:5" x14ac:dyDescent="0.25">
      <c r="A15" s="65" t="s">
        <v>147</v>
      </c>
      <c r="B15" s="88">
        <v>140</v>
      </c>
      <c r="C15" s="14" t="s">
        <v>79</v>
      </c>
      <c r="D15" s="14" t="s">
        <v>72</v>
      </c>
    </row>
  </sheetData>
  <mergeCells count="2">
    <mergeCell ref="A3:E3"/>
    <mergeCell ref="A10:D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U37"/>
  <sheetViews>
    <sheetView workbookViewId="0"/>
  </sheetViews>
  <sheetFormatPr defaultRowHeight="13.2" x14ac:dyDescent="0.25"/>
  <cols>
    <col min="1" max="1" width="77.33203125" bestFit="1" customWidth="1"/>
    <col min="2" max="2" width="55.6640625" customWidth="1"/>
    <col min="3" max="4" width="20.6640625" style="9" customWidth="1"/>
    <col min="5" max="5" width="31.33203125" customWidth="1"/>
  </cols>
  <sheetData>
    <row r="1" spans="1:73" ht="17.399999999999999" x14ac:dyDescent="0.3">
      <c r="A1" s="2" t="s">
        <v>51</v>
      </c>
      <c r="B1" s="2"/>
      <c r="C1" s="45"/>
      <c r="D1" s="45"/>
    </row>
    <row r="2" spans="1:73" ht="10.5" customHeight="1" thickBot="1" x14ac:dyDescent="0.3">
      <c r="A2" s="3"/>
      <c r="B2" s="3"/>
      <c r="C2" s="44"/>
      <c r="D2" s="44"/>
    </row>
    <row r="3" spans="1:73" ht="12" customHeight="1" thickBot="1" x14ac:dyDescent="0.3">
      <c r="A3" s="439" t="s">
        <v>117</v>
      </c>
      <c r="B3" s="440"/>
      <c r="C3" s="440"/>
      <c r="D3" s="440"/>
      <c r="E3" s="441"/>
    </row>
    <row r="4" spans="1:73" s="54" customFormat="1" ht="12.75" customHeight="1" x14ac:dyDescent="0.25">
      <c r="A4" s="278" t="s">
        <v>52</v>
      </c>
      <c r="B4" s="279" t="s">
        <v>114</v>
      </c>
      <c r="C4" s="280" t="s">
        <v>115</v>
      </c>
      <c r="D4" s="280" t="s">
        <v>116</v>
      </c>
      <c r="E4" s="281" t="s">
        <v>38</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x14ac:dyDescent="0.25">
      <c r="A5" s="69" t="s">
        <v>107</v>
      </c>
      <c r="B5" s="67" t="s">
        <v>99</v>
      </c>
      <c r="C5" s="68">
        <v>40</v>
      </c>
      <c r="D5" s="68">
        <f>C5/100</f>
        <v>0.4</v>
      </c>
      <c r="E5" s="70" t="s">
        <v>459</v>
      </c>
    </row>
    <row r="6" spans="1:73" x14ac:dyDescent="0.25">
      <c r="A6" s="15" t="s">
        <v>108</v>
      </c>
      <c r="B6" s="65" t="s">
        <v>101</v>
      </c>
      <c r="C6" s="14">
        <v>45</v>
      </c>
      <c r="D6" s="14">
        <f t="shared" ref="D6:D11" si="0">C6/100</f>
        <v>0.45</v>
      </c>
      <c r="E6" s="70" t="s">
        <v>459</v>
      </c>
    </row>
    <row r="7" spans="1:73" x14ac:dyDescent="0.25">
      <c r="A7" s="15" t="s">
        <v>109</v>
      </c>
      <c r="B7" s="65" t="s">
        <v>102</v>
      </c>
      <c r="C7" s="14">
        <v>60</v>
      </c>
      <c r="D7" s="14">
        <f t="shared" si="0"/>
        <v>0.6</v>
      </c>
      <c r="E7" s="70" t="s">
        <v>459</v>
      </c>
    </row>
    <row r="8" spans="1:73" x14ac:dyDescent="0.25">
      <c r="A8" s="15" t="s">
        <v>110</v>
      </c>
      <c r="B8" s="65" t="s">
        <v>100</v>
      </c>
      <c r="C8" s="66">
        <v>75</v>
      </c>
      <c r="D8" s="14">
        <f t="shared" si="0"/>
        <v>0.75</v>
      </c>
      <c r="E8" s="70" t="s">
        <v>459</v>
      </c>
    </row>
    <row r="9" spans="1:73" x14ac:dyDescent="0.25">
      <c r="A9" s="15" t="s">
        <v>111</v>
      </c>
      <c r="B9" s="65" t="s">
        <v>105</v>
      </c>
      <c r="C9" s="66">
        <v>85</v>
      </c>
      <c r="D9" s="14">
        <f t="shared" si="0"/>
        <v>0.85</v>
      </c>
      <c r="E9" s="70" t="s">
        <v>459</v>
      </c>
    </row>
    <row r="10" spans="1:73" x14ac:dyDescent="0.25">
      <c r="A10" s="15" t="s">
        <v>112</v>
      </c>
      <c r="B10" s="65" t="s">
        <v>103</v>
      </c>
      <c r="C10" s="66">
        <v>90</v>
      </c>
      <c r="D10" s="14">
        <f t="shared" si="0"/>
        <v>0.9</v>
      </c>
      <c r="E10" s="70" t="s">
        <v>459</v>
      </c>
    </row>
    <row r="11" spans="1:73" ht="13.8" thickBot="1" x14ac:dyDescent="0.3">
      <c r="A11" s="71" t="s">
        <v>113</v>
      </c>
      <c r="B11" s="72" t="s">
        <v>104</v>
      </c>
      <c r="C11" s="73">
        <v>95</v>
      </c>
      <c r="D11" s="74">
        <f t="shared" si="0"/>
        <v>0.95</v>
      </c>
      <c r="E11" s="93" t="s">
        <v>459</v>
      </c>
    </row>
    <row r="12" spans="1:73" ht="13.8" thickBot="1" x14ac:dyDescent="0.3"/>
    <row r="13" spans="1:73" x14ac:dyDescent="0.25">
      <c r="A13" s="436" t="s">
        <v>150</v>
      </c>
      <c r="B13" s="437"/>
      <c r="C13" s="438"/>
    </row>
    <row r="14" spans="1:73" x14ac:dyDescent="0.25">
      <c r="A14" s="56"/>
      <c r="B14" s="13" t="s">
        <v>139</v>
      </c>
      <c r="C14" s="58" t="s">
        <v>38</v>
      </c>
      <c r="D14"/>
    </row>
    <row r="15" spans="1:73" ht="13.8" thickBot="1" x14ac:dyDescent="0.3">
      <c r="A15" s="71" t="s">
        <v>440</v>
      </c>
      <c r="B15" s="92">
        <v>8.34</v>
      </c>
      <c r="C15" s="90" t="s">
        <v>158</v>
      </c>
      <c r="D15"/>
    </row>
    <row r="16" spans="1:73" ht="13.8" thickBot="1" x14ac:dyDescent="0.3"/>
    <row r="17" spans="1:5" x14ac:dyDescent="0.25">
      <c r="A17" s="436" t="s">
        <v>145</v>
      </c>
      <c r="B17" s="437"/>
      <c r="C17" s="437"/>
      <c r="D17" s="438"/>
    </row>
    <row r="18" spans="1:5" x14ac:dyDescent="0.25">
      <c r="A18" s="56" t="s">
        <v>88</v>
      </c>
      <c r="B18" s="13" t="s">
        <v>146</v>
      </c>
      <c r="C18" s="13" t="s">
        <v>445</v>
      </c>
      <c r="D18" s="271" t="s">
        <v>446</v>
      </c>
      <c r="E18" s="84" t="s">
        <v>38</v>
      </c>
    </row>
    <row r="19" spans="1:5" x14ac:dyDescent="0.25">
      <c r="A19" s="62" t="s">
        <v>70</v>
      </c>
      <c r="B19" s="14">
        <v>0.24</v>
      </c>
      <c r="C19" s="14">
        <v>0.5</v>
      </c>
      <c r="D19" s="14" t="s">
        <v>447</v>
      </c>
      <c r="E19" s="282" t="s">
        <v>460</v>
      </c>
    </row>
    <row r="20" spans="1:5" x14ac:dyDescent="0.25">
      <c r="A20" s="62" t="s">
        <v>68</v>
      </c>
      <c r="B20" s="66">
        <v>0.2</v>
      </c>
      <c r="C20" s="66">
        <v>48</v>
      </c>
      <c r="D20" s="66" t="s">
        <v>448</v>
      </c>
      <c r="E20" s="283" t="s">
        <v>449</v>
      </c>
    </row>
    <row r="21" spans="1:5" x14ac:dyDescent="0.25">
      <c r="A21" s="62" t="s">
        <v>69</v>
      </c>
      <c r="B21" s="66">
        <v>0.2</v>
      </c>
      <c r="C21" s="66">
        <v>48</v>
      </c>
      <c r="D21" s="66" t="s">
        <v>448</v>
      </c>
      <c r="E21" s="283" t="s">
        <v>449</v>
      </c>
    </row>
    <row r="22" spans="1:5" ht="13.8" thickBot="1" x14ac:dyDescent="0.3">
      <c r="A22" s="85" t="s">
        <v>147</v>
      </c>
      <c r="B22" s="89">
        <v>0.5</v>
      </c>
      <c r="C22" s="73">
        <v>2</v>
      </c>
      <c r="D22" s="272" t="s">
        <v>447</v>
      </c>
      <c r="E22" s="90" t="s">
        <v>461</v>
      </c>
    </row>
    <row r="23" spans="1:5" ht="13.8" thickBot="1" x14ac:dyDescent="0.3"/>
    <row r="24" spans="1:5" x14ac:dyDescent="0.25">
      <c r="A24" s="436" t="s">
        <v>148</v>
      </c>
      <c r="B24" s="437"/>
      <c r="C24" s="437"/>
      <c r="D24" s="438"/>
    </row>
    <row r="25" spans="1:5" x14ac:dyDescent="0.25">
      <c r="A25" s="56" t="s">
        <v>88</v>
      </c>
      <c r="B25" s="13" t="s">
        <v>146</v>
      </c>
      <c r="C25" s="13" t="s">
        <v>445</v>
      </c>
      <c r="D25" s="84" t="s">
        <v>38</v>
      </c>
    </row>
    <row r="26" spans="1:5" ht="13.8" thickBot="1" x14ac:dyDescent="0.3">
      <c r="A26" s="85" t="s">
        <v>147</v>
      </c>
      <c r="B26" s="74">
        <v>0.65</v>
      </c>
      <c r="C26" s="73">
        <v>1.2</v>
      </c>
      <c r="D26" s="91" t="s">
        <v>437</v>
      </c>
    </row>
    <row r="28" spans="1:5" ht="13.8" thickBot="1" x14ac:dyDescent="0.3"/>
    <row r="29" spans="1:5" x14ac:dyDescent="0.25">
      <c r="A29" s="436" t="s">
        <v>452</v>
      </c>
      <c r="B29" s="437"/>
      <c r="C29" s="437"/>
      <c r="D29" s="438"/>
    </row>
    <row r="30" spans="1:5" x14ac:dyDescent="0.25">
      <c r="A30" s="284" t="s">
        <v>457</v>
      </c>
      <c r="B30" s="13" t="s">
        <v>458</v>
      </c>
      <c r="C30" s="13" t="s">
        <v>446</v>
      </c>
      <c r="D30" s="59" t="s">
        <v>38</v>
      </c>
    </row>
    <row r="31" spans="1:5" x14ac:dyDescent="0.25">
      <c r="A31" s="62" t="s">
        <v>456</v>
      </c>
      <c r="B31" s="274">
        <f>98*0.95</f>
        <v>93.1</v>
      </c>
      <c r="C31" s="275" t="s">
        <v>450</v>
      </c>
      <c r="D31" s="276" t="s">
        <v>519</v>
      </c>
    </row>
    <row r="32" spans="1:5" x14ac:dyDescent="0.25">
      <c r="A32" s="62" t="s">
        <v>454</v>
      </c>
      <c r="B32" s="274">
        <f>98*0.95</f>
        <v>93.1</v>
      </c>
      <c r="C32" s="275" t="s">
        <v>450</v>
      </c>
      <c r="D32" s="276" t="s">
        <v>520</v>
      </c>
    </row>
    <row r="33" spans="1:4" ht="13.8" thickBot="1" x14ac:dyDescent="0.3">
      <c r="A33" s="285" t="s">
        <v>455</v>
      </c>
      <c r="B33" s="89">
        <f>98*0.95</f>
        <v>93.1</v>
      </c>
      <c r="C33" s="89" t="s">
        <v>450</v>
      </c>
      <c r="D33" s="277" t="s">
        <v>519</v>
      </c>
    </row>
    <row r="34" spans="1:4" ht="13.8" thickBot="1" x14ac:dyDescent="0.3"/>
    <row r="35" spans="1:4" x14ac:dyDescent="0.25">
      <c r="A35" s="436" t="s">
        <v>453</v>
      </c>
      <c r="B35" s="437"/>
      <c r="C35" s="437"/>
      <c r="D35" s="438"/>
    </row>
    <row r="36" spans="1:4" x14ac:dyDescent="0.25">
      <c r="A36" s="284" t="s">
        <v>457</v>
      </c>
      <c r="B36" s="13" t="s">
        <v>458</v>
      </c>
      <c r="C36" s="13" t="s">
        <v>446</v>
      </c>
      <c r="D36" s="59" t="s">
        <v>38</v>
      </c>
    </row>
    <row r="37" spans="1:4" ht="13.8" thickBot="1" x14ac:dyDescent="0.3">
      <c r="A37" s="71" t="s">
        <v>466</v>
      </c>
      <c r="B37" s="89">
        <v>98</v>
      </c>
      <c r="C37" s="74" t="s">
        <v>450</v>
      </c>
      <c r="D37" s="293" t="s">
        <v>462</v>
      </c>
    </row>
  </sheetData>
  <mergeCells count="6">
    <mergeCell ref="A35:D35"/>
    <mergeCell ref="A3:E3"/>
    <mergeCell ref="A17:D17"/>
    <mergeCell ref="A24:D24"/>
    <mergeCell ref="A13:C13"/>
    <mergeCell ref="A29:D2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5"/>
  <sheetViews>
    <sheetView workbookViewId="0"/>
  </sheetViews>
  <sheetFormatPr defaultColWidth="9.109375" defaultRowHeight="14.4" x14ac:dyDescent="0.3"/>
  <cols>
    <col min="1" max="1" width="47.33203125" style="150" bestFit="1" customWidth="1"/>
    <col min="2" max="2" width="17.88671875" style="149" bestFit="1" customWidth="1"/>
    <col min="3" max="3" width="11" style="149" bestFit="1" customWidth="1"/>
    <col min="4" max="4" width="19.44140625" style="150" bestFit="1" customWidth="1"/>
    <col min="5" max="5" width="14.33203125" style="150" bestFit="1" customWidth="1"/>
    <col min="6" max="6" width="26" style="150" bestFit="1" customWidth="1"/>
    <col min="7" max="7" width="18.6640625" style="150" bestFit="1" customWidth="1"/>
    <col min="8" max="8" width="14.33203125" style="150" bestFit="1" customWidth="1"/>
    <col min="9" max="10" width="26" style="150" bestFit="1" customWidth="1"/>
    <col min="11" max="11" width="18.6640625" style="150" bestFit="1" customWidth="1"/>
    <col min="12" max="12" width="13.44140625" style="150" bestFit="1" customWidth="1"/>
    <col min="13" max="13" width="5.5546875" style="149" bestFit="1" customWidth="1"/>
    <col min="14" max="14" width="12.109375" style="149" bestFit="1" customWidth="1"/>
    <col min="15" max="16384" width="9.109375" style="150"/>
  </cols>
  <sheetData>
    <row r="1" spans="1:14" ht="17.399999999999999" x14ac:dyDescent="0.3">
      <c r="A1" s="148" t="s">
        <v>196</v>
      </c>
    </row>
    <row r="3" spans="1:14" x14ac:dyDescent="0.3">
      <c r="D3" s="442" t="s">
        <v>197</v>
      </c>
      <c r="E3" s="442"/>
      <c r="F3" s="442"/>
      <c r="G3" s="442"/>
      <c r="H3" s="442"/>
      <c r="I3" s="442"/>
      <c r="J3" s="442"/>
      <c r="K3" s="442"/>
      <c r="L3" s="442"/>
      <c r="M3" s="442"/>
      <c r="N3" s="442"/>
    </row>
    <row r="4" spans="1:14" x14ac:dyDescent="0.3">
      <c r="A4" s="151" t="s">
        <v>198</v>
      </c>
      <c r="B4" s="152" t="s">
        <v>199</v>
      </c>
      <c r="C4" s="152" t="s">
        <v>200</v>
      </c>
      <c r="D4" s="151" t="s">
        <v>6</v>
      </c>
      <c r="E4" s="151" t="s">
        <v>8</v>
      </c>
      <c r="F4" s="151" t="s">
        <v>9</v>
      </c>
      <c r="G4" s="151" t="s">
        <v>201</v>
      </c>
      <c r="H4" s="151" t="s">
        <v>202</v>
      </c>
      <c r="I4" s="151" t="s">
        <v>203</v>
      </c>
      <c r="J4" s="151" t="s">
        <v>204</v>
      </c>
      <c r="K4" s="151" t="s">
        <v>205</v>
      </c>
      <c r="L4" s="151" t="s">
        <v>206</v>
      </c>
      <c r="M4" s="152" t="s">
        <v>198</v>
      </c>
      <c r="N4" s="152" t="s">
        <v>207</v>
      </c>
    </row>
    <row r="5" spans="1:14" x14ac:dyDescent="0.3">
      <c r="A5" s="150" t="s">
        <v>208</v>
      </c>
      <c r="B5" s="149" t="s">
        <v>209</v>
      </c>
      <c r="C5" s="149">
        <v>4</v>
      </c>
      <c r="D5" s="153" t="s">
        <v>210</v>
      </c>
      <c r="E5" s="154" t="s">
        <v>211</v>
      </c>
      <c r="F5" s="155" t="s">
        <v>212</v>
      </c>
      <c r="G5" s="154" t="s">
        <v>213</v>
      </c>
      <c r="H5" s="154" t="s">
        <v>214</v>
      </c>
      <c r="I5" s="156" t="s">
        <v>215</v>
      </c>
      <c r="J5" s="154" t="s">
        <v>216</v>
      </c>
      <c r="K5" s="153" t="s">
        <v>217</v>
      </c>
      <c r="L5" s="154" t="s">
        <v>218</v>
      </c>
      <c r="M5" s="157" t="s">
        <v>219</v>
      </c>
      <c r="N5" s="157" t="s">
        <v>220</v>
      </c>
    </row>
    <row r="6" spans="1:14" x14ac:dyDescent="0.3">
      <c r="A6" s="150" t="s">
        <v>221</v>
      </c>
      <c r="B6" s="149" t="s">
        <v>222</v>
      </c>
      <c r="C6" s="149">
        <v>10</v>
      </c>
      <c r="D6" s="153" t="s">
        <v>223</v>
      </c>
      <c r="E6" s="153" t="s">
        <v>224</v>
      </c>
      <c r="F6" s="156" t="s">
        <v>225</v>
      </c>
      <c r="G6" s="153" t="s">
        <v>226</v>
      </c>
      <c r="H6" s="154"/>
      <c r="I6" s="154"/>
      <c r="J6" s="154" t="s">
        <v>227</v>
      </c>
      <c r="K6" s="154" t="s">
        <v>228</v>
      </c>
      <c r="L6" s="154" t="s">
        <v>229</v>
      </c>
      <c r="M6" s="157" t="s">
        <v>230</v>
      </c>
      <c r="N6" s="157">
        <v>98101</v>
      </c>
    </row>
    <row r="7" spans="1:14" x14ac:dyDescent="0.3">
      <c r="A7" s="150" t="s">
        <v>231</v>
      </c>
      <c r="B7" s="149" t="s">
        <v>232</v>
      </c>
      <c r="C7" s="149">
        <v>9</v>
      </c>
      <c r="D7" s="153" t="s">
        <v>233</v>
      </c>
      <c r="E7" s="154" t="s">
        <v>234</v>
      </c>
      <c r="F7" s="155" t="s">
        <v>235</v>
      </c>
      <c r="G7" s="153" t="s">
        <v>236</v>
      </c>
      <c r="H7" s="154" t="s">
        <v>237</v>
      </c>
      <c r="I7" s="155" t="s">
        <v>238</v>
      </c>
      <c r="J7" s="154" t="s">
        <v>239</v>
      </c>
      <c r="K7" s="154" t="s">
        <v>240</v>
      </c>
      <c r="L7" s="154" t="s">
        <v>241</v>
      </c>
      <c r="M7" s="157" t="s">
        <v>242</v>
      </c>
      <c r="N7" s="157">
        <v>94105</v>
      </c>
    </row>
    <row r="8" spans="1:14" x14ac:dyDescent="0.3">
      <c r="A8" s="150" t="s">
        <v>243</v>
      </c>
      <c r="B8" s="149" t="s">
        <v>244</v>
      </c>
      <c r="C8" s="149">
        <v>6</v>
      </c>
      <c r="D8" s="153" t="s">
        <v>245</v>
      </c>
      <c r="E8" s="154" t="s">
        <v>246</v>
      </c>
      <c r="F8" s="158" t="s">
        <v>247</v>
      </c>
      <c r="G8" s="154" t="s">
        <v>226</v>
      </c>
      <c r="H8" s="154"/>
      <c r="I8" s="154"/>
      <c r="J8" s="153" t="s">
        <v>248</v>
      </c>
      <c r="K8" s="153" t="s">
        <v>249</v>
      </c>
      <c r="L8" s="154" t="s">
        <v>250</v>
      </c>
      <c r="M8" s="157" t="s">
        <v>251</v>
      </c>
      <c r="N8" s="157" t="s">
        <v>252</v>
      </c>
    </row>
    <row r="9" spans="1:14" x14ac:dyDescent="0.3">
      <c r="A9" s="150" t="s">
        <v>253</v>
      </c>
      <c r="B9" s="149" t="s">
        <v>242</v>
      </c>
      <c r="C9" s="149">
        <v>9</v>
      </c>
      <c r="D9" s="153" t="s">
        <v>233</v>
      </c>
      <c r="E9" s="154" t="s">
        <v>234</v>
      </c>
      <c r="F9" s="155" t="s">
        <v>235</v>
      </c>
      <c r="G9" s="153" t="s">
        <v>236</v>
      </c>
      <c r="H9" s="154" t="s">
        <v>237</v>
      </c>
      <c r="I9" s="155" t="s">
        <v>238</v>
      </c>
      <c r="J9" s="154" t="s">
        <v>239</v>
      </c>
      <c r="K9" s="154" t="s">
        <v>240</v>
      </c>
      <c r="L9" s="154" t="s">
        <v>241</v>
      </c>
      <c r="M9" s="157" t="s">
        <v>242</v>
      </c>
      <c r="N9" s="157">
        <v>94105</v>
      </c>
    </row>
    <row r="10" spans="1:14" x14ac:dyDescent="0.3">
      <c r="A10" s="150" t="s">
        <v>254</v>
      </c>
      <c r="B10" s="149" t="s">
        <v>63</v>
      </c>
      <c r="C10" s="149">
        <v>8</v>
      </c>
      <c r="D10" s="153" t="s">
        <v>255</v>
      </c>
      <c r="E10" s="154" t="s">
        <v>256</v>
      </c>
      <c r="F10" s="155" t="s">
        <v>257</v>
      </c>
      <c r="G10" s="153" t="s">
        <v>258</v>
      </c>
      <c r="H10" s="154" t="s">
        <v>259</v>
      </c>
      <c r="I10" s="156" t="s">
        <v>260</v>
      </c>
      <c r="J10" s="153" t="s">
        <v>261</v>
      </c>
      <c r="K10" s="153" t="s">
        <v>262</v>
      </c>
      <c r="L10" s="154" t="s">
        <v>263</v>
      </c>
      <c r="M10" s="157" t="s">
        <v>63</v>
      </c>
      <c r="N10" s="157" t="s">
        <v>264</v>
      </c>
    </row>
    <row r="11" spans="1:14" x14ac:dyDescent="0.3">
      <c r="A11" s="150" t="s">
        <v>265</v>
      </c>
      <c r="B11" s="149" t="s">
        <v>266</v>
      </c>
      <c r="C11" s="149">
        <v>1</v>
      </c>
      <c r="D11" s="154" t="s">
        <v>267</v>
      </c>
      <c r="E11" s="154" t="s">
        <v>268</v>
      </c>
      <c r="F11" s="156" t="s">
        <v>269</v>
      </c>
      <c r="G11" s="154" t="s">
        <v>226</v>
      </c>
      <c r="H11" s="154"/>
      <c r="I11" s="154"/>
      <c r="J11" s="153" t="s">
        <v>270</v>
      </c>
      <c r="K11" s="153" t="s">
        <v>271</v>
      </c>
      <c r="L11" s="154" t="s">
        <v>272</v>
      </c>
      <c r="M11" s="157" t="s">
        <v>273</v>
      </c>
      <c r="N11" s="157" t="s">
        <v>274</v>
      </c>
    </row>
    <row r="12" spans="1:14" x14ac:dyDescent="0.3">
      <c r="A12" s="150" t="s">
        <v>275</v>
      </c>
      <c r="B12" s="149" t="s">
        <v>276</v>
      </c>
      <c r="C12" s="149">
        <v>4</v>
      </c>
      <c r="D12" s="153" t="s">
        <v>210</v>
      </c>
      <c r="E12" s="154" t="s">
        <v>211</v>
      </c>
      <c r="F12" s="155" t="s">
        <v>212</v>
      </c>
      <c r="G12" s="154" t="s">
        <v>213</v>
      </c>
      <c r="H12" s="154" t="s">
        <v>214</v>
      </c>
      <c r="I12" s="156" t="s">
        <v>215</v>
      </c>
      <c r="J12" s="154" t="s">
        <v>216</v>
      </c>
      <c r="K12" s="153" t="s">
        <v>217</v>
      </c>
      <c r="L12" s="154" t="s">
        <v>218</v>
      </c>
      <c r="M12" s="157" t="s">
        <v>219</v>
      </c>
      <c r="N12" s="157" t="s">
        <v>220</v>
      </c>
    </row>
    <row r="13" spans="1:14" x14ac:dyDescent="0.3">
      <c r="A13" s="301" t="s">
        <v>478</v>
      </c>
      <c r="B13" s="149" t="s">
        <v>219</v>
      </c>
      <c r="C13" s="149">
        <v>4</v>
      </c>
      <c r="D13" s="153" t="s">
        <v>210</v>
      </c>
      <c r="E13" s="154" t="s">
        <v>211</v>
      </c>
      <c r="F13" s="155" t="s">
        <v>212</v>
      </c>
      <c r="G13" s="154" t="s">
        <v>213</v>
      </c>
      <c r="H13" s="154" t="s">
        <v>214</v>
      </c>
      <c r="I13" s="156" t="s">
        <v>215</v>
      </c>
      <c r="J13" s="154" t="s">
        <v>216</v>
      </c>
      <c r="K13" s="153" t="s">
        <v>217</v>
      </c>
      <c r="L13" s="154" t="s">
        <v>218</v>
      </c>
      <c r="M13" s="157" t="s">
        <v>219</v>
      </c>
      <c r="N13" s="157" t="s">
        <v>220</v>
      </c>
    </row>
    <row r="14" spans="1:14" x14ac:dyDescent="0.3">
      <c r="A14" s="150" t="s">
        <v>277</v>
      </c>
      <c r="B14" s="149" t="s">
        <v>278</v>
      </c>
      <c r="C14" s="149">
        <v>9</v>
      </c>
      <c r="D14" s="153" t="s">
        <v>233</v>
      </c>
      <c r="E14" s="154" t="s">
        <v>234</v>
      </c>
      <c r="F14" s="155" t="s">
        <v>235</v>
      </c>
      <c r="G14" s="153" t="s">
        <v>236</v>
      </c>
      <c r="H14" s="154" t="s">
        <v>237</v>
      </c>
      <c r="I14" s="155" t="s">
        <v>238</v>
      </c>
      <c r="J14" s="154" t="s">
        <v>239</v>
      </c>
      <c r="K14" s="154" t="s">
        <v>240</v>
      </c>
      <c r="L14" s="154" t="s">
        <v>241</v>
      </c>
      <c r="M14" s="157" t="s">
        <v>242</v>
      </c>
      <c r="N14" s="157">
        <v>94105</v>
      </c>
    </row>
    <row r="15" spans="1:14" x14ac:dyDescent="0.3">
      <c r="A15" s="150" t="s">
        <v>279</v>
      </c>
      <c r="B15" s="149" t="s">
        <v>280</v>
      </c>
      <c r="C15" s="149">
        <v>10</v>
      </c>
      <c r="D15" s="153" t="s">
        <v>223</v>
      </c>
      <c r="E15" s="153" t="s">
        <v>224</v>
      </c>
      <c r="F15" s="156" t="s">
        <v>225</v>
      </c>
      <c r="G15" s="153" t="s">
        <v>226</v>
      </c>
      <c r="H15" s="154"/>
      <c r="I15" s="154"/>
      <c r="J15" s="154" t="s">
        <v>227</v>
      </c>
      <c r="K15" s="154" t="s">
        <v>228</v>
      </c>
      <c r="L15" s="154" t="s">
        <v>229</v>
      </c>
      <c r="M15" s="157" t="s">
        <v>230</v>
      </c>
      <c r="N15" s="157">
        <v>98101</v>
      </c>
    </row>
    <row r="16" spans="1:14" x14ac:dyDescent="0.3">
      <c r="A16" s="150" t="s">
        <v>281</v>
      </c>
      <c r="B16" s="149" t="s">
        <v>282</v>
      </c>
      <c r="C16" s="149">
        <v>5</v>
      </c>
      <c r="D16" s="153" t="s">
        <v>283</v>
      </c>
      <c r="E16" s="154" t="s">
        <v>284</v>
      </c>
      <c r="F16" s="155" t="s">
        <v>285</v>
      </c>
      <c r="G16" s="154" t="s">
        <v>226</v>
      </c>
      <c r="H16" s="154"/>
      <c r="I16" s="154"/>
      <c r="J16" s="153" t="s">
        <v>286</v>
      </c>
      <c r="K16" s="153" t="s">
        <v>287</v>
      </c>
      <c r="L16" s="154" t="s">
        <v>288</v>
      </c>
      <c r="M16" s="157" t="s">
        <v>282</v>
      </c>
      <c r="N16" s="157" t="s">
        <v>289</v>
      </c>
    </row>
    <row r="17" spans="1:14" x14ac:dyDescent="0.3">
      <c r="A17" s="150" t="s">
        <v>290</v>
      </c>
      <c r="B17" s="149" t="s">
        <v>291</v>
      </c>
      <c r="C17" s="149">
        <v>5</v>
      </c>
      <c r="D17" s="153" t="s">
        <v>283</v>
      </c>
      <c r="E17" s="154" t="s">
        <v>284</v>
      </c>
      <c r="F17" s="155" t="s">
        <v>285</v>
      </c>
      <c r="G17" s="154" t="s">
        <v>226</v>
      </c>
      <c r="H17" s="154"/>
      <c r="I17" s="154"/>
      <c r="J17" s="153" t="s">
        <v>286</v>
      </c>
      <c r="K17" s="153" t="s">
        <v>287</v>
      </c>
      <c r="L17" s="154" t="s">
        <v>288</v>
      </c>
      <c r="M17" s="157" t="s">
        <v>282</v>
      </c>
      <c r="N17" s="157" t="s">
        <v>289</v>
      </c>
    </row>
    <row r="18" spans="1:14" x14ac:dyDescent="0.3">
      <c r="A18" s="150" t="s">
        <v>292</v>
      </c>
      <c r="B18" s="149" t="s">
        <v>293</v>
      </c>
      <c r="C18" s="149">
        <v>7</v>
      </c>
      <c r="D18" s="153" t="s">
        <v>294</v>
      </c>
      <c r="E18" s="154" t="s">
        <v>295</v>
      </c>
      <c r="F18" s="155" t="s">
        <v>296</v>
      </c>
      <c r="G18" s="154" t="s">
        <v>226</v>
      </c>
      <c r="H18" s="154"/>
      <c r="I18" s="154"/>
      <c r="J18" s="153" t="s">
        <v>297</v>
      </c>
      <c r="K18" s="153" t="s">
        <v>298</v>
      </c>
      <c r="L18" s="154" t="s">
        <v>299</v>
      </c>
      <c r="M18" s="157" t="s">
        <v>300</v>
      </c>
      <c r="N18" s="157">
        <v>66219</v>
      </c>
    </row>
    <row r="19" spans="1:14" x14ac:dyDescent="0.3">
      <c r="A19" s="150" t="s">
        <v>301</v>
      </c>
      <c r="B19" s="149" t="s">
        <v>302</v>
      </c>
      <c r="C19" s="149">
        <v>7</v>
      </c>
      <c r="D19" s="153" t="s">
        <v>294</v>
      </c>
      <c r="E19" s="154" t="s">
        <v>295</v>
      </c>
      <c r="F19" s="155" t="s">
        <v>296</v>
      </c>
      <c r="G19" s="154" t="s">
        <v>226</v>
      </c>
      <c r="H19" s="154"/>
      <c r="I19" s="154"/>
      <c r="J19" s="153" t="s">
        <v>297</v>
      </c>
      <c r="K19" s="153" t="s">
        <v>298</v>
      </c>
      <c r="L19" s="154" t="s">
        <v>299</v>
      </c>
      <c r="M19" s="157" t="s">
        <v>300</v>
      </c>
      <c r="N19" s="157">
        <v>66219</v>
      </c>
    </row>
    <row r="20" spans="1:14" x14ac:dyDescent="0.3">
      <c r="A20" s="150" t="s">
        <v>303</v>
      </c>
      <c r="B20" s="149" t="s">
        <v>304</v>
      </c>
      <c r="C20" s="149">
        <v>4</v>
      </c>
      <c r="D20" s="153" t="s">
        <v>210</v>
      </c>
      <c r="E20" s="154" t="s">
        <v>211</v>
      </c>
      <c r="F20" s="155" t="s">
        <v>212</v>
      </c>
      <c r="G20" s="154" t="s">
        <v>213</v>
      </c>
      <c r="H20" s="154" t="s">
        <v>214</v>
      </c>
      <c r="I20" s="156" t="s">
        <v>215</v>
      </c>
      <c r="J20" s="154" t="s">
        <v>216</v>
      </c>
      <c r="K20" s="153" t="s">
        <v>217</v>
      </c>
      <c r="L20" s="154" t="s">
        <v>218</v>
      </c>
      <c r="M20" s="157" t="s">
        <v>219</v>
      </c>
      <c r="N20" s="157" t="s">
        <v>220</v>
      </c>
    </row>
    <row r="21" spans="1:14" x14ac:dyDescent="0.3">
      <c r="A21" s="301" t="s">
        <v>479</v>
      </c>
      <c r="B21" s="149" t="s">
        <v>305</v>
      </c>
      <c r="C21" s="149">
        <v>6</v>
      </c>
      <c r="D21" s="153" t="s">
        <v>245</v>
      </c>
      <c r="E21" s="329" t="s">
        <v>246</v>
      </c>
      <c r="F21" s="158" t="s">
        <v>247</v>
      </c>
      <c r="G21" s="154" t="s">
        <v>226</v>
      </c>
      <c r="H21" s="154"/>
      <c r="I21" s="154"/>
      <c r="J21" s="153" t="s">
        <v>248</v>
      </c>
      <c r="K21" s="153" t="s">
        <v>249</v>
      </c>
      <c r="L21" s="154" t="s">
        <v>250</v>
      </c>
      <c r="M21" s="157" t="s">
        <v>251</v>
      </c>
      <c r="N21" s="157" t="s">
        <v>252</v>
      </c>
    </row>
    <row r="22" spans="1:14" x14ac:dyDescent="0.3">
      <c r="A22" s="150" t="s">
        <v>306</v>
      </c>
      <c r="B22" s="149" t="s">
        <v>307</v>
      </c>
      <c r="C22" s="149">
        <v>1</v>
      </c>
      <c r="D22" s="154" t="s">
        <v>267</v>
      </c>
      <c r="E22" s="154" t="s">
        <v>268</v>
      </c>
      <c r="F22" s="156" t="s">
        <v>269</v>
      </c>
      <c r="G22" s="154" t="s">
        <v>226</v>
      </c>
      <c r="H22" s="154"/>
      <c r="I22" s="154"/>
      <c r="J22" s="153" t="s">
        <v>270</v>
      </c>
      <c r="K22" s="153" t="s">
        <v>271</v>
      </c>
      <c r="L22" s="154" t="s">
        <v>272</v>
      </c>
      <c r="M22" s="157" t="s">
        <v>273</v>
      </c>
      <c r="N22" s="157" t="s">
        <v>274</v>
      </c>
    </row>
    <row r="23" spans="1:14" x14ac:dyDescent="0.3">
      <c r="A23" s="150" t="s">
        <v>308</v>
      </c>
      <c r="B23" s="149" t="s">
        <v>273</v>
      </c>
      <c r="C23" s="149">
        <v>1</v>
      </c>
      <c r="D23" s="154" t="s">
        <v>267</v>
      </c>
      <c r="E23" s="154" t="s">
        <v>268</v>
      </c>
      <c r="F23" s="156" t="s">
        <v>269</v>
      </c>
      <c r="G23" s="154" t="s">
        <v>226</v>
      </c>
      <c r="H23" s="154"/>
      <c r="I23" s="154"/>
      <c r="J23" s="153" t="s">
        <v>270</v>
      </c>
      <c r="K23" s="153" t="s">
        <v>271</v>
      </c>
      <c r="L23" s="154" t="s">
        <v>272</v>
      </c>
      <c r="M23" s="157" t="s">
        <v>273</v>
      </c>
      <c r="N23" s="157" t="s">
        <v>274</v>
      </c>
    </row>
    <row r="24" spans="1:14" x14ac:dyDescent="0.3">
      <c r="A24" s="150" t="s">
        <v>309</v>
      </c>
      <c r="B24" s="149" t="s">
        <v>310</v>
      </c>
      <c r="C24" s="149">
        <v>5</v>
      </c>
      <c r="D24" s="153" t="s">
        <v>283</v>
      </c>
      <c r="E24" s="154" t="s">
        <v>284</v>
      </c>
      <c r="F24" s="155" t="s">
        <v>285</v>
      </c>
      <c r="G24" s="154" t="s">
        <v>226</v>
      </c>
      <c r="H24" s="154"/>
      <c r="I24" s="154"/>
      <c r="J24" s="153" t="s">
        <v>286</v>
      </c>
      <c r="K24" s="153" t="s">
        <v>287</v>
      </c>
      <c r="L24" s="154" t="s">
        <v>288</v>
      </c>
      <c r="M24" s="157" t="s">
        <v>282</v>
      </c>
      <c r="N24" s="157" t="s">
        <v>289</v>
      </c>
    </row>
    <row r="25" spans="1:14" x14ac:dyDescent="0.3">
      <c r="A25" s="150" t="s">
        <v>311</v>
      </c>
      <c r="B25" s="149" t="s">
        <v>312</v>
      </c>
      <c r="C25" s="149">
        <v>5</v>
      </c>
      <c r="D25" s="153" t="s">
        <v>283</v>
      </c>
      <c r="E25" s="154" t="s">
        <v>284</v>
      </c>
      <c r="F25" s="155" t="s">
        <v>285</v>
      </c>
      <c r="G25" s="154" t="s">
        <v>226</v>
      </c>
      <c r="H25" s="154"/>
      <c r="I25" s="154"/>
      <c r="J25" s="153" t="s">
        <v>286</v>
      </c>
      <c r="K25" s="153" t="s">
        <v>287</v>
      </c>
      <c r="L25" s="154" t="s">
        <v>288</v>
      </c>
      <c r="M25" s="157" t="s">
        <v>282</v>
      </c>
      <c r="N25" s="157" t="s">
        <v>289</v>
      </c>
    </row>
    <row r="26" spans="1:14" x14ac:dyDescent="0.3">
      <c r="A26" s="150" t="s">
        <v>313</v>
      </c>
      <c r="B26" s="149" t="s">
        <v>314</v>
      </c>
      <c r="C26" s="149">
        <v>4</v>
      </c>
      <c r="D26" s="153" t="s">
        <v>210</v>
      </c>
      <c r="E26" s="154" t="s">
        <v>211</v>
      </c>
      <c r="F26" s="155" t="s">
        <v>212</v>
      </c>
      <c r="G26" s="154" t="s">
        <v>213</v>
      </c>
      <c r="H26" s="154" t="s">
        <v>214</v>
      </c>
      <c r="I26" s="156" t="s">
        <v>215</v>
      </c>
      <c r="J26" s="154" t="s">
        <v>216</v>
      </c>
      <c r="K26" s="153" t="s">
        <v>217</v>
      </c>
      <c r="L26" s="154" t="s">
        <v>218</v>
      </c>
      <c r="M26" s="157" t="s">
        <v>219</v>
      </c>
      <c r="N26" s="157" t="s">
        <v>220</v>
      </c>
    </row>
    <row r="27" spans="1:14" x14ac:dyDescent="0.3">
      <c r="A27" s="150" t="s">
        <v>315</v>
      </c>
      <c r="B27" s="149" t="s">
        <v>316</v>
      </c>
      <c r="C27" s="149">
        <v>7</v>
      </c>
      <c r="D27" s="153" t="s">
        <v>294</v>
      </c>
      <c r="E27" s="154" t="s">
        <v>295</v>
      </c>
      <c r="F27" s="155" t="s">
        <v>296</v>
      </c>
      <c r="G27" s="154" t="s">
        <v>226</v>
      </c>
      <c r="H27" s="154"/>
      <c r="I27" s="154"/>
      <c r="J27" s="153" t="s">
        <v>297</v>
      </c>
      <c r="K27" s="153" t="s">
        <v>298</v>
      </c>
      <c r="L27" s="154" t="s">
        <v>299</v>
      </c>
      <c r="M27" s="157" t="s">
        <v>300</v>
      </c>
      <c r="N27" s="157">
        <v>66219</v>
      </c>
    </row>
    <row r="28" spans="1:14" x14ac:dyDescent="0.3">
      <c r="A28" s="150" t="s">
        <v>317</v>
      </c>
      <c r="B28" s="149" t="s">
        <v>318</v>
      </c>
      <c r="C28" s="149">
        <v>8</v>
      </c>
      <c r="D28" s="153" t="s">
        <v>255</v>
      </c>
      <c r="E28" s="154" t="s">
        <v>256</v>
      </c>
      <c r="F28" s="155" t="s">
        <v>257</v>
      </c>
      <c r="G28" s="153" t="s">
        <v>258</v>
      </c>
      <c r="H28" s="154" t="s">
        <v>259</v>
      </c>
      <c r="I28" s="156" t="s">
        <v>260</v>
      </c>
      <c r="J28" s="153" t="s">
        <v>261</v>
      </c>
      <c r="K28" s="153" t="s">
        <v>262</v>
      </c>
      <c r="L28" s="154" t="s">
        <v>263</v>
      </c>
      <c r="M28" s="157" t="s">
        <v>63</v>
      </c>
      <c r="N28" s="157" t="s">
        <v>264</v>
      </c>
    </row>
    <row r="29" spans="1:14" x14ac:dyDescent="0.3">
      <c r="A29" s="150" t="s">
        <v>319</v>
      </c>
      <c r="B29" s="149" t="s">
        <v>320</v>
      </c>
      <c r="C29" s="149">
        <v>7</v>
      </c>
      <c r="D29" s="153" t="s">
        <v>294</v>
      </c>
      <c r="E29" s="154" t="s">
        <v>295</v>
      </c>
      <c r="F29" s="155" t="s">
        <v>296</v>
      </c>
      <c r="G29" s="154" t="s">
        <v>226</v>
      </c>
      <c r="H29" s="154"/>
      <c r="I29" s="154"/>
      <c r="J29" s="153" t="s">
        <v>297</v>
      </c>
      <c r="K29" s="153" t="s">
        <v>298</v>
      </c>
      <c r="L29" s="154" t="s">
        <v>299</v>
      </c>
      <c r="M29" s="157" t="s">
        <v>300</v>
      </c>
      <c r="N29" s="157">
        <v>66219</v>
      </c>
    </row>
    <row r="30" spans="1:14" x14ac:dyDescent="0.3">
      <c r="A30" s="150" t="s">
        <v>321</v>
      </c>
      <c r="B30" s="149" t="s">
        <v>322</v>
      </c>
      <c r="C30" s="149">
        <v>9</v>
      </c>
      <c r="D30" s="153" t="s">
        <v>233</v>
      </c>
      <c r="E30" s="154" t="s">
        <v>234</v>
      </c>
      <c r="F30" s="155" t="s">
        <v>235</v>
      </c>
      <c r="G30" s="153" t="s">
        <v>236</v>
      </c>
      <c r="H30" s="154" t="s">
        <v>237</v>
      </c>
      <c r="I30" s="155" t="s">
        <v>238</v>
      </c>
      <c r="J30" s="154" t="s">
        <v>239</v>
      </c>
      <c r="K30" s="154" t="s">
        <v>240</v>
      </c>
      <c r="L30" s="154" t="s">
        <v>241</v>
      </c>
      <c r="M30" s="157" t="s">
        <v>242</v>
      </c>
      <c r="N30" s="157">
        <v>94105</v>
      </c>
    </row>
    <row r="31" spans="1:14" x14ac:dyDescent="0.3">
      <c r="A31" s="150" t="s">
        <v>323</v>
      </c>
      <c r="B31" s="149" t="s">
        <v>324</v>
      </c>
      <c r="C31" s="149">
        <v>1</v>
      </c>
      <c r="D31" s="154" t="s">
        <v>267</v>
      </c>
      <c r="E31" s="154" t="s">
        <v>268</v>
      </c>
      <c r="F31" s="156" t="s">
        <v>269</v>
      </c>
      <c r="G31" s="154" t="s">
        <v>226</v>
      </c>
      <c r="H31" s="154"/>
      <c r="I31" s="154"/>
      <c r="J31" s="153" t="s">
        <v>270</v>
      </c>
      <c r="K31" s="153" t="s">
        <v>271</v>
      </c>
      <c r="L31" s="154" t="s">
        <v>272</v>
      </c>
      <c r="M31" s="157" t="s">
        <v>273</v>
      </c>
      <c r="N31" s="157" t="s">
        <v>274</v>
      </c>
    </row>
    <row r="32" spans="1:14" x14ac:dyDescent="0.3">
      <c r="A32" s="150" t="s">
        <v>325</v>
      </c>
      <c r="B32" s="149" t="s">
        <v>326</v>
      </c>
      <c r="C32" s="149">
        <v>2</v>
      </c>
      <c r="D32" s="154" t="s">
        <v>327</v>
      </c>
      <c r="E32" s="154" t="s">
        <v>328</v>
      </c>
      <c r="F32" s="156" t="s">
        <v>329</v>
      </c>
      <c r="G32" s="153" t="s">
        <v>330</v>
      </c>
      <c r="H32" s="154" t="s">
        <v>331</v>
      </c>
      <c r="I32" s="156" t="s">
        <v>332</v>
      </c>
      <c r="J32" s="153" t="s">
        <v>333</v>
      </c>
      <c r="K32" s="153" t="s">
        <v>334</v>
      </c>
      <c r="L32" s="154" t="s">
        <v>335</v>
      </c>
      <c r="M32" s="157" t="s">
        <v>336</v>
      </c>
      <c r="N32" s="157" t="s">
        <v>337</v>
      </c>
    </row>
    <row r="33" spans="1:14" x14ac:dyDescent="0.3">
      <c r="A33" s="150" t="s">
        <v>338</v>
      </c>
      <c r="B33" s="149" t="s">
        <v>339</v>
      </c>
      <c r="C33" s="149">
        <v>6</v>
      </c>
      <c r="D33" s="153" t="s">
        <v>245</v>
      </c>
      <c r="E33" s="329" t="s">
        <v>246</v>
      </c>
      <c r="F33" s="158" t="s">
        <v>247</v>
      </c>
      <c r="G33" s="154" t="s">
        <v>226</v>
      </c>
      <c r="H33" s="154"/>
      <c r="I33" s="154"/>
      <c r="J33" s="153" t="s">
        <v>248</v>
      </c>
      <c r="K33" s="153" t="s">
        <v>249</v>
      </c>
      <c r="L33" s="154" t="s">
        <v>250</v>
      </c>
      <c r="M33" s="157" t="s">
        <v>251</v>
      </c>
      <c r="N33" s="157" t="s">
        <v>252</v>
      </c>
    </row>
    <row r="34" spans="1:14" x14ac:dyDescent="0.3">
      <c r="A34" s="150" t="s">
        <v>335</v>
      </c>
      <c r="B34" s="149" t="s">
        <v>336</v>
      </c>
      <c r="C34" s="149">
        <v>2</v>
      </c>
      <c r="D34" s="154" t="s">
        <v>327</v>
      </c>
      <c r="E34" s="154" t="s">
        <v>328</v>
      </c>
      <c r="F34" s="156" t="s">
        <v>329</v>
      </c>
      <c r="G34" s="153" t="s">
        <v>330</v>
      </c>
      <c r="H34" s="154" t="s">
        <v>331</v>
      </c>
      <c r="I34" s="156" t="s">
        <v>332</v>
      </c>
      <c r="J34" s="153" t="s">
        <v>333</v>
      </c>
      <c r="K34" s="153" t="s">
        <v>334</v>
      </c>
      <c r="L34" s="154" t="s">
        <v>335</v>
      </c>
      <c r="M34" s="157" t="s">
        <v>336</v>
      </c>
      <c r="N34" s="157" t="s">
        <v>337</v>
      </c>
    </row>
    <row r="35" spans="1:14" x14ac:dyDescent="0.3">
      <c r="A35" s="150" t="s">
        <v>340</v>
      </c>
      <c r="B35" s="149" t="s">
        <v>341</v>
      </c>
      <c r="C35" s="149">
        <v>4</v>
      </c>
      <c r="D35" s="153" t="s">
        <v>210</v>
      </c>
      <c r="E35" s="154" t="s">
        <v>211</v>
      </c>
      <c r="F35" s="155" t="s">
        <v>212</v>
      </c>
      <c r="G35" s="154" t="s">
        <v>213</v>
      </c>
      <c r="H35" s="154" t="s">
        <v>214</v>
      </c>
      <c r="I35" s="156" t="s">
        <v>215</v>
      </c>
      <c r="J35" s="154" t="s">
        <v>216</v>
      </c>
      <c r="K35" s="153" t="s">
        <v>217</v>
      </c>
      <c r="L35" s="154" t="s">
        <v>218</v>
      </c>
      <c r="M35" s="157" t="s">
        <v>219</v>
      </c>
      <c r="N35" s="157" t="s">
        <v>220</v>
      </c>
    </row>
    <row r="36" spans="1:14" x14ac:dyDescent="0.3">
      <c r="A36" s="150" t="s">
        <v>342</v>
      </c>
      <c r="B36" s="149" t="s">
        <v>343</v>
      </c>
      <c r="C36" s="149">
        <v>8</v>
      </c>
      <c r="D36" s="153" t="s">
        <v>255</v>
      </c>
      <c r="E36" s="154" t="s">
        <v>256</v>
      </c>
      <c r="F36" s="155" t="s">
        <v>257</v>
      </c>
      <c r="G36" s="153" t="s">
        <v>258</v>
      </c>
      <c r="H36" s="154" t="s">
        <v>259</v>
      </c>
      <c r="I36" s="156" t="s">
        <v>260</v>
      </c>
      <c r="J36" s="153" t="s">
        <v>261</v>
      </c>
      <c r="K36" s="153" t="s">
        <v>262</v>
      </c>
      <c r="L36" s="154" t="s">
        <v>263</v>
      </c>
      <c r="M36" s="157" t="s">
        <v>63</v>
      </c>
      <c r="N36" s="157" t="s">
        <v>264</v>
      </c>
    </row>
    <row r="37" spans="1:14" x14ac:dyDescent="0.3">
      <c r="A37" s="150" t="s">
        <v>344</v>
      </c>
      <c r="B37" s="149" t="s">
        <v>345</v>
      </c>
      <c r="C37" s="149">
        <v>5</v>
      </c>
      <c r="D37" s="153" t="s">
        <v>283</v>
      </c>
      <c r="E37" s="154" t="s">
        <v>284</v>
      </c>
      <c r="F37" s="155" t="s">
        <v>285</v>
      </c>
      <c r="G37" s="154" t="s">
        <v>226</v>
      </c>
      <c r="H37" s="154"/>
      <c r="I37" s="154"/>
      <c r="J37" s="153" t="s">
        <v>286</v>
      </c>
      <c r="K37" s="153" t="s">
        <v>287</v>
      </c>
      <c r="L37" s="154" t="s">
        <v>288</v>
      </c>
      <c r="M37" s="157" t="s">
        <v>282</v>
      </c>
      <c r="N37" s="157" t="s">
        <v>289</v>
      </c>
    </row>
    <row r="38" spans="1:14" x14ac:dyDescent="0.3">
      <c r="A38" s="150" t="s">
        <v>346</v>
      </c>
      <c r="B38" s="149" t="s">
        <v>347</v>
      </c>
      <c r="C38" s="149">
        <v>6</v>
      </c>
      <c r="D38" s="153" t="s">
        <v>245</v>
      </c>
      <c r="E38" s="329" t="s">
        <v>246</v>
      </c>
      <c r="F38" s="158" t="s">
        <v>247</v>
      </c>
      <c r="G38" s="154" t="s">
        <v>226</v>
      </c>
      <c r="H38" s="154"/>
      <c r="I38" s="154"/>
      <c r="J38" s="153" t="s">
        <v>248</v>
      </c>
      <c r="K38" s="153" t="s">
        <v>249</v>
      </c>
      <c r="L38" s="154" t="s">
        <v>250</v>
      </c>
      <c r="M38" s="157" t="s">
        <v>251</v>
      </c>
      <c r="N38" s="157" t="s">
        <v>252</v>
      </c>
    </row>
    <row r="39" spans="1:14" x14ac:dyDescent="0.3">
      <c r="A39" s="150" t="s">
        <v>348</v>
      </c>
      <c r="B39" s="149" t="s">
        <v>349</v>
      </c>
      <c r="C39" s="149">
        <v>10</v>
      </c>
      <c r="D39" s="153" t="s">
        <v>223</v>
      </c>
      <c r="E39" s="153" t="s">
        <v>224</v>
      </c>
      <c r="F39" s="156" t="s">
        <v>225</v>
      </c>
      <c r="G39" s="153" t="s">
        <v>226</v>
      </c>
      <c r="H39" s="154"/>
      <c r="I39" s="154"/>
      <c r="J39" s="154" t="s">
        <v>227</v>
      </c>
      <c r="K39" s="154" t="s">
        <v>228</v>
      </c>
      <c r="L39" s="154" t="s">
        <v>229</v>
      </c>
      <c r="M39" s="157" t="s">
        <v>230</v>
      </c>
      <c r="N39" s="157">
        <v>98101</v>
      </c>
    </row>
    <row r="40" spans="1:14" x14ac:dyDescent="0.3">
      <c r="A40" s="150" t="s">
        <v>350</v>
      </c>
      <c r="B40" s="149" t="s">
        <v>351</v>
      </c>
      <c r="C40" s="149">
        <v>1</v>
      </c>
      <c r="D40" s="154" t="s">
        <v>267</v>
      </c>
      <c r="E40" s="154" t="s">
        <v>268</v>
      </c>
      <c r="F40" s="156" t="s">
        <v>269</v>
      </c>
      <c r="G40" s="154" t="s">
        <v>226</v>
      </c>
      <c r="H40" s="154"/>
      <c r="I40" s="154"/>
      <c r="J40" s="153" t="s">
        <v>270</v>
      </c>
      <c r="K40" s="153" t="s">
        <v>271</v>
      </c>
      <c r="L40" s="154" t="s">
        <v>272</v>
      </c>
      <c r="M40" s="157" t="s">
        <v>273</v>
      </c>
      <c r="N40" s="157" t="s">
        <v>274</v>
      </c>
    </row>
    <row r="41" spans="1:14" x14ac:dyDescent="0.3">
      <c r="A41" s="150" t="s">
        <v>352</v>
      </c>
      <c r="B41" s="149" t="s">
        <v>353</v>
      </c>
      <c r="C41" s="149">
        <v>4</v>
      </c>
      <c r="D41" s="153" t="s">
        <v>210</v>
      </c>
      <c r="E41" s="154" t="s">
        <v>211</v>
      </c>
      <c r="F41" s="155" t="s">
        <v>212</v>
      </c>
      <c r="G41" s="154" t="s">
        <v>213</v>
      </c>
      <c r="H41" s="154" t="s">
        <v>214</v>
      </c>
      <c r="I41" s="156" t="s">
        <v>215</v>
      </c>
      <c r="J41" s="154" t="s">
        <v>216</v>
      </c>
      <c r="K41" s="153" t="s">
        <v>217</v>
      </c>
      <c r="L41" s="154" t="s">
        <v>218</v>
      </c>
      <c r="M41" s="157" t="s">
        <v>219</v>
      </c>
      <c r="N41" s="157" t="s">
        <v>220</v>
      </c>
    </row>
    <row r="42" spans="1:14" x14ac:dyDescent="0.3">
      <c r="A42" s="150" t="s">
        <v>354</v>
      </c>
      <c r="B42" s="149" t="s">
        <v>355</v>
      </c>
      <c r="C42" s="149">
        <v>8</v>
      </c>
      <c r="D42" s="153" t="s">
        <v>255</v>
      </c>
      <c r="E42" s="154" t="s">
        <v>256</v>
      </c>
      <c r="F42" s="155" t="s">
        <v>257</v>
      </c>
      <c r="G42" s="153" t="s">
        <v>258</v>
      </c>
      <c r="H42" s="154" t="s">
        <v>259</v>
      </c>
      <c r="I42" s="156" t="s">
        <v>260</v>
      </c>
      <c r="J42" s="153" t="s">
        <v>261</v>
      </c>
      <c r="K42" s="153" t="s">
        <v>262</v>
      </c>
      <c r="L42" s="154" t="s">
        <v>263</v>
      </c>
      <c r="M42" s="157" t="s">
        <v>63</v>
      </c>
      <c r="N42" s="157" t="s">
        <v>264</v>
      </c>
    </row>
    <row r="43" spans="1:14" x14ac:dyDescent="0.3">
      <c r="A43" s="150" t="s">
        <v>356</v>
      </c>
      <c r="B43" s="149" t="s">
        <v>357</v>
      </c>
      <c r="C43" s="149">
        <v>4</v>
      </c>
      <c r="D43" s="153" t="s">
        <v>210</v>
      </c>
      <c r="E43" s="154" t="s">
        <v>211</v>
      </c>
      <c r="F43" s="155" t="s">
        <v>212</v>
      </c>
      <c r="G43" s="154" t="s">
        <v>213</v>
      </c>
      <c r="H43" s="154" t="s">
        <v>214</v>
      </c>
      <c r="I43" s="156" t="s">
        <v>215</v>
      </c>
      <c r="J43" s="154" t="s">
        <v>216</v>
      </c>
      <c r="K43" s="153" t="s">
        <v>217</v>
      </c>
      <c r="L43" s="154" t="s">
        <v>218</v>
      </c>
      <c r="M43" s="157" t="s">
        <v>219</v>
      </c>
      <c r="N43" s="157" t="s">
        <v>220</v>
      </c>
    </row>
    <row r="44" spans="1:14" x14ac:dyDescent="0.3">
      <c r="A44" s="150" t="s">
        <v>358</v>
      </c>
      <c r="B44" s="149" t="s">
        <v>251</v>
      </c>
      <c r="C44" s="149">
        <v>6</v>
      </c>
      <c r="D44" s="153" t="s">
        <v>245</v>
      </c>
      <c r="E44" s="329" t="s">
        <v>246</v>
      </c>
      <c r="F44" s="158" t="s">
        <v>247</v>
      </c>
      <c r="G44" s="154" t="s">
        <v>226</v>
      </c>
      <c r="H44" s="154"/>
      <c r="I44" s="154"/>
      <c r="J44" s="153" t="s">
        <v>248</v>
      </c>
      <c r="K44" s="153" t="s">
        <v>249</v>
      </c>
      <c r="L44" s="154" t="s">
        <v>250</v>
      </c>
      <c r="M44" s="157" t="s">
        <v>251</v>
      </c>
      <c r="N44" s="157" t="s">
        <v>252</v>
      </c>
    </row>
    <row r="45" spans="1:14" x14ac:dyDescent="0.3">
      <c r="A45" s="150" t="s">
        <v>359</v>
      </c>
      <c r="B45" s="149" t="s">
        <v>360</v>
      </c>
      <c r="C45" s="149">
        <v>8</v>
      </c>
      <c r="D45" s="153" t="s">
        <v>255</v>
      </c>
      <c r="E45" s="154" t="s">
        <v>256</v>
      </c>
      <c r="F45" s="155" t="s">
        <v>257</v>
      </c>
      <c r="G45" s="153" t="s">
        <v>258</v>
      </c>
      <c r="H45" s="154" t="s">
        <v>259</v>
      </c>
      <c r="I45" s="156" t="s">
        <v>260</v>
      </c>
      <c r="J45" s="153" t="s">
        <v>261</v>
      </c>
      <c r="K45" s="153" t="s">
        <v>262</v>
      </c>
      <c r="L45" s="154" t="s">
        <v>263</v>
      </c>
      <c r="M45" s="157" t="s">
        <v>63</v>
      </c>
      <c r="N45" s="157" t="s">
        <v>264</v>
      </c>
    </row>
    <row r="46" spans="1:14" x14ac:dyDescent="0.3">
      <c r="A46" s="150" t="s">
        <v>361</v>
      </c>
      <c r="B46" s="149" t="s">
        <v>362</v>
      </c>
      <c r="C46" s="149">
        <v>1</v>
      </c>
      <c r="D46" s="154" t="s">
        <v>267</v>
      </c>
      <c r="E46" s="154" t="s">
        <v>268</v>
      </c>
      <c r="F46" s="156" t="s">
        <v>269</v>
      </c>
      <c r="G46" s="154" t="s">
        <v>226</v>
      </c>
      <c r="H46" s="154"/>
      <c r="I46" s="154"/>
      <c r="J46" s="153" t="s">
        <v>270</v>
      </c>
      <c r="K46" s="153" t="s">
        <v>271</v>
      </c>
      <c r="L46" s="154" t="s">
        <v>272</v>
      </c>
      <c r="M46" s="157" t="s">
        <v>273</v>
      </c>
      <c r="N46" s="157" t="s">
        <v>274</v>
      </c>
    </row>
    <row r="47" spans="1:14" x14ac:dyDescent="0.3">
      <c r="A47" s="150" t="s">
        <v>363</v>
      </c>
      <c r="B47" s="149" t="s">
        <v>230</v>
      </c>
      <c r="C47" s="149">
        <v>10</v>
      </c>
      <c r="D47" s="153" t="s">
        <v>223</v>
      </c>
      <c r="E47" s="153" t="s">
        <v>224</v>
      </c>
      <c r="F47" s="156" t="s">
        <v>225</v>
      </c>
      <c r="G47" s="153" t="s">
        <v>226</v>
      </c>
      <c r="H47" s="154"/>
      <c r="I47" s="154"/>
      <c r="J47" s="154" t="s">
        <v>227</v>
      </c>
      <c r="K47" s="154" t="s">
        <v>228</v>
      </c>
      <c r="L47" s="154" t="s">
        <v>229</v>
      </c>
      <c r="M47" s="157" t="s">
        <v>230</v>
      </c>
      <c r="N47" s="157">
        <v>98101</v>
      </c>
    </row>
    <row r="48" spans="1:14" x14ac:dyDescent="0.3">
      <c r="A48" s="150" t="s">
        <v>364</v>
      </c>
      <c r="B48" s="149" t="s">
        <v>365</v>
      </c>
      <c r="C48" s="149">
        <v>5</v>
      </c>
      <c r="D48" s="153" t="s">
        <v>283</v>
      </c>
      <c r="E48" s="154" t="s">
        <v>284</v>
      </c>
      <c r="F48" s="155" t="s">
        <v>285</v>
      </c>
      <c r="G48" s="154" t="s">
        <v>226</v>
      </c>
      <c r="H48" s="154"/>
      <c r="I48" s="154"/>
      <c r="J48" s="153" t="s">
        <v>286</v>
      </c>
      <c r="K48" s="153" t="s">
        <v>287</v>
      </c>
      <c r="L48" s="154" t="s">
        <v>288</v>
      </c>
      <c r="M48" s="157" t="s">
        <v>282</v>
      </c>
      <c r="N48" s="157" t="s">
        <v>289</v>
      </c>
    </row>
    <row r="49" spans="1:14" x14ac:dyDescent="0.3">
      <c r="A49" s="150" t="s">
        <v>366</v>
      </c>
      <c r="B49" s="149" t="s">
        <v>367</v>
      </c>
      <c r="C49" s="149">
        <v>8</v>
      </c>
      <c r="D49" s="153" t="s">
        <v>255</v>
      </c>
      <c r="E49" s="154" t="s">
        <v>256</v>
      </c>
      <c r="F49" s="155" t="s">
        <v>257</v>
      </c>
      <c r="G49" s="153" t="s">
        <v>258</v>
      </c>
      <c r="H49" s="154" t="s">
        <v>259</v>
      </c>
      <c r="I49" s="156" t="s">
        <v>260</v>
      </c>
      <c r="J49" s="153" t="s">
        <v>261</v>
      </c>
      <c r="K49" s="153" t="s">
        <v>262</v>
      </c>
      <c r="L49" s="154" t="s">
        <v>263</v>
      </c>
      <c r="M49" s="157" t="s">
        <v>63</v>
      </c>
      <c r="N49" s="157" t="s">
        <v>264</v>
      </c>
    </row>
    <row r="50" spans="1:14" x14ac:dyDescent="0.3">
      <c r="A50" s="150" t="s">
        <v>368</v>
      </c>
      <c r="B50" s="149" t="s">
        <v>369</v>
      </c>
      <c r="C50" s="149">
        <v>3</v>
      </c>
      <c r="D50" s="153" t="s">
        <v>226</v>
      </c>
      <c r="E50" s="154"/>
      <c r="F50" s="154"/>
      <c r="G50" s="154"/>
      <c r="H50" s="154"/>
      <c r="I50" s="154"/>
      <c r="J50" s="154"/>
      <c r="K50" s="154"/>
      <c r="L50" s="154"/>
      <c r="M50" s="157"/>
      <c r="N50" s="157"/>
    </row>
    <row r="51" spans="1:14" x14ac:dyDescent="0.3">
      <c r="A51" s="150" t="s">
        <v>370</v>
      </c>
      <c r="B51" s="149" t="s">
        <v>371</v>
      </c>
      <c r="C51" s="149">
        <v>3</v>
      </c>
      <c r="D51" s="153" t="s">
        <v>226</v>
      </c>
      <c r="E51" s="154"/>
      <c r="F51" s="154"/>
      <c r="G51" s="154"/>
      <c r="H51" s="154"/>
      <c r="I51" s="154"/>
      <c r="J51" s="154"/>
      <c r="K51" s="154"/>
      <c r="L51" s="154"/>
      <c r="M51" s="157"/>
      <c r="N51" s="157"/>
    </row>
    <row r="52" spans="1:14" x14ac:dyDescent="0.3">
      <c r="A52" s="150" t="s">
        <v>372</v>
      </c>
      <c r="B52" s="149" t="s">
        <v>373</v>
      </c>
      <c r="C52" s="149">
        <v>3</v>
      </c>
      <c r="D52" s="153" t="s">
        <v>226</v>
      </c>
      <c r="E52" s="154"/>
      <c r="F52" s="154"/>
      <c r="G52" s="154"/>
      <c r="H52" s="154"/>
      <c r="I52" s="154"/>
      <c r="J52" s="154"/>
      <c r="K52" s="154"/>
      <c r="L52" s="154"/>
      <c r="M52" s="157"/>
      <c r="N52" s="157"/>
    </row>
    <row r="53" spans="1:14" x14ac:dyDescent="0.3">
      <c r="A53" s="150" t="s">
        <v>374</v>
      </c>
      <c r="B53" s="149" t="s">
        <v>375</v>
      </c>
      <c r="C53" s="149">
        <v>3</v>
      </c>
      <c r="D53" s="153" t="s">
        <v>226</v>
      </c>
      <c r="E53" s="154"/>
      <c r="F53" s="154"/>
      <c r="G53" s="154"/>
      <c r="H53" s="154"/>
      <c r="I53" s="154"/>
      <c r="J53" s="154"/>
      <c r="K53" s="154"/>
      <c r="L53" s="154"/>
      <c r="M53" s="157"/>
      <c r="N53" s="157"/>
    </row>
    <row r="54" spans="1:14" x14ac:dyDescent="0.3">
      <c r="A54" s="150" t="s">
        <v>376</v>
      </c>
      <c r="B54" s="149" t="s">
        <v>377</v>
      </c>
      <c r="C54" s="149">
        <v>3</v>
      </c>
      <c r="D54" s="153" t="s">
        <v>226</v>
      </c>
      <c r="E54" s="154"/>
      <c r="F54" s="154"/>
      <c r="G54" s="154"/>
      <c r="H54" s="154"/>
      <c r="I54" s="154"/>
      <c r="J54" s="154"/>
      <c r="K54" s="154"/>
      <c r="L54" s="154"/>
      <c r="M54" s="157"/>
      <c r="N54" s="157"/>
    </row>
    <row r="55" spans="1:14" x14ac:dyDescent="0.3">
      <c r="A55" s="150" t="s">
        <v>378</v>
      </c>
      <c r="B55" s="149" t="s">
        <v>379</v>
      </c>
      <c r="C55" s="149">
        <v>3</v>
      </c>
      <c r="D55" s="153" t="s">
        <v>226</v>
      </c>
      <c r="E55" s="154"/>
      <c r="F55" s="154"/>
      <c r="G55" s="154"/>
      <c r="H55" s="154"/>
      <c r="I55" s="154"/>
      <c r="J55" s="154"/>
      <c r="K55" s="154"/>
      <c r="L55" s="154"/>
      <c r="M55" s="157"/>
      <c r="N55" s="157"/>
    </row>
  </sheetData>
  <mergeCells count="1">
    <mergeCell ref="D3:N3"/>
  </mergeCells>
  <hyperlinks>
    <hyperlink ref="F11" r:id="rId1" display="mailto:McCahill.brendan@epa.gov"/>
    <hyperlink ref="F22" r:id="rId2" display="mailto:McCahill.brendan@epa.gov"/>
    <hyperlink ref="F23" r:id="rId3" display="mailto:McCahill.brendan@epa.gov"/>
    <hyperlink ref="F31" r:id="rId4" display="mailto:McCahill.brendan@epa.gov"/>
    <hyperlink ref="F40" r:id="rId5" display="mailto:McCahill.brendan@epa.gov"/>
    <hyperlink ref="F46" r:id="rId6" display="mailto:McCahill.brendan@epa.gov"/>
    <hyperlink ref="F32" r:id="rId7" display="mailto:lau.gavin@epa.gov"/>
    <hyperlink ref="I32" r:id="rId8" display="mailto:Dholakia.umesh@epa.gov"/>
    <hyperlink ref="F34" r:id="rId9" display="mailto:lau.gavin@epa.gov"/>
    <hyperlink ref="I34" r:id="rId10" display="mailto:Dholakia.umesh@epa.gov"/>
    <hyperlink ref="F5" r:id="rId11" display="mailto:oquendo.ana@epa.gov"/>
    <hyperlink ref="I5" r:id="rId12" display="mailto:shepherd.lorinda@epa.gov"/>
    <hyperlink ref="F16" r:id="rId13" display="mailto:gupta.kaushal@epa.gov"/>
    <hyperlink ref="F18" r:id="rId14" display="mailto:webber.robert@epa.gov"/>
    <hyperlink ref="F10" r:id="rId15" display="mailto:smith.claudia@epa.gov"/>
    <hyperlink ref="I10" r:id="rId16" display="mailto:paser.kathleen@epa.gov"/>
    <hyperlink ref="F28" r:id="rId17" display="mailto:smith.claudia@epa.gov"/>
    <hyperlink ref="F36" r:id="rId18" display="mailto:smith.claudia@epa.gov"/>
    <hyperlink ref="F42" r:id="rId19" display="mailto:smith.claudia@epa.gov"/>
    <hyperlink ref="F45" r:id="rId20" display="mailto:smith.claudia@epa.gov"/>
    <hyperlink ref="F49" r:id="rId21" display="mailto:smith.claudia@epa.gov"/>
    <hyperlink ref="I28" r:id="rId22" display="mailto:paser.kathleen@epa.gov"/>
    <hyperlink ref="I36" r:id="rId23" display="mailto:paser.kathleen@epa.gov"/>
    <hyperlink ref="I42" r:id="rId24" display="mailto:paser.kathleen@epa.gov"/>
    <hyperlink ref="I45" r:id="rId25" display="mailto:paser.kathleen@epa.gov"/>
    <hyperlink ref="I49" r:id="rId26" display="mailto:paser.kathleen@epa.gov"/>
    <hyperlink ref="F17" r:id="rId27" display="mailto:gupta.kaushal@epa.gov"/>
    <hyperlink ref="F24" r:id="rId28" display="mailto:gupta.kaushal@epa.gov"/>
    <hyperlink ref="F25" r:id="rId29" display="mailto:gupta.kaushal@epa.gov"/>
    <hyperlink ref="F37" r:id="rId30" display="mailto:gupta.kaushal@epa.gov"/>
    <hyperlink ref="F48" r:id="rId31" display="mailto:gupta.kaushal@epa.gov"/>
    <hyperlink ref="F12" r:id="rId32" display="mailto:oquendo.ana@epa.gov"/>
    <hyperlink ref="F13" r:id="rId33" display="mailto:oquendo.ana@epa.gov"/>
    <hyperlink ref="F20" r:id="rId34" display="mailto:oquendo.ana@epa.gov"/>
    <hyperlink ref="F26" r:id="rId35" display="mailto:oquendo.ana@epa.gov"/>
    <hyperlink ref="F35" r:id="rId36" display="mailto:oquendo.ana@epa.gov"/>
    <hyperlink ref="F41" r:id="rId37" display="mailto:oquendo.ana@epa.gov"/>
    <hyperlink ref="F43" r:id="rId38" display="mailto:oquendo.ana@epa.gov"/>
    <hyperlink ref="I12" r:id="rId39" display="mailto:shepherd.lorinda@epa.gov"/>
    <hyperlink ref="I13" r:id="rId40" display="mailto:shepherd.lorinda@epa.gov"/>
    <hyperlink ref="I20" r:id="rId41" display="mailto:shepherd.lorinda@epa.gov"/>
    <hyperlink ref="I26" r:id="rId42" display="mailto:shepherd.lorinda@epa.gov"/>
    <hyperlink ref="I35" r:id="rId43" display="mailto:shepherd.lorinda@epa.gov"/>
    <hyperlink ref="I41" r:id="rId44" display="mailto:shepherd.lorinda@epa.gov"/>
    <hyperlink ref="I43" r:id="rId45" display="mailto:shepherd.lorinda@epa.gov"/>
    <hyperlink ref="F7" r:id="rId46" display="mailto:glass.geoffrey@epa.gov"/>
    <hyperlink ref="I7" r:id="rId47" display="mailto:Gutierrez.roberto@epa.gov"/>
    <hyperlink ref="F9" r:id="rId48" display="mailto:glass.geoffrey@epa.gov"/>
    <hyperlink ref="F14" r:id="rId49" display="mailto:glass.geoffrey@epa.gov"/>
    <hyperlink ref="F30" r:id="rId50" display="mailto:glass.geoffrey@epa.gov"/>
    <hyperlink ref="I9" r:id="rId51" display="mailto:Gutierrez.roberto@epa.gov"/>
    <hyperlink ref="I14" r:id="rId52" display="mailto:Gutierrez.roberto@epa.gov"/>
    <hyperlink ref="I30" r:id="rId53" display="mailto:Gutierrez.roberto@epa.gov"/>
    <hyperlink ref="F6" r:id="rId54"/>
    <hyperlink ref="F15" r:id="rId55"/>
    <hyperlink ref="F39" r:id="rId56"/>
    <hyperlink ref="F47" r:id="rId57"/>
    <hyperlink ref="F8" r:id="rId58"/>
    <hyperlink ref="F21" r:id="rId59"/>
    <hyperlink ref="F33" r:id="rId60"/>
    <hyperlink ref="F38" r:id="rId61"/>
    <hyperlink ref="F44" r:id="rId62"/>
    <hyperlink ref="F19" r:id="rId63" display="mailto:webber.robert@epa.gov"/>
    <hyperlink ref="F27" r:id="rId64" display="mailto:webber.robert@epa.gov"/>
    <hyperlink ref="F29" r:id="rId65" display="mailto:webber.robert@epa.gov"/>
  </hyperlinks>
  <pageMargins left="0.7" right="0.7" top="0.75" bottom="0.75" header="0.3" footer="0.3"/>
  <pageSetup orientation="portrait"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M45"/>
  <sheetViews>
    <sheetView showGridLines="0" zoomScaleNormal="100" workbookViewId="0"/>
  </sheetViews>
  <sheetFormatPr defaultColWidth="9.109375" defaultRowHeight="13.2" x14ac:dyDescent="0.25"/>
  <cols>
    <col min="1" max="1" width="1.88671875" style="308" customWidth="1"/>
    <col min="2" max="2" width="11.6640625" style="308" customWidth="1"/>
    <col min="3" max="3" width="18.109375" style="308" customWidth="1"/>
    <col min="4" max="4" width="53.33203125" style="308" customWidth="1"/>
    <col min="5" max="5" width="46.33203125" style="308" customWidth="1"/>
    <col min="6" max="27" width="1.6640625" style="308" customWidth="1"/>
    <col min="28" max="16384" width="9.109375" style="308"/>
  </cols>
  <sheetData>
    <row r="1" spans="2:12" ht="17.399999999999999" x14ac:dyDescent="0.3">
      <c r="B1" s="23" t="str">
        <f>'Change Log'!A1</f>
        <v>Auto Body Shop Registration Calculator</v>
      </c>
    </row>
    <row r="2" spans="2:12" ht="15.75" customHeight="1" x14ac:dyDescent="0.25">
      <c r="B2" s="355" t="str">
        <f>'Change Log'!A2</f>
        <v>v1.6 (last updated 2013.02.26)</v>
      </c>
      <c r="C2" s="355"/>
      <c r="D2" s="355"/>
    </row>
    <row r="3" spans="2:12" ht="127.5" customHeight="1" x14ac:dyDescent="0.25">
      <c r="B3" s="362" t="s">
        <v>491</v>
      </c>
      <c r="C3" s="362"/>
      <c r="D3" s="362"/>
      <c r="E3" s="362"/>
    </row>
    <row r="4" spans="2:12" ht="6.75" customHeight="1" x14ac:dyDescent="0.25">
      <c r="B4" s="317"/>
      <c r="C4" s="317"/>
      <c r="D4" s="317"/>
    </row>
    <row r="5" spans="2:12" x14ac:dyDescent="0.25">
      <c r="B5" s="96" t="s">
        <v>4</v>
      </c>
    </row>
    <row r="6" spans="2:12" ht="36" customHeight="1" x14ac:dyDescent="0.25">
      <c r="B6" s="333" t="s">
        <v>492</v>
      </c>
      <c r="C6" s="358"/>
      <c r="D6" s="358"/>
      <c r="E6" s="358"/>
    </row>
    <row r="7" spans="2:12" ht="4.5" customHeight="1" x14ac:dyDescent="0.25">
      <c r="B7" s="97"/>
    </row>
    <row r="8" spans="2:12" ht="13.5" customHeight="1" x14ac:dyDescent="0.25">
      <c r="B8" s="96" t="s">
        <v>12</v>
      </c>
    </row>
    <row r="9" spans="2:12" ht="96" customHeight="1" x14ac:dyDescent="0.25">
      <c r="B9" s="356" t="s">
        <v>157</v>
      </c>
      <c r="C9" s="357"/>
      <c r="D9" s="357"/>
      <c r="E9" s="357"/>
      <c r="L9" s="42"/>
    </row>
    <row r="10" spans="2:12" ht="6.75" customHeight="1" x14ac:dyDescent="0.25">
      <c r="B10" s="97"/>
    </row>
    <row r="11" spans="2:12" x14ac:dyDescent="0.25">
      <c r="B11" s="96" t="s">
        <v>27</v>
      </c>
    </row>
    <row r="12" spans="2:12" ht="78" customHeight="1" x14ac:dyDescent="0.25">
      <c r="B12" s="356" t="s">
        <v>397</v>
      </c>
      <c r="C12" s="357"/>
      <c r="D12" s="357"/>
      <c r="E12" s="357"/>
    </row>
    <row r="13" spans="2:12" ht="12" customHeight="1" thickBot="1" x14ac:dyDescent="0.3">
      <c r="B13" s="96"/>
    </row>
    <row r="14" spans="2:12" ht="13.8" thickBot="1" x14ac:dyDescent="0.3">
      <c r="B14" s="359" t="s">
        <v>155</v>
      </c>
      <c r="C14" s="360"/>
      <c r="D14" s="361"/>
    </row>
    <row r="15" spans="2:12" x14ac:dyDescent="0.25">
      <c r="B15" s="363" t="s">
        <v>398</v>
      </c>
      <c r="C15" s="364"/>
      <c r="D15" s="365"/>
    </row>
    <row r="16" spans="2:12" x14ac:dyDescent="0.25">
      <c r="B16" s="366" t="s">
        <v>399</v>
      </c>
      <c r="C16" s="367"/>
      <c r="D16" s="368"/>
    </row>
    <row r="17" spans="2:5" x14ac:dyDescent="0.25">
      <c r="B17" s="376" t="s">
        <v>400</v>
      </c>
      <c r="C17" s="377"/>
      <c r="D17" s="378"/>
    </row>
    <row r="18" spans="2:5" ht="13.8" thickBot="1" x14ac:dyDescent="0.3">
      <c r="B18" s="369" t="s">
        <v>156</v>
      </c>
      <c r="C18" s="370"/>
      <c r="D18" s="371"/>
    </row>
    <row r="19" spans="2:5" ht="10.5" customHeight="1" thickBot="1" x14ac:dyDescent="0.3">
      <c r="B19" s="98"/>
      <c r="C19" s="99"/>
      <c r="D19" s="98"/>
      <c r="E19" s="25"/>
    </row>
    <row r="20" spans="2:5" ht="13.8" thickBot="1" x14ac:dyDescent="0.3">
      <c r="B20" s="359" t="s">
        <v>401</v>
      </c>
      <c r="C20" s="372"/>
      <c r="D20" s="373"/>
    </row>
    <row r="21" spans="2:5" ht="60" customHeight="1" x14ac:dyDescent="0.25">
      <c r="B21" s="235" t="s">
        <v>392</v>
      </c>
      <c r="C21" s="382" t="s">
        <v>404</v>
      </c>
      <c r="D21" s="383"/>
    </row>
    <row r="22" spans="2:5" x14ac:dyDescent="0.25">
      <c r="B22" s="236" t="s">
        <v>405</v>
      </c>
      <c r="C22" s="384" t="s">
        <v>406</v>
      </c>
      <c r="D22" s="385"/>
    </row>
    <row r="23" spans="2:5" ht="12.75" customHeight="1" x14ac:dyDescent="0.25">
      <c r="B23" s="237" t="s">
        <v>63</v>
      </c>
      <c r="C23" s="379" t="s">
        <v>93</v>
      </c>
      <c r="D23" s="354"/>
    </row>
    <row r="24" spans="2:5" ht="12.75" customHeight="1" x14ac:dyDescent="0.25">
      <c r="B24" s="237" t="s">
        <v>407</v>
      </c>
      <c r="C24" s="379" t="s">
        <v>408</v>
      </c>
      <c r="D24" s="354"/>
    </row>
    <row r="25" spans="2:5" ht="12.75" customHeight="1" x14ac:dyDescent="0.25">
      <c r="B25" s="237" t="s">
        <v>409</v>
      </c>
      <c r="C25" s="234" t="s">
        <v>410</v>
      </c>
      <c r="D25" s="233"/>
    </row>
    <row r="26" spans="2:5" ht="60" customHeight="1" x14ac:dyDescent="0.25">
      <c r="B26" s="238" t="s">
        <v>391</v>
      </c>
      <c r="C26" s="380" t="s">
        <v>411</v>
      </c>
      <c r="D26" s="381"/>
    </row>
    <row r="27" spans="2:5" ht="12.75" customHeight="1" x14ac:dyDescent="0.25">
      <c r="B27" s="237" t="s">
        <v>79</v>
      </c>
      <c r="C27" s="234" t="s">
        <v>125</v>
      </c>
      <c r="D27" s="233"/>
    </row>
    <row r="28" spans="2:5" ht="12.75" customHeight="1" x14ac:dyDescent="0.25">
      <c r="B28" s="237" t="s">
        <v>441</v>
      </c>
      <c r="C28" s="318" t="s">
        <v>94</v>
      </c>
      <c r="D28" s="319"/>
    </row>
    <row r="29" spans="2:5" ht="12.75" customHeight="1" x14ac:dyDescent="0.25">
      <c r="B29" s="237" t="s">
        <v>402</v>
      </c>
      <c r="C29" s="318" t="s">
        <v>53</v>
      </c>
      <c r="D29" s="319"/>
      <c r="E29" s="25"/>
    </row>
    <row r="30" spans="2:5" ht="12.75" customHeight="1" x14ac:dyDescent="0.25">
      <c r="B30" s="237" t="s">
        <v>76</v>
      </c>
      <c r="C30" s="374" t="s">
        <v>412</v>
      </c>
      <c r="D30" s="375"/>
    </row>
    <row r="31" spans="2:5" ht="14.25" customHeight="1" x14ac:dyDescent="0.25">
      <c r="B31" s="237" t="s">
        <v>77</v>
      </c>
      <c r="C31" s="318" t="s">
        <v>413</v>
      </c>
      <c r="D31" s="319"/>
    </row>
    <row r="32" spans="2:5" ht="14.25" customHeight="1" x14ac:dyDescent="0.25">
      <c r="B32" s="239" t="s">
        <v>75</v>
      </c>
      <c r="C32" s="100" t="s">
        <v>95</v>
      </c>
      <c r="D32" s="101"/>
    </row>
    <row r="33" spans="2:13" ht="14.25" customHeight="1" x14ac:dyDescent="0.25">
      <c r="B33" s="237" t="s">
        <v>3</v>
      </c>
      <c r="C33" s="353" t="s">
        <v>2</v>
      </c>
      <c r="D33" s="354"/>
    </row>
    <row r="34" spans="2:13" ht="15" customHeight="1" thickBot="1" x14ac:dyDescent="0.3">
      <c r="B34" s="240" t="s">
        <v>403</v>
      </c>
      <c r="C34" s="102" t="s">
        <v>124</v>
      </c>
      <c r="D34" s="103"/>
    </row>
    <row r="35" spans="2:13" ht="15" customHeight="1" thickBot="1" x14ac:dyDescent="0.3">
      <c r="B35" s="98"/>
      <c r="C35" s="98"/>
      <c r="D35" s="98"/>
      <c r="F35" s="25"/>
    </row>
    <row r="36" spans="2:13" ht="13.8" thickBot="1" x14ac:dyDescent="0.3">
      <c r="B36" s="104" t="s">
        <v>48</v>
      </c>
      <c r="C36" s="105"/>
      <c r="D36" s="105"/>
      <c r="E36" s="106"/>
      <c r="F36" s="25"/>
    </row>
    <row r="37" spans="2:13" ht="16.5" customHeight="1" x14ac:dyDescent="0.25">
      <c r="B37" s="107" t="s">
        <v>414</v>
      </c>
      <c r="C37" s="108"/>
      <c r="D37" s="108"/>
      <c r="E37" s="109"/>
      <c r="F37" s="25"/>
    </row>
    <row r="38" spans="2:13" ht="19.5" customHeight="1" x14ac:dyDescent="0.25">
      <c r="B38" s="349" t="s">
        <v>45</v>
      </c>
      <c r="C38" s="350"/>
      <c r="D38" s="336" t="s">
        <v>415</v>
      </c>
      <c r="E38" s="337"/>
      <c r="M38" s="25"/>
    </row>
    <row r="39" spans="2:13" ht="27" customHeight="1" x14ac:dyDescent="0.25">
      <c r="B39" s="349" t="s">
        <v>46</v>
      </c>
      <c r="C39" s="350"/>
      <c r="D39" s="336" t="s">
        <v>49</v>
      </c>
      <c r="E39" s="337"/>
    </row>
    <row r="40" spans="2:13" ht="81" customHeight="1" x14ac:dyDescent="0.25">
      <c r="B40" s="340" t="s">
        <v>47</v>
      </c>
      <c r="C40" s="341"/>
      <c r="D40" s="336" t="s">
        <v>417</v>
      </c>
      <c r="E40" s="337"/>
    </row>
    <row r="41" spans="2:13" ht="31.5" customHeight="1" x14ac:dyDescent="0.25">
      <c r="B41" s="342"/>
      <c r="C41" s="343"/>
      <c r="D41" s="344" t="s">
        <v>416</v>
      </c>
      <c r="E41" s="345"/>
    </row>
    <row r="42" spans="2:13" ht="156" customHeight="1" x14ac:dyDescent="0.25">
      <c r="B42" s="349" t="s">
        <v>58</v>
      </c>
      <c r="C42" s="350"/>
      <c r="D42" s="336" t="s">
        <v>525</v>
      </c>
      <c r="E42" s="337"/>
    </row>
    <row r="43" spans="2:13" ht="105" customHeight="1" x14ac:dyDescent="0.25">
      <c r="B43" s="346" t="s">
        <v>419</v>
      </c>
      <c r="C43" s="347"/>
      <c r="D43" s="336" t="s">
        <v>527</v>
      </c>
      <c r="E43" s="348"/>
    </row>
    <row r="44" spans="2:13" ht="57" customHeight="1" thickBot="1" x14ac:dyDescent="0.3">
      <c r="B44" s="351" t="s">
        <v>418</v>
      </c>
      <c r="C44" s="352"/>
      <c r="D44" s="338" t="s">
        <v>420</v>
      </c>
      <c r="E44" s="339"/>
    </row>
    <row r="45" spans="2:13" x14ac:dyDescent="0.25">
      <c r="B45" s="110"/>
      <c r="C45" s="111"/>
      <c r="D45" s="111"/>
    </row>
  </sheetData>
  <sheetProtection password="C969" sheet="1" objects="1" scenarios="1"/>
  <customSheetViews>
    <customSheetView guid="{8C263A95-99F9-4260-B64A-0E771D03F536}" scale="106" showRuler="0">
      <selection activeCell="C14" sqref="C14"/>
      <pageMargins left="0.5" right="0.5" top="1" bottom="1" header="0.5" footer="0.5"/>
      <pageSetup orientation="landscape" r:id="rId1"/>
      <headerFooter alignWithMargins="0"/>
    </customSheetView>
  </customSheetViews>
  <mergeCells count="31">
    <mergeCell ref="B15:D15"/>
    <mergeCell ref="B16:D16"/>
    <mergeCell ref="B18:D18"/>
    <mergeCell ref="B20:D20"/>
    <mergeCell ref="C30:D30"/>
    <mergeCell ref="B17:D17"/>
    <mergeCell ref="C23:D23"/>
    <mergeCell ref="C24:D24"/>
    <mergeCell ref="C26:D26"/>
    <mergeCell ref="C21:D21"/>
    <mergeCell ref="C22:D22"/>
    <mergeCell ref="B2:D2"/>
    <mergeCell ref="B9:E9"/>
    <mergeCell ref="B6:E6"/>
    <mergeCell ref="B14:D14"/>
    <mergeCell ref="B12:E12"/>
    <mergeCell ref="B3:E3"/>
    <mergeCell ref="D38:E38"/>
    <mergeCell ref="D39:E39"/>
    <mergeCell ref="D40:E40"/>
    <mergeCell ref="C33:D33"/>
    <mergeCell ref="B38:C38"/>
    <mergeCell ref="B39:C39"/>
    <mergeCell ref="D42:E42"/>
    <mergeCell ref="D44:E44"/>
    <mergeCell ref="B40:C41"/>
    <mergeCell ref="D41:E41"/>
    <mergeCell ref="B43:C43"/>
    <mergeCell ref="D43:E43"/>
    <mergeCell ref="B42:C42"/>
    <mergeCell ref="B44:C44"/>
  </mergeCells>
  <phoneticPr fontId="0" type="noConversion"/>
  <hyperlinks>
    <hyperlink ref="D41" r:id="rId2"/>
  </hyperlinks>
  <pageMargins left="0.45" right="0.45" top="0.5" bottom="1" header="0.5" footer="0.5"/>
  <pageSetup scale="75" orientation="portrait" r:id="rId3"/>
  <headerFooter alignWithMargins="0">
    <oddFooter>&amp;LPage &amp;P of &amp;N&amp;C&amp;F&amp;RPrinted &amp;D</oddFooter>
  </headerFooter>
  <rowBreaks count="1" manualBreakCount="1">
    <brk id="34"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E114"/>
  <sheetViews>
    <sheetView showGridLines="0" zoomScaleNormal="100" workbookViewId="0"/>
  </sheetViews>
  <sheetFormatPr defaultColWidth="9.109375" defaultRowHeight="13.2" x14ac:dyDescent="0.25"/>
  <cols>
    <col min="1" max="1" width="2.88671875" style="308" customWidth="1"/>
    <col min="2" max="2" width="38.5546875" style="308" customWidth="1"/>
    <col min="3" max="3" width="81.33203125" style="308" customWidth="1"/>
    <col min="4" max="4" width="8.109375" style="308" customWidth="1"/>
    <col min="5" max="5" width="97.44140625" style="308" hidden="1" customWidth="1"/>
    <col min="6" max="6" width="9.109375" style="308" customWidth="1"/>
    <col min="7" max="16384" width="9.109375" style="308"/>
  </cols>
  <sheetData>
    <row r="1" spans="2:5" ht="17.399999999999999" x14ac:dyDescent="0.3">
      <c r="B1" s="23" t="s">
        <v>121</v>
      </c>
    </row>
    <row r="2" spans="2:5" ht="16.2" thickBot="1" x14ac:dyDescent="0.4">
      <c r="E2" s="143" t="s">
        <v>190</v>
      </c>
    </row>
    <row r="3" spans="2:5" ht="13.8" thickBot="1" x14ac:dyDescent="0.3">
      <c r="B3" s="388" t="s">
        <v>5</v>
      </c>
      <c r="C3" s="361"/>
      <c r="E3" s="144" t="s">
        <v>11</v>
      </c>
    </row>
    <row r="4" spans="2:5" x14ac:dyDescent="0.25">
      <c r="B4" s="48" t="s">
        <v>6</v>
      </c>
      <c r="C4" s="30" t="s">
        <v>120</v>
      </c>
      <c r="E4" s="144" t="s">
        <v>191</v>
      </c>
    </row>
    <row r="5" spans="2:5" x14ac:dyDescent="0.25">
      <c r="B5" s="49" t="s">
        <v>7</v>
      </c>
      <c r="C5" s="26" t="s">
        <v>21</v>
      </c>
      <c r="E5" s="144" t="s">
        <v>17</v>
      </c>
    </row>
    <row r="6" spans="2:5" x14ac:dyDescent="0.25">
      <c r="B6" s="50" t="s">
        <v>206</v>
      </c>
      <c r="C6" s="26" t="s">
        <v>381</v>
      </c>
      <c r="E6" s="145"/>
    </row>
    <row r="7" spans="2:5" x14ac:dyDescent="0.25">
      <c r="B7" s="50" t="s">
        <v>198</v>
      </c>
      <c r="C7" s="160" t="s">
        <v>338</v>
      </c>
      <c r="E7" s="143" t="s">
        <v>192</v>
      </c>
    </row>
    <row r="8" spans="2:5" ht="13.8" thickBot="1" x14ac:dyDescent="0.3">
      <c r="B8" s="51" t="s">
        <v>380</v>
      </c>
      <c r="C8" s="159">
        <v>87101</v>
      </c>
      <c r="E8" s="144" t="s">
        <v>11</v>
      </c>
    </row>
    <row r="9" spans="2:5" ht="13.8" thickBot="1" x14ac:dyDescent="0.3">
      <c r="E9" s="144" t="s">
        <v>193</v>
      </c>
    </row>
    <row r="10" spans="2:5" ht="13.8" thickBot="1" x14ac:dyDescent="0.3">
      <c r="B10" s="388" t="s">
        <v>10</v>
      </c>
      <c r="C10" s="361"/>
      <c r="E10" s="144" t="s">
        <v>191</v>
      </c>
    </row>
    <row r="11" spans="2:5" x14ac:dyDescent="0.25">
      <c r="B11" s="48" t="s">
        <v>6</v>
      </c>
      <c r="C11" s="30" t="s">
        <v>18</v>
      </c>
      <c r="E11" s="144" t="s">
        <v>17</v>
      </c>
    </row>
    <row r="12" spans="2:5" x14ac:dyDescent="0.25">
      <c r="B12" s="49" t="s">
        <v>8</v>
      </c>
      <c r="C12" s="26" t="s">
        <v>19</v>
      </c>
      <c r="E12" s="144" t="s">
        <v>16</v>
      </c>
    </row>
    <row r="13" spans="2:5" ht="13.8" thickBot="1" x14ac:dyDescent="0.3">
      <c r="B13" s="52" t="s">
        <v>9</v>
      </c>
      <c r="C13" s="27" t="s">
        <v>20</v>
      </c>
      <c r="E13" s="144" t="s">
        <v>15</v>
      </c>
    </row>
    <row r="14" spans="2:5" ht="13.8" thickBot="1" x14ac:dyDescent="0.3"/>
    <row r="15" spans="2:5" ht="16.2" thickBot="1" x14ac:dyDescent="0.4">
      <c r="B15" s="391" t="str">
        <f>"U.S. Environmental Protection Agency Region "&amp;VLOOKUP(C7,'EPA Regional Contact Info'!$A$5:$C$49,3,FALSE)&amp;" Contact"</f>
        <v>U.S. Environmental Protection Agency Region 6 Contact</v>
      </c>
      <c r="C15" s="392"/>
      <c r="E15" s="143" t="s">
        <v>194</v>
      </c>
    </row>
    <row r="16" spans="2:5" x14ac:dyDescent="0.25">
      <c r="B16" s="161" t="s">
        <v>382</v>
      </c>
      <c r="C16" s="162" t="str">
        <f>VLOOKUP($C$7,'EPA Regional Contact Info'!$A$5:$N$49,4,FALSE)</f>
        <v>Bonnie Braganza</v>
      </c>
      <c r="E16" s="144" t="s">
        <v>11</v>
      </c>
    </row>
    <row r="17" spans="2:5" x14ac:dyDescent="0.25">
      <c r="B17" s="163" t="s">
        <v>383</v>
      </c>
      <c r="C17" s="164" t="str">
        <f>VLOOKUP($C$7,'EPA Regional Contact Info'!$A$5:$N$49,5,FALSE)</f>
        <v>214-665-7340</v>
      </c>
      <c r="E17" s="144" t="s">
        <v>195</v>
      </c>
    </row>
    <row r="18" spans="2:5" x14ac:dyDescent="0.25">
      <c r="B18" s="163" t="s">
        <v>384</v>
      </c>
      <c r="C18" s="164" t="str">
        <f>VLOOKUP($C$7,'EPA Regional Contact Info'!$A$5:$N$49,6,FALSE)</f>
        <v>braganza.bonnie@epa.gov</v>
      </c>
    </row>
    <row r="19" spans="2:5" x14ac:dyDescent="0.25">
      <c r="B19" s="163" t="s">
        <v>385</v>
      </c>
      <c r="C19" s="164" t="str">
        <f>VLOOKUP($C$7,'EPA Regional Contact Info'!$A$5:$N$49,7,FALSE)</f>
        <v>None</v>
      </c>
    </row>
    <row r="20" spans="2:5" x14ac:dyDescent="0.25">
      <c r="B20" s="163" t="s">
        <v>386</v>
      </c>
      <c r="C20" s="164" t="str">
        <f>IF(VLOOKUP($C$7,'EPA Regional Contact Info'!$A$5:$N$49,8,FALSE)=0,"",VLOOKUP($C$7,'EPA Regional Contact Info'!$A$5:$N$49,8,FALSE))</f>
        <v/>
      </c>
      <c r="E20" s="29" t="s">
        <v>97</v>
      </c>
    </row>
    <row r="21" spans="2:5" ht="15" customHeight="1" x14ac:dyDescent="0.25">
      <c r="B21" s="163" t="s">
        <v>387</v>
      </c>
      <c r="C21" s="164" t="str">
        <f>IF(VLOOKUP($C$7,'EPA Regional Contact Info'!$A$5:$N$49,9,FALSE)=0,"",VLOOKUP($C$7,'EPA Regional Contact Info'!$A$5:$N$49,9,FALSE))</f>
        <v/>
      </c>
      <c r="E21" s="28" t="s">
        <v>54</v>
      </c>
    </row>
    <row r="22" spans="2:5" x14ac:dyDescent="0.25">
      <c r="B22" s="165" t="s">
        <v>7</v>
      </c>
      <c r="C22" s="166" t="str">
        <f>"U.S. Environmental Protection Agency Region "&amp;VLOOKUP($C$7,'EPA Regional Contact Info'!$A$5:$C$49,3,FALSE)</f>
        <v>U.S. Environmental Protection Agency Region 6</v>
      </c>
      <c r="E22" s="28" t="s">
        <v>55</v>
      </c>
    </row>
    <row r="23" spans="2:5" ht="15" customHeight="1" x14ac:dyDescent="0.25">
      <c r="B23" s="167"/>
      <c r="C23" s="168" t="str">
        <f>VLOOKUP($C$7,'EPA Regional Contact Info'!$A$5:$N$49,10,FALSE)</f>
        <v>1445 Ross Avenue, Suite 1200</v>
      </c>
    </row>
    <row r="24" spans="2:5" x14ac:dyDescent="0.25">
      <c r="B24" s="167"/>
      <c r="C24" s="168" t="str">
        <f>VLOOKUP($C$7,'EPA Regional Contact Info'!$A$5:$N$49,11,FALSE)</f>
        <v>MC: 6PD</v>
      </c>
      <c r="E24" s="29" t="s">
        <v>96</v>
      </c>
    </row>
    <row r="25" spans="2:5" ht="13.8" thickBot="1" x14ac:dyDescent="0.3">
      <c r="B25" s="169"/>
      <c r="C25" s="170" t="str">
        <f>VLOOKUP($C$7,'EPA Regional Contact Info'!$A$5:$N$49,12,FALSE)&amp;", "&amp;VLOOKUP($C$7,'EPA Regional Contact Info'!$A$5:$N$49,13,FALSE)&amp;" "&amp;VLOOKUP($C$7,'EPA Regional Contact Info'!$A$5:$N$49,14,FALSE)</f>
        <v>Dallas, TX 75202-2733</v>
      </c>
      <c r="E25" s="28" t="s">
        <v>99</v>
      </c>
    </row>
    <row r="26" spans="2:5" ht="13.8" thickBot="1" x14ac:dyDescent="0.3">
      <c r="E26" s="28" t="s">
        <v>101</v>
      </c>
    </row>
    <row r="27" spans="2:5" ht="13.8" thickBot="1" x14ac:dyDescent="0.3">
      <c r="B27" s="389" t="s">
        <v>44</v>
      </c>
      <c r="C27" s="390"/>
      <c r="E27" s="28" t="s">
        <v>102</v>
      </c>
    </row>
    <row r="28" spans="2:5" x14ac:dyDescent="0.25">
      <c r="B28" s="241" t="s">
        <v>59</v>
      </c>
      <c r="C28" s="242" t="s">
        <v>11</v>
      </c>
      <c r="E28" s="28" t="s">
        <v>100</v>
      </c>
    </row>
    <row r="29" spans="2:5" x14ac:dyDescent="0.25">
      <c r="B29" s="243"/>
      <c r="C29" s="244"/>
      <c r="E29" s="28" t="s">
        <v>105</v>
      </c>
    </row>
    <row r="30" spans="2:5" x14ac:dyDescent="0.25">
      <c r="B30" s="243" t="s">
        <v>189</v>
      </c>
      <c r="C30" s="245" t="s">
        <v>11</v>
      </c>
      <c r="E30" s="28" t="s">
        <v>103</v>
      </c>
    </row>
    <row r="31" spans="2:5" ht="12.75" customHeight="1" x14ac:dyDescent="0.25">
      <c r="B31" s="246"/>
      <c r="C31" s="247"/>
      <c r="E31" s="28" t="s">
        <v>104</v>
      </c>
    </row>
    <row r="32" spans="2:5" ht="15.6" x14ac:dyDescent="0.35">
      <c r="B32" s="243" t="s">
        <v>60</v>
      </c>
      <c r="C32" s="245" t="s">
        <v>11</v>
      </c>
    </row>
    <row r="33" spans="2:5" ht="12.75" customHeight="1" x14ac:dyDescent="0.25">
      <c r="B33" s="246"/>
      <c r="C33" s="247"/>
    </row>
    <row r="34" spans="2:5" ht="15.6" x14ac:dyDescent="0.35">
      <c r="B34" s="243" t="s">
        <v>61</v>
      </c>
      <c r="C34" s="245" t="s">
        <v>11</v>
      </c>
      <c r="E34" s="29" t="s">
        <v>98</v>
      </c>
    </row>
    <row r="35" spans="2:5" x14ac:dyDescent="0.25">
      <c r="B35" s="246"/>
      <c r="C35" s="247"/>
      <c r="E35" s="28" t="s">
        <v>123</v>
      </c>
    </row>
    <row r="36" spans="2:5" ht="15.6" x14ac:dyDescent="0.35">
      <c r="B36" s="243" t="s">
        <v>62</v>
      </c>
      <c r="C36" s="245" t="s">
        <v>11</v>
      </c>
      <c r="E36" s="28" t="s">
        <v>69</v>
      </c>
    </row>
    <row r="37" spans="2:5" ht="13.8" thickBot="1" x14ac:dyDescent="0.3">
      <c r="B37" s="248"/>
      <c r="C37" s="249"/>
      <c r="E37" s="28" t="s">
        <v>68</v>
      </c>
    </row>
    <row r="38" spans="2:5" ht="13.5" customHeight="1" x14ac:dyDescent="0.25">
      <c r="B38" s="25"/>
      <c r="C38" s="25"/>
      <c r="E38" s="28" t="s">
        <v>70</v>
      </c>
    </row>
    <row r="39" spans="2:5" ht="12.75" customHeight="1" thickBot="1" x14ac:dyDescent="0.3">
      <c r="B39" s="24"/>
      <c r="C39" s="95"/>
      <c r="E39" s="28" t="s">
        <v>147</v>
      </c>
    </row>
    <row r="40" spans="2:5" ht="13.8" thickBot="1" x14ac:dyDescent="0.3">
      <c r="B40" s="77" t="s">
        <v>57</v>
      </c>
      <c r="C40" s="78"/>
    </row>
    <row r="41" spans="2:5" ht="44.25" customHeight="1" thickBot="1" x14ac:dyDescent="0.3">
      <c r="B41" s="393" t="s">
        <v>505</v>
      </c>
      <c r="C41" s="394"/>
    </row>
    <row r="42" spans="2:5" ht="27" thickBot="1" x14ac:dyDescent="0.3">
      <c r="B42" s="251" t="s">
        <v>500</v>
      </c>
      <c r="C42" s="250">
        <v>1</v>
      </c>
      <c r="E42" s="121" t="s">
        <v>423</v>
      </c>
    </row>
    <row r="43" spans="2:5" ht="13.8" thickBot="1" x14ac:dyDescent="0.3">
      <c r="B43" s="386" t="s">
        <v>159</v>
      </c>
      <c r="C43" s="387"/>
      <c r="D43" s="42"/>
      <c r="E43" s="122">
        <f>IF(C46=0,1,C46/100)</f>
        <v>1</v>
      </c>
    </row>
    <row r="44" spans="2:5" ht="40.5" customHeight="1" x14ac:dyDescent="0.25">
      <c r="B44" s="312" t="s">
        <v>499</v>
      </c>
      <c r="C44" s="252">
        <v>0</v>
      </c>
      <c r="E44" s="43"/>
    </row>
    <row r="45" spans="2:5" ht="41.25" customHeight="1" x14ac:dyDescent="0.25">
      <c r="B45" s="327" t="s">
        <v>514</v>
      </c>
      <c r="C45" s="307">
        <v>0</v>
      </c>
      <c r="E45" s="121" t="s">
        <v>422</v>
      </c>
    </row>
    <row r="46" spans="2:5" ht="39" customHeight="1" x14ac:dyDescent="0.25">
      <c r="B46" s="311" t="s">
        <v>493</v>
      </c>
      <c r="C46" s="288">
        <v>0</v>
      </c>
      <c r="E46" s="122">
        <f>IF(C48=0,'VOC and Solids Content Ranges'!$C$5,C48)</f>
        <v>7.3</v>
      </c>
    </row>
    <row r="47" spans="2:5" ht="36.75" customHeight="1" x14ac:dyDescent="0.25">
      <c r="B47" s="265" t="s">
        <v>431</v>
      </c>
      <c r="C47" s="289">
        <f>Cleaner_VOC_Content</f>
        <v>1</v>
      </c>
      <c r="E47" s="43"/>
    </row>
    <row r="48" spans="2:5" ht="39.6" x14ac:dyDescent="0.25">
      <c r="B48" s="311" t="s">
        <v>494</v>
      </c>
      <c r="C48" s="267">
        <v>0</v>
      </c>
      <c r="E48" s="121" t="s">
        <v>424</v>
      </c>
    </row>
    <row r="49" spans="2:5" ht="13.8" thickBot="1" x14ac:dyDescent="0.3">
      <c r="B49" s="313" t="s">
        <v>430</v>
      </c>
      <c r="C49" s="270">
        <f>Cleaner_Density</f>
        <v>7.3</v>
      </c>
      <c r="E49" s="122">
        <f>IF(C54=0,('Additional References'!$B$15-'VOC and Solids Content Ranges'!$D$11)/'Additional References'!$B$15,C54/100)</f>
        <v>0.70143884892086328</v>
      </c>
    </row>
    <row r="50" spans="2:5" ht="13.8" thickBot="1" x14ac:dyDescent="0.3">
      <c r="B50" s="325" t="s">
        <v>160</v>
      </c>
      <c r="C50" s="326"/>
      <c r="E50" s="43"/>
    </row>
    <row r="51" spans="2:5" ht="26.4" x14ac:dyDescent="0.25">
      <c r="B51" s="312" t="s">
        <v>498</v>
      </c>
      <c r="C51" s="252">
        <v>0</v>
      </c>
      <c r="E51" s="121" t="s">
        <v>427</v>
      </c>
    </row>
    <row r="52" spans="2:5" ht="28.5" customHeight="1" x14ac:dyDescent="0.25">
      <c r="B52" s="327" t="s">
        <v>515</v>
      </c>
      <c r="C52" s="307">
        <v>0</v>
      </c>
      <c r="E52" s="122">
        <f>1-Primer_VOC_Content</f>
        <v>0.29856115107913672</v>
      </c>
    </row>
    <row r="53" spans="2:5" ht="24" customHeight="1" x14ac:dyDescent="0.25">
      <c r="B53" s="311" t="s">
        <v>118</v>
      </c>
      <c r="C53" s="253" t="s">
        <v>99</v>
      </c>
      <c r="E53" s="43"/>
    </row>
    <row r="54" spans="2:5" ht="39.6" x14ac:dyDescent="0.25">
      <c r="B54" s="311" t="s">
        <v>495</v>
      </c>
      <c r="C54" s="288">
        <v>0</v>
      </c>
      <c r="E54" s="121" t="s">
        <v>425</v>
      </c>
    </row>
    <row r="55" spans="2:5" x14ac:dyDescent="0.25">
      <c r="B55" s="311" t="s">
        <v>432</v>
      </c>
      <c r="C55" s="289">
        <f>Primer_VOC_Content</f>
        <v>0.70143884892086328</v>
      </c>
      <c r="E55" s="122">
        <f>IF(C57=0,'Additional References'!$B$15,C57)</f>
        <v>8.34</v>
      </c>
    </row>
    <row r="56" spans="2:5" ht="36" customHeight="1" x14ac:dyDescent="0.25">
      <c r="B56" s="311" t="s">
        <v>126</v>
      </c>
      <c r="C56" s="290">
        <f>Primer_Solids_Content</f>
        <v>0.29856115107913672</v>
      </c>
      <c r="E56" s="43"/>
    </row>
    <row r="57" spans="2:5" ht="39.6" x14ac:dyDescent="0.25">
      <c r="B57" s="311" t="s">
        <v>496</v>
      </c>
      <c r="C57" s="267">
        <v>0</v>
      </c>
      <c r="E57" s="121" t="s">
        <v>426</v>
      </c>
    </row>
    <row r="58" spans="2:5" ht="13.8" thickBot="1" x14ac:dyDescent="0.3">
      <c r="B58" s="313" t="s">
        <v>433</v>
      </c>
      <c r="C58" s="270">
        <f>Primer_Density</f>
        <v>8.34</v>
      </c>
      <c r="E58" s="122">
        <f>IF(C63=0,('Additional References'!$B$15-'VOC and Solids Content Ranges'!$D$12)/'Additional References'!$B$15,C63/100)</f>
        <v>0.67745803357314149</v>
      </c>
    </row>
    <row r="59" spans="2:5" ht="13.8" thickBot="1" x14ac:dyDescent="0.3">
      <c r="B59" s="325" t="s">
        <v>161</v>
      </c>
      <c r="C59" s="326"/>
      <c r="E59" s="43"/>
    </row>
    <row r="60" spans="2:5" ht="26.4" x14ac:dyDescent="0.25">
      <c r="B60" s="312" t="s">
        <v>497</v>
      </c>
      <c r="C60" s="252">
        <v>0</v>
      </c>
      <c r="E60" s="121" t="s">
        <v>428</v>
      </c>
    </row>
    <row r="61" spans="2:5" ht="39.6" x14ac:dyDescent="0.25">
      <c r="B61" s="327" t="s">
        <v>516</v>
      </c>
      <c r="C61" s="307">
        <v>0</v>
      </c>
      <c r="E61" s="122">
        <f>1-Coating_VOC_Content</f>
        <v>0.32254196642685851</v>
      </c>
    </row>
    <row r="62" spans="2:5" ht="26.4" x14ac:dyDescent="0.25">
      <c r="B62" s="311" t="s">
        <v>119</v>
      </c>
      <c r="C62" s="253" t="s">
        <v>101</v>
      </c>
      <c r="E62" s="43"/>
    </row>
    <row r="63" spans="2:5" ht="39.6" x14ac:dyDescent="0.25">
      <c r="B63" s="311" t="s">
        <v>501</v>
      </c>
      <c r="C63" s="288">
        <v>0</v>
      </c>
      <c r="E63" s="121" t="s">
        <v>429</v>
      </c>
    </row>
    <row r="64" spans="2:5" ht="18.75" customHeight="1" x14ac:dyDescent="0.25">
      <c r="B64" s="311" t="s">
        <v>442</v>
      </c>
      <c r="C64" s="302">
        <f>Coating_VOC_Content</f>
        <v>0.67745803357314149</v>
      </c>
      <c r="E64" s="122">
        <f>IF(C66=0,'Additional References'!$B$15,C66)</f>
        <v>8.34</v>
      </c>
    </row>
    <row r="65" spans="2:5" ht="39.6" x14ac:dyDescent="0.25">
      <c r="B65" s="311" t="s">
        <v>127</v>
      </c>
      <c r="C65" s="290">
        <f>Coating_Solids_Content</f>
        <v>0.32254196642685851</v>
      </c>
      <c r="E65" s="43"/>
    </row>
    <row r="66" spans="2:5" ht="39.6" x14ac:dyDescent="0.25">
      <c r="B66" s="311" t="s">
        <v>502</v>
      </c>
      <c r="C66" s="267">
        <v>0</v>
      </c>
      <c r="E66" s="121" t="s">
        <v>444</v>
      </c>
    </row>
    <row r="67" spans="2:5" ht="13.8" thickBot="1" x14ac:dyDescent="0.3">
      <c r="B67" s="313" t="s">
        <v>434</v>
      </c>
      <c r="C67" s="270">
        <f>Coating_Density</f>
        <v>8.34</v>
      </c>
      <c r="E67" s="122">
        <f>IF(Heater_Fuel="Oil - Waste",IF(C73=0,Waste_Oil_Actual_Sulfur_Content,C73),IF(C73=0,Distillate_Oil_Actual_Sulfur_Content,C73))</f>
        <v>0.24</v>
      </c>
    </row>
    <row r="68" spans="2:5" ht="13.8" thickBot="1" x14ac:dyDescent="0.3">
      <c r="B68" s="76" t="s">
        <v>106</v>
      </c>
      <c r="C68" s="75"/>
    </row>
    <row r="69" spans="2:5" ht="26.25" customHeight="1" x14ac:dyDescent="0.25">
      <c r="B69" s="254" t="s">
        <v>503</v>
      </c>
      <c r="C69" s="252" t="s">
        <v>55</v>
      </c>
      <c r="E69" s="314" t="s">
        <v>504</v>
      </c>
    </row>
    <row r="70" spans="2:5" ht="26.25" customHeight="1" x14ac:dyDescent="0.25">
      <c r="B70" s="255" t="s">
        <v>523</v>
      </c>
      <c r="C70" s="253">
        <v>0.1</v>
      </c>
      <c r="E70" s="306" t="str">
        <f>'EPA Regional Contact Info'!A5</f>
        <v>Alabama</v>
      </c>
    </row>
    <row r="71" spans="2:5" ht="15" customHeight="1" x14ac:dyDescent="0.25">
      <c r="B71" s="268" t="s">
        <v>524</v>
      </c>
      <c r="C71" s="266" t="s">
        <v>70</v>
      </c>
      <c r="E71" s="306" t="str">
        <f>'EPA Regional Contact Info'!A6</f>
        <v>Alaska</v>
      </c>
    </row>
    <row r="72" spans="2:5" ht="26.25" customHeight="1" x14ac:dyDescent="0.25">
      <c r="B72" s="255" t="str">
        <f>IF(C71="Natural gas","How much fuel was combusted in the heater in 2012 (MMscf)?","How much fuel was combusted in the heater in 2012 (1000 gal)?")</f>
        <v>How much fuel was combusted in the heater in 2012 (1000 gal)?</v>
      </c>
      <c r="C72" s="253">
        <v>0</v>
      </c>
      <c r="E72" s="306" t="str">
        <f>'EPA Regional Contact Info'!A7</f>
        <v>Arizona</v>
      </c>
    </row>
    <row r="73" spans="2:5" ht="26.25" customHeight="1" x14ac:dyDescent="0.25">
      <c r="B73" s="255" t="str">
        <f>IF(Heater_Fuel="Oil - Distillate","What is the sulfur content of the distillate oil (percent)? (Enter 0 if unknown)","What is the sulfur content of the waste oil (percent)? (Enter 0 if unknown)")</f>
        <v>What is the sulfur content of the distillate oil (percent)? (Enter 0 if unknown)</v>
      </c>
      <c r="C73" s="269">
        <v>0</v>
      </c>
      <c r="E73" s="306" t="str">
        <f>'EPA Regional Contact Info'!A8</f>
        <v>Arkansas</v>
      </c>
    </row>
    <row r="74" spans="2:5" ht="15.75" customHeight="1" thickBot="1" x14ac:dyDescent="0.3">
      <c r="B74" s="273" t="str">
        <f>IF(Heater_Fuel="Oil - Waste","Sulfur content of waste oil (percent)","Sulfur content of distillate oil (percent)")</f>
        <v>Sulfur content of distillate oil (percent)</v>
      </c>
      <c r="C74" s="270">
        <f>E67</f>
        <v>0.24</v>
      </c>
      <c r="E74" s="306" t="str">
        <f>'EPA Regional Contact Info'!A9</f>
        <v>California</v>
      </c>
    </row>
    <row r="75" spans="2:5" x14ac:dyDescent="0.25">
      <c r="B75" s="25"/>
      <c r="C75" s="25"/>
      <c r="E75" s="306" t="str">
        <f>'EPA Regional Contact Info'!A10</f>
        <v>Colorado</v>
      </c>
    </row>
    <row r="76" spans="2:5" x14ac:dyDescent="0.25">
      <c r="E76" s="306" t="str">
        <f>'EPA Regional Contact Info'!A11</f>
        <v>Connecticut</v>
      </c>
    </row>
    <row r="77" spans="2:5" x14ac:dyDescent="0.25">
      <c r="E77" s="306" t="str">
        <f>'EPA Regional Contact Info'!A12</f>
        <v>Florida</v>
      </c>
    </row>
    <row r="78" spans="2:5" x14ac:dyDescent="0.25">
      <c r="E78" s="306" t="str">
        <f>'EPA Regional Contact Info'!A13</f>
        <v>Georgia</v>
      </c>
    </row>
    <row r="79" spans="2:5" x14ac:dyDescent="0.25">
      <c r="E79" s="306" t="str">
        <f>'EPA Regional Contact Info'!A14</f>
        <v>Hawaii</v>
      </c>
    </row>
    <row r="80" spans="2:5" x14ac:dyDescent="0.25">
      <c r="E80" s="306" t="str">
        <f>'EPA Regional Contact Info'!A15</f>
        <v>Idaho</v>
      </c>
    </row>
    <row r="81" spans="5:5" x14ac:dyDescent="0.25">
      <c r="E81" s="306" t="str">
        <f>'EPA Regional Contact Info'!A16</f>
        <v>Illinois</v>
      </c>
    </row>
    <row r="82" spans="5:5" x14ac:dyDescent="0.25">
      <c r="E82" s="306" t="str">
        <f>'EPA Regional Contact Info'!A17</f>
        <v>Indiana</v>
      </c>
    </row>
    <row r="83" spans="5:5" x14ac:dyDescent="0.25">
      <c r="E83" s="306" t="str">
        <f>'EPA Regional Contact Info'!A18</f>
        <v>Iowa</v>
      </c>
    </row>
    <row r="84" spans="5:5" x14ac:dyDescent="0.25">
      <c r="E84" s="306" t="str">
        <f>'EPA Regional Contact Info'!A19</f>
        <v>Kansas</v>
      </c>
    </row>
    <row r="85" spans="5:5" x14ac:dyDescent="0.25">
      <c r="E85" s="306" t="str">
        <f>'EPA Regional Contact Info'!A20</f>
        <v>Kentucky</v>
      </c>
    </row>
    <row r="86" spans="5:5" x14ac:dyDescent="0.25">
      <c r="E86" s="306" t="str">
        <f>'EPA Regional Contact Info'!A21</f>
        <v>Louisiana</v>
      </c>
    </row>
    <row r="87" spans="5:5" x14ac:dyDescent="0.25">
      <c r="E87" s="306" t="str">
        <f>'EPA Regional Contact Info'!A22</f>
        <v>Maine</v>
      </c>
    </row>
    <row r="88" spans="5:5" x14ac:dyDescent="0.25">
      <c r="E88" s="306" t="str">
        <f>'EPA Regional Contact Info'!A23</f>
        <v>Massachusetts</v>
      </c>
    </row>
    <row r="89" spans="5:5" x14ac:dyDescent="0.25">
      <c r="E89" s="306" t="str">
        <f>'EPA Regional Contact Info'!A24</f>
        <v>Michigan</v>
      </c>
    </row>
    <row r="90" spans="5:5" x14ac:dyDescent="0.25">
      <c r="E90" s="306" t="str">
        <f>'EPA Regional Contact Info'!A25</f>
        <v>Minnesota</v>
      </c>
    </row>
    <row r="91" spans="5:5" x14ac:dyDescent="0.25">
      <c r="E91" s="306" t="str">
        <f>'EPA Regional Contact Info'!A26</f>
        <v>Mississippi</v>
      </c>
    </row>
    <row r="92" spans="5:5" x14ac:dyDescent="0.25">
      <c r="E92" s="306" t="str">
        <f>'EPA Regional Contact Info'!A27</f>
        <v>Missouri</v>
      </c>
    </row>
    <row r="93" spans="5:5" x14ac:dyDescent="0.25">
      <c r="E93" s="306" t="str">
        <f>'EPA Regional Contact Info'!A28</f>
        <v>Montana</v>
      </c>
    </row>
    <row r="94" spans="5:5" x14ac:dyDescent="0.25">
      <c r="E94" s="306" t="str">
        <f>'EPA Regional Contact Info'!A29</f>
        <v>Nebraska</v>
      </c>
    </row>
    <row r="95" spans="5:5" x14ac:dyDescent="0.25">
      <c r="E95" s="306" t="str">
        <f>'EPA Regional Contact Info'!A30</f>
        <v>Nevada</v>
      </c>
    </row>
    <row r="96" spans="5:5" x14ac:dyDescent="0.25">
      <c r="E96" s="306" t="str">
        <f>'EPA Regional Contact Info'!A31</f>
        <v>New Hampshire</v>
      </c>
    </row>
    <row r="97" spans="5:5" x14ac:dyDescent="0.25">
      <c r="E97" s="306" t="str">
        <f>'EPA Regional Contact Info'!A32</f>
        <v>New Jersey</v>
      </c>
    </row>
    <row r="98" spans="5:5" x14ac:dyDescent="0.25">
      <c r="E98" s="306" t="str">
        <f>'EPA Regional Contact Info'!A33</f>
        <v>New Mexico</v>
      </c>
    </row>
    <row r="99" spans="5:5" x14ac:dyDescent="0.25">
      <c r="E99" s="306" t="str">
        <f>'EPA Regional Contact Info'!A34</f>
        <v>New York</v>
      </c>
    </row>
    <row r="100" spans="5:5" x14ac:dyDescent="0.25">
      <c r="E100" s="306" t="str">
        <f>'EPA Regional Contact Info'!A35</f>
        <v>North Carolina</v>
      </c>
    </row>
    <row r="101" spans="5:5" x14ac:dyDescent="0.25">
      <c r="E101" s="306" t="str">
        <f>'EPA Regional Contact Info'!A36</f>
        <v>North Dakota</v>
      </c>
    </row>
    <row r="102" spans="5:5" x14ac:dyDescent="0.25">
      <c r="E102" s="306" t="str">
        <f>'EPA Regional Contact Info'!A37</f>
        <v>Ohio</v>
      </c>
    </row>
    <row r="103" spans="5:5" x14ac:dyDescent="0.25">
      <c r="E103" s="306" t="str">
        <f>'EPA Regional Contact Info'!A38</f>
        <v>Oklahoma</v>
      </c>
    </row>
    <row r="104" spans="5:5" x14ac:dyDescent="0.25">
      <c r="E104" s="306" t="str">
        <f>'EPA Regional Contact Info'!A39</f>
        <v>Oregon</v>
      </c>
    </row>
    <row r="105" spans="5:5" x14ac:dyDescent="0.25">
      <c r="E105" s="306" t="str">
        <f>'EPA Regional Contact Info'!A40</f>
        <v>Rhode Island</v>
      </c>
    </row>
    <row r="106" spans="5:5" x14ac:dyDescent="0.25">
      <c r="E106" s="306" t="str">
        <f>'EPA Regional Contact Info'!A41</f>
        <v>South Carolina</v>
      </c>
    </row>
    <row r="107" spans="5:5" x14ac:dyDescent="0.25">
      <c r="E107" s="306" t="str">
        <f>'EPA Regional Contact Info'!A42</f>
        <v>South Dakota</v>
      </c>
    </row>
    <row r="108" spans="5:5" x14ac:dyDescent="0.25">
      <c r="E108" s="306" t="str">
        <f>'EPA Regional Contact Info'!A43</f>
        <v>Tennessee</v>
      </c>
    </row>
    <row r="109" spans="5:5" x14ac:dyDescent="0.25">
      <c r="E109" s="306" t="str">
        <f>'EPA Regional Contact Info'!A44</f>
        <v>Texas</v>
      </c>
    </row>
    <row r="110" spans="5:5" x14ac:dyDescent="0.25">
      <c r="E110" s="306" t="str">
        <f>'EPA Regional Contact Info'!A45</f>
        <v>Utah</v>
      </c>
    </row>
    <row r="111" spans="5:5" x14ac:dyDescent="0.25">
      <c r="E111" s="306" t="str">
        <f>'EPA Regional Contact Info'!A46</f>
        <v>Vermont</v>
      </c>
    </row>
    <row r="112" spans="5:5" x14ac:dyDescent="0.25">
      <c r="E112" s="306" t="str">
        <f>'EPA Regional Contact Info'!A47</f>
        <v>Washington</v>
      </c>
    </row>
    <row r="113" spans="5:5" x14ac:dyDescent="0.25">
      <c r="E113" s="306" t="str">
        <f>'EPA Regional Contact Info'!A48</f>
        <v>Wisconsin</v>
      </c>
    </row>
    <row r="114" spans="5:5" x14ac:dyDescent="0.25">
      <c r="E114" s="306" t="str">
        <f>'EPA Regional Contact Info'!A49</f>
        <v>Wyoming</v>
      </c>
    </row>
  </sheetData>
  <sheetProtection password="C969" sheet="1" objects="1" scenarios="1"/>
  <dataConsolidate/>
  <mergeCells count="6">
    <mergeCell ref="B43:C43"/>
    <mergeCell ref="B3:C3"/>
    <mergeCell ref="B10:C10"/>
    <mergeCell ref="B27:C27"/>
    <mergeCell ref="B15:C15"/>
    <mergeCell ref="B41:C41"/>
  </mergeCells>
  <conditionalFormatting sqref="B70:C74">
    <cfRule type="expression" dxfId="13" priority="1" stopIfTrue="1">
      <formula>$C$69="No"</formula>
    </cfRule>
  </conditionalFormatting>
  <conditionalFormatting sqref="B73:C74">
    <cfRule type="expression" dxfId="12" priority="22">
      <formula>LEFT($C$71,3)&lt;&gt;"Oil"</formula>
    </cfRule>
  </conditionalFormatting>
  <dataValidations xWindow="646" yWindow="297" count="40">
    <dataValidation type="decimal" operator="greaterThan" allowBlank="1" showInputMessage="1" showErrorMessage="1" errorTitle="Value Out of Range" error="Value entered must be greater than 0." promptTitle="Heat Capacity of Heater" prompt="Enter the heat capacity of the heater in million British thermal units per hour." sqref="C70">
      <formula1>0</formula1>
    </dataValidation>
    <dataValidation type="list" allowBlank="1" showInputMessage="1" showErrorMessage="1" promptTitle="Ozone Attainment Status" prompt="Select the 1997 8-hr ozone attainment status of the air basin in which your facility is located." sqref="C30">
      <formula1>Ozone_Attainment_List</formula1>
    </dataValidation>
    <dataValidation type="list" allowBlank="1" showInputMessage="1" showErrorMessage="1" promptTitle="CO Attainment Status" prompt="Select the CO attainment status of the air basin in which your facility is located." sqref="C28">
      <formula1>CO_PM10_Attainment_List</formula1>
    </dataValidation>
    <dataValidation type="list" allowBlank="1" showInputMessage="1" showErrorMessage="1" promptTitle="PM2.5 Attainment Status" prompt="Select the PM2.5 attainment status of the air basin in which your facility is located. If either the 1997 or 2006 PM2.5 standard is in nonattainment, select nonattainment. " sqref="C36">
      <formula1>SO2_PM25_Attainment_List</formula1>
    </dataValidation>
    <dataValidation type="list" allowBlank="1" showInputMessage="1" showErrorMessage="1" promptTitle="PM10 Attainment Status" prompt="Select the PM10 attainment status of the air basin in which your facility is located." sqref="C34">
      <formula1>CO_PM10_Attainment_List</formula1>
    </dataValidation>
    <dataValidation type="list" allowBlank="1" showInputMessage="1" showErrorMessage="1" promptTitle="SO2 Attainment Status" prompt="Select the SO2 attainment status of the air basin in which your facility is located." sqref="C32">
      <formula1>SO2_PM25_Attainment_List</formula1>
    </dataValidation>
    <dataValidation type="decimal" operator="greaterThanOrEqual" allowBlank="1" showInputMessage="1" showErrorMessage="1" promptTitle="Coatings Usage" prompt="Enter the gallons of coatings that your facility used in calendar year 2012." sqref="C60">
      <formula1>0</formula1>
    </dataValidation>
    <dataValidation type="list" allowBlank="1" showInputMessage="1" showErrorMessage="1" promptTitle="Primary Heater Fuel" prompt="Select the primary heater fuel type used at your facility from the drop-down list." sqref="C71">
      <formula1>Heater_Fuel_Type_List</formula1>
    </dataValidation>
    <dataValidation type="list" allowBlank="1" showInputMessage="1" showErrorMessage="1" promptTitle="Coating Application Method" prompt="Select the coating application method used at your facility from the drop-down list." sqref="C62">
      <formula1>Spray_Type_List</formula1>
    </dataValidation>
    <dataValidation type="decimal" allowBlank="1" showInputMessage="1" showErrorMessage="1" errorTitle="Value Out of Range" error="Value entered must be between 0 and 100." promptTitle="Primer VOC Content" prompt="Enter the average VOC content of the primers used at your facility in 2012 as a weight percentage. If unknown, please enter 0." sqref="C54">
      <formula1>0</formula1>
      <formula2>100</formula2>
    </dataValidation>
    <dataValidation type="decimal" allowBlank="1" showInputMessage="1" showErrorMessage="1" errorTitle="Value Out of Range" error="Value entered must be between 1 and 168." promptTitle="Facility Operation Time" prompt="Enter the average number of hours that your facility operated per week in calendar year 2012." sqref="C42">
      <formula1>0.001</formula1>
      <formula2>168</formula2>
    </dataValidation>
    <dataValidation type="list" allowBlank="1" showInputMessage="1" showErrorMessage="1" promptTitle="Heater" prompt="Please select whether your facility used a shop heater in calendar year 2012." sqref="C69">
      <formula1>Yes_No_Heater_List</formula1>
    </dataValidation>
    <dataValidation allowBlank="1" showInputMessage="1" showErrorMessage="1" promptTitle="Cleaning Solvent" prompt="Cleaning solvent is any solvent used to wipe down cars or trucks before coating operations" sqref="B43:C43"/>
    <dataValidation allowBlank="1" showInputMessage="1" showErrorMessage="1" promptTitle="Primer" prompt="Primer is the first coating applied to the automobile and used to prepare the rest of the car for painting" sqref="B50"/>
    <dataValidation allowBlank="1" showInputMessage="1" showErrorMessage="1" promptTitle="Coating" prompt="Coatings are any paints applied to the automobile after the primer" sqref="B59"/>
    <dataValidation allowBlank="1" showInputMessage="1" showErrorMessage="1" promptTitle="Heater" prompt="Some auto body shops use a heater to keep a constant temperature for their coating operations" sqref="B68:B69"/>
    <dataValidation allowBlank="1" showInputMessage="1" showErrorMessage="1" promptTitle="Heater Capacity" prompt="The heater's capacity is the heat transferred to the air and is expressed as MMBtu/hr." sqref="B70"/>
    <dataValidation type="list" allowBlank="1" showInputMessage="1" showErrorMessage="1" promptTitle="Primer Application Method" prompt="Select the primer application method used at your facility from the drop-down list." sqref="C53">
      <formula1>Spray_Type_List</formula1>
    </dataValidation>
    <dataValidation operator="greaterThan" allowBlank="1" showInputMessage="1" showErrorMessage="1" promptTitle="Cleaning Solvent Usage" prompt="Enter the gallons of cleaning solvent that your facility used in calendar year 2012." sqref="C44"/>
    <dataValidation type="decimal" allowBlank="1" showInputMessage="1" showErrorMessage="1" errorTitle="Value Out of Range" error="Value entered must be between 0 and 100." promptTitle="Cleaning Solvent VOC Content" prompt="Average VOC content of cleaning solvent. If 0 is entered in the field above, a default value will be used to estimate actual emissions." sqref="C47">
      <formula1>0</formula1>
      <formula2>100</formula2>
    </dataValidation>
    <dataValidation type="decimal" operator="greaterThanOrEqual" allowBlank="1" showInputMessage="1" showErrorMessage="1" promptTitle="Primer Usage" prompt="Enter the gallons of primer that your facility used in calendar year 2012." sqref="C51">
      <formula1>0</formula1>
    </dataValidation>
    <dataValidation allowBlank="1" showInputMessage="1" showErrorMessage="1" promptTitle="Primer Solids Content" prompt="Average soilids content of primers used at your facility calculated as 100 minus the VOC content." sqref="C56"/>
    <dataValidation allowBlank="1" showInputMessage="1" showErrorMessage="1" errorTitle="Value Out of Range" error="Value entered must be between 0 and 100." promptTitle="Coating VOC Content" prompt="Enter the average VOC content of the coatings used at your facility in 2012 as a weight percentage. If unknown, please enter 0." sqref="C63"/>
    <dataValidation allowBlank="1" showInputMessage="1" showErrorMessage="1" promptTitle="Coatings Solids Content" prompt="Average soilids content of coatings used at your facility calculated as 100 minus the VOC content." sqref="C65"/>
    <dataValidation type="decimal" allowBlank="1" showInputMessage="1" showErrorMessage="1" errorTitle="Value Out of Range" error="The sulfur content must be between 0 and 0.5 percent. The maximum allowable sulfur content of distillate oil combusted on Tribal lands is 0.5 percent. See 40 CFR 49.130(d)(2)" promptTitle="Sulfur Content of Fuel" prompt="Enter the sulfur content of the fuel as a percent weight. Enter 0 if unknown." sqref="C73">
      <formula1>0</formula1>
      <formula2>0.5</formula2>
    </dataValidation>
    <dataValidation allowBlank="1" showInputMessage="1" showErrorMessage="1" promptTitle="Cleaning Solvent Density" prompt="Average density in pounds per gallon of cleaning solvent used at your facility. If 0 is entered in the field above, a default value will be used to estimate actual emissions." sqref="C49"/>
    <dataValidation type="decimal" allowBlank="1" showInputMessage="1" showErrorMessage="1" errorTitle="Value Out of Range" error="Value entered must be between 0 and 100." promptTitle="Average VOC Content" prompt="The average VOC content by weight percent. If 0 is entered in the field above, a default value of 70.1% will be used." sqref="C55">
      <formula1>0</formula1>
      <formula2>100</formula2>
    </dataValidation>
    <dataValidation allowBlank="1" showInputMessage="1" showErrorMessage="1" promptTitle="Average Primer Density" prompt="The average density (pounds/gallon) of primer used for calculating emissions in this calculator. If 0 is entered in the field above, a default value of 8.34 lb/gal will be used." sqref="C58"/>
    <dataValidation allowBlank="1" showInputMessage="1" showErrorMessage="1" promptTitle="Average Coatings Density" prompt="The average density (pounds/gallon) of primer used for calculating emissions in this calculator. If 0 is entered in the field above, a default value of 8.34 lb/gal will be used." sqref="C67"/>
    <dataValidation allowBlank="1" showInputMessage="1" showErrorMessage="1" promptTitle="Sulfur Content" prompt="The sulfur content of the fuel as a weight percentage that is used to calculate emissions in this calculator. If 0 is entered in the field above, a default value will be used to estimate actual emissions." sqref="C74"/>
    <dataValidation allowBlank="1" showInputMessage="1" showErrorMessage="1" errorTitle="Value Out of Range" error="Value entered must be between 0 and 100." promptTitle="Coating VOC Content" prompt="The average VOC content by weight percent. If 0 is entered in the field above, a default value of 67.7% will be used." sqref="C64"/>
    <dataValidation allowBlank="1" showInputMessage="1" showErrorMessage="1" promptTitle="Primer Density" prompt="Enter the average density (pounds/gallon) of primer used at your facility in 2012. Enter 0 if unknown and a default value of 8.34 lb/gal will be used. To convert specific gravity to density, multiply the specific gravity by 8.34 lb/gal." sqref="C57"/>
    <dataValidation allowBlank="1" showInputMessage="1" showErrorMessage="1" promptTitle="Cleaning Solvent Density" prompt="Enter the average density (pounds/gallon) of cleaning solvents used at your facility in 2012. Enter 0 if unknown and a default value of will be used. To convert specific gravity to density, multiply the specific gravity by 8.34 lb/gal." sqref="C48"/>
    <dataValidation allowBlank="1" showInputMessage="1" showErrorMessage="1" promptTitle="Coatings Density" prompt="Enter the average density (pounds/gallon) of coatings used at your facility in 2012. Enter 0 if unknown and a default value of 8.34 lb/gal will be used. To convert specific gravity to density, multiply the specific gravity by 8.34 lb/gal." sqref="C66"/>
    <dataValidation type="list" allowBlank="1" showInputMessage="1" showErrorMessage="1" promptTitle="State Selection" prompt="Use the drop-down list to select the state in which your facility resides. To access the drop-down list, click on the small box to the right of the cell." sqref="C7">
      <formula1>State_List</formula1>
    </dataValidation>
    <dataValidation type="decimal" allowBlank="1" showInputMessage="1" showErrorMessage="1" errorTitle="Value Out of Range" error="Value entered must be between 0 and 100." promptTitle="Cleaning Solvent VOC Content" prompt="Enter the average VOC content of the cleaning solvents used at your facility in 2012 as a weight percentage. If unknown, please enter 0." sqref="C46">
      <formula1>0</formula1>
      <formula2>100</formula2>
    </dataValidation>
    <dataValidation allowBlank="1" showInputMessage="1" showErrorMessage="1" promptTitle="Volume of Fuel Combusted" prompt="Enter the volume of fuel combusted in your heater in calendar year 2012. Make sure the units match those listed in cell B51._x000a__x000a_MMscf = million standard cubic feet_x000a_1000 gal = 1,000 gallons_x000a__x000a_For example, enter 2 if your heater burned 2,000 gallons of oil." sqref="C72"/>
    <dataValidation operator="greaterThan" allowBlank="1" showInputMessage="1" showErrorMessage="1" promptTitle="Maximum Cleaning Solvent Usage" prompt="Enter the maximum number of gallons of cleaning solvent that your facility can use in an hour. If unknown, enter the number of gallons used in your busiest hour in 2012." sqref="C45"/>
    <dataValidation type="decimal" operator="greaterThanOrEqual" allowBlank="1" showInputMessage="1" showErrorMessage="1" promptTitle="Maximum Primer Usage" prompt="Enter the maximum number of gallons of primer that your facility can use per hour. For example, if your facility applies primer with a spray gun, multiply the gallons per minute rating of the spray gun by 60 to get maximum gallons per hour." sqref="C52">
      <formula1>0</formula1>
    </dataValidation>
    <dataValidation type="decimal" operator="greaterThanOrEqual" allowBlank="1" showInputMessage="1" showErrorMessage="1" promptTitle="Maximum Coating Usage" prompt="Enter the maximum number of gallons of coating that your facility can use per hour. For example, if your facility applies coatings with a spray gun, multiply the gallons per minute rating of the spray gun by 60 to get maximum gallons per hour." sqref="C61">
      <formula1>0</formula1>
    </dataValidation>
  </dataValidations>
  <pageMargins left="0.45" right="0.45" top="0.5" bottom="1" header="0.5" footer="0.5"/>
  <pageSetup scale="80" orientation="portrait" r:id="rId1"/>
  <headerFooter>
    <oddFooter>&amp;LPage &amp;P of &amp;N&amp;C&amp;F&amp;RPrinted &amp;D</oddFooter>
  </headerFooter>
  <rowBreaks count="1" manualBreakCount="1">
    <brk id="49" max="2" man="1"/>
  </rowBreaks>
  <ignoredErrors>
    <ignoredError sqref="C6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Normal="100" workbookViewId="0"/>
  </sheetViews>
  <sheetFormatPr defaultColWidth="9.109375" defaultRowHeight="13.2" x14ac:dyDescent="0.25"/>
  <cols>
    <col min="1" max="1" width="2.5546875" style="145" customWidth="1"/>
    <col min="2" max="2" width="50.109375" style="145" customWidth="1"/>
    <col min="3" max="3" width="20.33203125" style="145" customWidth="1"/>
    <col min="4" max="4" width="9.109375" style="145"/>
    <col min="5" max="5" width="9.109375" style="145" customWidth="1"/>
    <col min="6" max="6" width="31" style="145" hidden="1" customWidth="1"/>
    <col min="7" max="7" width="9.109375" style="145" customWidth="1"/>
    <col min="8" max="16384" width="9.109375" style="145"/>
  </cols>
  <sheetData>
    <row r="1" spans="2:9" ht="17.399999999999999" x14ac:dyDescent="0.3">
      <c r="B1" s="119" t="s">
        <v>180</v>
      </c>
    </row>
    <row r="2" spans="2:9" ht="13.8" thickBot="1" x14ac:dyDescent="0.3"/>
    <row r="3" spans="2:9" x14ac:dyDescent="0.25">
      <c r="B3" s="256" t="s">
        <v>396</v>
      </c>
      <c r="C3" s="257"/>
      <c r="F3" s="258" t="s">
        <v>470</v>
      </c>
    </row>
    <row r="4" spans="2:9" x14ac:dyDescent="0.25">
      <c r="B4" s="395" t="s">
        <v>468</v>
      </c>
      <c r="C4" s="396"/>
      <c r="F4" s="287" t="s">
        <v>226</v>
      </c>
    </row>
    <row r="5" spans="2:9" ht="26.4" x14ac:dyDescent="0.25">
      <c r="B5" s="286" t="s">
        <v>471</v>
      </c>
      <c r="C5" s="321" t="s">
        <v>226</v>
      </c>
      <c r="F5" s="122" t="s">
        <v>456</v>
      </c>
    </row>
    <row r="6" spans="2:9" ht="26.4" x14ac:dyDescent="0.25">
      <c r="B6" s="286" t="s">
        <v>476</v>
      </c>
      <c r="C6" s="322">
        <v>0</v>
      </c>
      <c r="F6" s="122" t="s">
        <v>454</v>
      </c>
      <c r="I6" s="262"/>
    </row>
    <row r="7" spans="2:9" x14ac:dyDescent="0.25">
      <c r="B7" s="286" t="s">
        <v>472</v>
      </c>
      <c r="C7" s="303">
        <f>$F$10</f>
        <v>0</v>
      </c>
      <c r="F7" s="304" t="s">
        <v>455</v>
      </c>
      <c r="I7" s="262"/>
    </row>
    <row r="8" spans="2:9" x14ac:dyDescent="0.25">
      <c r="B8" s="395" t="s">
        <v>469</v>
      </c>
      <c r="C8" s="396"/>
      <c r="I8" s="262"/>
    </row>
    <row r="9" spans="2:9" ht="26.4" x14ac:dyDescent="0.25">
      <c r="B9" s="259" t="s">
        <v>464</v>
      </c>
      <c r="C9" s="323" t="s">
        <v>55</v>
      </c>
      <c r="F9" s="258" t="s">
        <v>475</v>
      </c>
    </row>
    <row r="10" spans="2:9" ht="39.6" x14ac:dyDescent="0.25">
      <c r="B10" s="259" t="s">
        <v>465</v>
      </c>
      <c r="C10" s="323" t="s">
        <v>55</v>
      </c>
      <c r="F10" s="264">
        <f>IF($C$5="None",0,IF($C$6=0,VLOOKUP($C$5,'Additional References'!$A$31:$B$33,2,FALSE)/100,$C$6/100))</f>
        <v>0</v>
      </c>
    </row>
    <row r="11" spans="2:9" ht="26.4" x14ac:dyDescent="0.25">
      <c r="B11" s="261" t="s">
        <v>521</v>
      </c>
      <c r="C11" s="324">
        <v>98</v>
      </c>
    </row>
    <row r="12" spans="2:9" ht="13.8" thickBot="1" x14ac:dyDescent="0.3">
      <c r="B12" s="263" t="s">
        <v>463</v>
      </c>
      <c r="C12" s="291">
        <f>F20</f>
        <v>0</v>
      </c>
      <c r="F12" s="258" t="s">
        <v>474</v>
      </c>
    </row>
    <row r="13" spans="2:9" x14ac:dyDescent="0.25">
      <c r="F13" s="260">
        <f>1-F10</f>
        <v>1</v>
      </c>
    </row>
    <row r="15" spans="2:9" x14ac:dyDescent="0.25">
      <c r="F15" s="258" t="s">
        <v>421</v>
      </c>
    </row>
    <row r="16" spans="2:9" x14ac:dyDescent="0.25">
      <c r="F16" s="260" t="s">
        <v>54</v>
      </c>
    </row>
    <row r="17" spans="2:6" x14ac:dyDescent="0.25">
      <c r="F17" s="260" t="s">
        <v>55</v>
      </c>
    </row>
    <row r="18" spans="2:6" x14ac:dyDescent="0.25">
      <c r="B18" s="292"/>
    </row>
    <row r="19" spans="2:6" x14ac:dyDescent="0.25">
      <c r="F19" s="258" t="s">
        <v>467</v>
      </c>
    </row>
    <row r="20" spans="2:6" x14ac:dyDescent="0.25">
      <c r="F20" s="264">
        <f>IF(C9="No",0,IF(C10="No",0,IF(C11=0,Default_Capture_Efficiency/100,C11/100)))</f>
        <v>0</v>
      </c>
    </row>
    <row r="22" spans="2:6" x14ac:dyDescent="0.25">
      <c r="F22" s="258" t="s">
        <v>473</v>
      </c>
    </row>
    <row r="23" spans="2:6" x14ac:dyDescent="0.25">
      <c r="F23" s="260">
        <f>1-F20</f>
        <v>1</v>
      </c>
    </row>
  </sheetData>
  <sheetProtection password="C969" sheet="1" objects="1" scenarios="1"/>
  <mergeCells count="2">
    <mergeCell ref="B4:C4"/>
    <mergeCell ref="B8:C8"/>
  </mergeCells>
  <conditionalFormatting sqref="B10:C12">
    <cfRule type="expression" dxfId="11" priority="3">
      <formula>$C$9="No"</formula>
    </cfRule>
  </conditionalFormatting>
  <conditionalFormatting sqref="B11:C12">
    <cfRule type="expression" dxfId="10" priority="2">
      <formula>$C$10="No"</formula>
    </cfRule>
  </conditionalFormatting>
  <conditionalFormatting sqref="B6:C7">
    <cfRule type="expression" dxfId="9" priority="1">
      <formula>$C$5="None"</formula>
    </cfRule>
  </conditionalFormatting>
  <dataValidations count="7">
    <dataValidation allowBlank="1" showInputMessage="1" showErrorMessage="1" promptTitle="Paint Overspray % Captured" prompt="The capture percentage of paint overspray at your facility that is being used by this calculator to estimate actual emissions." sqref="C12"/>
    <dataValidation type="decimal" allowBlank="1" showInputMessage="1" showErrorMessage="1" errorTitle="Value Out of Range" error="Value entered must be between 98 and 100 percent." promptTitle="Paint Overspray % Captured" prompt="Enter the percentage of paint overspray captured. If you do not know, enter 98." sqref="C11">
      <formula1>98</formula1>
      <formula2>100</formula2>
    </dataValidation>
    <dataValidation type="decimal" allowBlank="1" showInputMessage="1" showErrorMessage="1" errorTitle="Value Out of Range" error="Value entered must be between 0 and 100 percent." promptTitle="VOC Control Efficiency" prompt="Enter the VOC control efficiency of the control device used at your facility in calendar year 2012. Enter 0 if unknown and a default value of 93.1% will be used." sqref="C6">
      <formula1>0</formula1>
      <formula2>100</formula2>
    </dataValidation>
    <dataValidation operator="greaterThan" allowBlank="1" showInputMessage="1" showErrorMessage="1" promptTitle="VOC Control Efficiency" prompt="The VOC control efficiency at your facility that is being used by this calculator to estimate actual emissions. If 0 is entered in the field above a default value of 93.1% will be used to estimate actual emissions." sqref="C7"/>
    <dataValidation type="list" operator="greaterThan" allowBlank="1" showInputMessage="1" showErrorMessage="1" promptTitle="VOC Control Method" prompt="Select the VOC control method used at your facility in calendar year 2012. If your facility did not use a VOC control device, select 'none.'" sqref="C5">
      <formula1>VOC_Control_Device_List</formula1>
    </dataValidation>
    <dataValidation type="list" operator="greaterThan" allowBlank="1" showInputMessage="1" showErrorMessage="1" promptTitle="Painting Facilities" prompt="Answer &quot;Yes&quot; if you have one or more of the following: a paint spray booth, a preparation station, or a mobile enclosure." sqref="C9">
      <formula1>Yes_No_PM_Control_List</formula1>
    </dataValidation>
    <dataValidation type="list" operator="greaterThan" allowBlank="1" showInputMessage="1" showErrorMessage="1" promptTitle="Overspray Filter" prompt="According to 40 CFR 63.11173(e), all spray booths, preparation stations, and mobile enclosures must be fitted with a type of filter technology that is demonstrated to achieve at least 98% capture of paint overspray." sqref="C10">
      <formula1>Yes_No_PM_Control_List</formula1>
    </dataValidation>
  </dataValidations>
  <pageMargins left="0.7" right="0.7" top="0.75" bottom="0.75" header="0.3" footer="0.3"/>
  <pageSetup orientation="landscape" r:id="rId1"/>
  <headerFooter>
    <oddFooter>&amp;LPage &amp;P of &amp;N&amp;C&amp;F&amp;RPrinted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showGridLines="0" zoomScaleNormal="100" workbookViewId="0"/>
  </sheetViews>
  <sheetFormatPr defaultColWidth="9.109375" defaultRowHeight="13.2" x14ac:dyDescent="0.25"/>
  <cols>
    <col min="1" max="1" width="2.6640625" style="308" customWidth="1"/>
    <col min="2" max="2" width="21" style="308" customWidth="1"/>
    <col min="3" max="3" width="14.5546875" style="308" customWidth="1"/>
    <col min="4" max="4" width="14" style="308" customWidth="1"/>
    <col min="5" max="5" width="11.88671875" style="308" customWidth="1"/>
    <col min="6" max="6" width="14.5546875" style="308" customWidth="1"/>
    <col min="7" max="7" width="13.88671875" style="308" customWidth="1"/>
    <col min="8" max="8" width="13" style="308" customWidth="1"/>
    <col min="9" max="16384" width="9.109375" style="308"/>
  </cols>
  <sheetData>
    <row r="1" spans="2:8" ht="17.399999999999999" x14ac:dyDescent="0.3">
      <c r="B1" s="119" t="s">
        <v>181</v>
      </c>
    </row>
    <row r="2" spans="2:8" ht="13.8" thickBot="1" x14ac:dyDescent="0.3"/>
    <row r="3" spans="2:8" ht="13.8" thickBot="1" x14ac:dyDescent="0.3">
      <c r="B3" s="397" t="s">
        <v>510</v>
      </c>
      <c r="C3" s="398"/>
      <c r="D3" s="398"/>
      <c r="E3" s="398"/>
      <c r="F3" s="398"/>
      <c r="G3" s="398"/>
      <c r="H3" s="399"/>
    </row>
    <row r="4" spans="2:8" ht="15.6" x14ac:dyDescent="0.35">
      <c r="B4" s="120" t="s">
        <v>182</v>
      </c>
      <c r="C4" s="123" t="s">
        <v>63</v>
      </c>
      <c r="D4" s="124" t="s">
        <v>64</v>
      </c>
      <c r="E4" s="124" t="s">
        <v>65</v>
      </c>
      <c r="F4" s="124" t="s">
        <v>3</v>
      </c>
      <c r="G4" s="125" t="s">
        <v>66</v>
      </c>
      <c r="H4" s="126" t="s">
        <v>67</v>
      </c>
    </row>
    <row r="5" spans="2:8" x14ac:dyDescent="0.25">
      <c r="B5" s="127" t="s">
        <v>185</v>
      </c>
      <c r="C5" s="128">
        <f>IF(Inputs!$C$69="No",0,IF(Inputs!$C$71="Electricity",0,VLOOKUP(Heater_Fuel&amp;"CO",'Emission Factors'!$C$4:$E$31,2,0)*Heater_Fuel_Combusted_2012*(1/2000)))</f>
        <v>0</v>
      </c>
      <c r="D5" s="128">
        <f>IF(Inputs!$C$69="No",0,IF(Inputs!$C$71="Electricity",0,VLOOKUP(Heater_Fuel&amp;"Nox",'Emission Factors'!$C$4:$E$31,2,0)*Heater_Fuel_Combusted_2012*(1/2000)))</f>
        <v>0</v>
      </c>
      <c r="E5" s="128">
        <f>IF(Inputs!$C$69="No",0,IF(Inputs!$C$71="Electricity",0,VLOOKUP(Heater_Fuel&amp;"SO2",'Emission Factors'!$C$4:$E$31,2,0)*Heater_Fuel_Combusted_2012*(1/2000)))</f>
        <v>0</v>
      </c>
      <c r="F5" s="128">
        <f>IF(Inputs!$C$69="No",0,IF(Inputs!$C$71="Electricity",0,VLOOKUP(Heater_Fuel&amp;"VOC",'Emission Factors'!$C$4:$E$31,2,0)*Heater_Fuel_Combusted_2012*(1/2000)))</f>
        <v>0</v>
      </c>
      <c r="G5" s="128">
        <f>IF(Inputs!$C$69="No",0,IF(Inputs!$C$71="Electricity",0,VLOOKUP(Heater_Fuel&amp;"PM10",'Emission Factors'!$C$4:$E$31,2,0)*Heater_Fuel_Combusted_2012*(1/2000)))</f>
        <v>0</v>
      </c>
      <c r="H5" s="129">
        <f>IF(Inputs!$C$69="No",0,IF(Inputs!$C$71="Electricity",0,VLOOKUP(Heater_Fuel&amp;"PM2.5",'Emission Factors'!$C$4:$E$31,2,0)*Heater_Fuel_Combusted_2012*(1/2000)))</f>
        <v>0</v>
      </c>
    </row>
    <row r="6" spans="2:8" x14ac:dyDescent="0.25">
      <c r="B6" s="130" t="s">
        <v>186</v>
      </c>
      <c r="C6" s="132">
        <v>0</v>
      </c>
      <c r="D6" s="132">
        <v>0</v>
      </c>
      <c r="E6" s="132">
        <v>0</v>
      </c>
      <c r="F6" s="132">
        <f>Cleaner_Gallons*Cleaner_VOC_Content*Cleaner_Density*(1/2000)*VOC_Control_Multiplier</f>
        <v>0</v>
      </c>
      <c r="G6" s="132">
        <v>0</v>
      </c>
      <c r="H6" s="133">
        <v>0</v>
      </c>
    </row>
    <row r="7" spans="2:8" x14ac:dyDescent="0.25">
      <c r="B7" s="130" t="s">
        <v>187</v>
      </c>
      <c r="C7" s="132">
        <v>0</v>
      </c>
      <c r="D7" s="132">
        <v>0</v>
      </c>
      <c r="E7" s="132">
        <v>0</v>
      </c>
      <c r="F7" s="132">
        <f>Primer_Gallons*Primer_VOC_Content*Primer_Density*(1/2000)*VOC_Control_Multiplier</f>
        <v>0</v>
      </c>
      <c r="G7" s="132">
        <f>Primer_Gallons*Primer_Solids_Content*Primer_Density*(1/2000)*(1-VLOOKUP(Inputs!$C$53,'Additional References'!$B$5:$D$11,3,0))*PM_Control_Multiplier</f>
        <v>0</v>
      </c>
      <c r="H7" s="133">
        <f>Primer_Gallons*Primer_Solids_Content*Primer_Density*(1/2000)*(1-VLOOKUP(Inputs!$C$53,'Additional References'!$B$5:$D$11,3,0))*PM_Control_Multiplier</f>
        <v>0</v>
      </c>
    </row>
    <row r="8" spans="2:8" ht="13.8" thickBot="1" x14ac:dyDescent="0.3">
      <c r="B8" s="130" t="s">
        <v>188</v>
      </c>
      <c r="C8" s="131">
        <v>0</v>
      </c>
      <c r="D8" s="131">
        <v>0</v>
      </c>
      <c r="E8" s="131">
        <v>0</v>
      </c>
      <c r="F8" s="131">
        <f>Coating_Gallons*Coating_VOC_Content*Coating_Density*(1/2000)*VOC_Control_Multiplier</f>
        <v>0</v>
      </c>
      <c r="G8" s="132">
        <f>Coating_Gallons*Coating_Solids_Content*Coating_Density*(1/2000)*(1-VLOOKUP(Inputs!$C$62,'Additional References'!$B$5:$D$11,3,0))*PM_Control_Multiplier</f>
        <v>0</v>
      </c>
      <c r="H8" s="133">
        <f>Coating_Gallons*Coating_Solids_Content*Coating_Density*(1/2000)*(1-VLOOKUP(Inputs!$C$62,'Additional References'!$B$5:$D$11,3,0))*PM_Control_Multiplier</f>
        <v>0</v>
      </c>
    </row>
    <row r="9" spans="2:8" ht="13.8" thickBot="1" x14ac:dyDescent="0.3">
      <c r="B9" s="134" t="s">
        <v>183</v>
      </c>
      <c r="C9" s="135">
        <f>SUM(C5:C8)</f>
        <v>0</v>
      </c>
      <c r="D9" s="135">
        <f t="shared" ref="D9:H9" si="0">SUM(D5:D8)</f>
        <v>0</v>
      </c>
      <c r="E9" s="135">
        <f t="shared" si="0"/>
        <v>0</v>
      </c>
      <c r="F9" s="135">
        <f t="shared" si="0"/>
        <v>0</v>
      </c>
      <c r="G9" s="135">
        <f t="shared" si="0"/>
        <v>0</v>
      </c>
      <c r="H9" s="136">
        <f t="shared" si="0"/>
        <v>0</v>
      </c>
    </row>
    <row r="10" spans="2:8" ht="13.8" thickBot="1" x14ac:dyDescent="0.3">
      <c r="B10" s="137"/>
      <c r="C10" s="137"/>
      <c r="D10" s="137"/>
      <c r="E10" s="137"/>
      <c r="F10" s="137"/>
      <c r="G10" s="138"/>
      <c r="H10" s="138"/>
    </row>
    <row r="11" spans="2:8" ht="13.8" thickBot="1" x14ac:dyDescent="0.3">
      <c r="B11" s="397" t="s">
        <v>184</v>
      </c>
      <c r="C11" s="398"/>
      <c r="D11" s="398"/>
      <c r="E11" s="398"/>
      <c r="F11" s="398"/>
      <c r="G11" s="398"/>
      <c r="H11" s="399"/>
    </row>
    <row r="12" spans="2:8" ht="16.2" thickBot="1" x14ac:dyDescent="0.4">
      <c r="B12" s="139" t="s">
        <v>182</v>
      </c>
      <c r="C12" s="140" t="s">
        <v>63</v>
      </c>
      <c r="D12" s="140" t="s">
        <v>64</v>
      </c>
      <c r="E12" s="140" t="s">
        <v>65</v>
      </c>
      <c r="F12" s="140" t="s">
        <v>3</v>
      </c>
      <c r="G12" s="141" t="s">
        <v>66</v>
      </c>
      <c r="H12" s="142" t="s">
        <v>67</v>
      </c>
    </row>
    <row r="13" spans="2:8" x14ac:dyDescent="0.25">
      <c r="B13" s="127" t="s">
        <v>185</v>
      </c>
      <c r="C13" s="128">
        <f>IF(Inputs!$C$69="No",0,IF(Inputs!$C$71="Electricity",0,Heater_Capacity*(1/VLOOKUP(Heater_Fuel,'Fuel Energy Content'!$A$12:$D$15,2,0))*VLOOKUP(Heater_Fuel&amp;"CO",'Emission Factors'!$C$4:$E$31,3,0)*8760*(1/2000)))</f>
        <v>0</v>
      </c>
      <c r="D13" s="128">
        <f>IF(Inputs!$C$69="No",0,IF(Inputs!$C$71="Electricity",0,Heater_Capacity*(1/VLOOKUP(Heater_Fuel,'Fuel Energy Content'!$A$12:$D$15,2,0))*VLOOKUP(Heater_Fuel&amp;"Nox",'Emission Factors'!$C$4:$E$31,3,0)*8760*(1/2000)))</f>
        <v>0</v>
      </c>
      <c r="E13" s="128">
        <f>IF(Inputs!$C$69="No",0,IF(Inputs!$C$71="Electricity",0,Heater_Capacity*(1/VLOOKUP(Heater_Fuel,'Fuel Energy Content'!$A$12:$D$15,2,0))*VLOOKUP(Heater_Fuel&amp;"SO2",'Emission Factors'!$C$4:$E$31,3,0)*8760*(1/2000)))</f>
        <v>0</v>
      </c>
      <c r="F13" s="128">
        <f>IF(Inputs!$C$69="No",0,IF(Inputs!$C$71="Electricity",0,Heater_Capacity*(1/VLOOKUP(Heater_Fuel,'Fuel Energy Content'!$A$12:$D$15,2,0))*VLOOKUP(Heater_Fuel&amp;"VOC",'Emission Factors'!$C$4:$E$31,3,0)*8760*(1/2000)))</f>
        <v>0</v>
      </c>
      <c r="G13" s="128">
        <f>IF(Inputs!$C$69="No",0,IF(Inputs!$C$71="Electricity",0,Heater_Capacity*(1/VLOOKUP(Heater_Fuel,'Fuel Energy Content'!$A$12:$D$15,2,0))*VLOOKUP(Heater_Fuel&amp;"PM10",'Emission Factors'!$C$4:$E$31,3,0)*8760*(1/2000)))</f>
        <v>0</v>
      </c>
      <c r="H13" s="129">
        <f>IF(Inputs!$C$69="No",0,IF(Inputs!$C$71="Electricity",0,Heater_Capacity*(1/VLOOKUP(Heater_Fuel,'Fuel Energy Content'!$A$12:$D$15,2,0))*VLOOKUP(Heater_Fuel&amp;"PM2.5",'Emission Factors'!$C$4:$E$31,3,0)*8760*(1/2000)))</f>
        <v>0</v>
      </c>
    </row>
    <row r="14" spans="2:8" x14ac:dyDescent="0.25">
      <c r="B14" s="130" t="s">
        <v>186</v>
      </c>
      <c r="C14" s="132">
        <v>0</v>
      </c>
      <c r="D14" s="132">
        <v>0</v>
      </c>
      <c r="E14" s="132">
        <v>0</v>
      </c>
      <c r="F14" s="132">
        <f>Max_Gallons_Cleaning_Solvent_per_Hour*Allowable_Solvent_VOC_Content*(1/2000)*8760</f>
        <v>0</v>
      </c>
      <c r="G14" s="132">
        <v>0</v>
      </c>
      <c r="H14" s="133">
        <v>0</v>
      </c>
    </row>
    <row r="15" spans="2:8" x14ac:dyDescent="0.25">
      <c r="B15" s="130" t="s">
        <v>187</v>
      </c>
      <c r="C15" s="132">
        <v>0</v>
      </c>
      <c r="D15" s="132">
        <v>0</v>
      </c>
      <c r="E15" s="132">
        <v>0</v>
      </c>
      <c r="F15" s="132">
        <f>Max_Gallons_Primer_per_Hour*Allowable_Primer_VOC_Content*(1/2000)*8760</f>
        <v>0</v>
      </c>
      <c r="G15" s="132">
        <f>Max_Gallons_Primer_per_Hour*Allowable_Primer_PM_Content*8760*(1/2000)*(1-VLOOKUP(Inputs!$C$53,'Additional References'!$B$5:$D$11,3,0))</f>
        <v>0</v>
      </c>
      <c r="H15" s="133">
        <f>Max_Gallons_Primer_per_Hour*Allowable_Primer_PM_Content*8760*(1/2000)*(1-VLOOKUP(Inputs!$C$53,'Additional References'!$B$5:$D$11,3,0))</f>
        <v>0</v>
      </c>
    </row>
    <row r="16" spans="2:8" ht="13.8" thickBot="1" x14ac:dyDescent="0.3">
      <c r="B16" s="130" t="s">
        <v>188</v>
      </c>
      <c r="C16" s="131">
        <v>0</v>
      </c>
      <c r="D16" s="131">
        <v>0</v>
      </c>
      <c r="E16" s="131">
        <v>0</v>
      </c>
      <c r="F16" s="131">
        <f>Max_Gallons_Coating_per_Hour*Allowable_Coatings_VOC_Content*(1/2000)*8760</f>
        <v>0</v>
      </c>
      <c r="G16" s="132">
        <f>Max_Gallons_Coating_per_Hour*Allowable_Coatings_PM_Content*8760*(1/2000)*(1-VLOOKUP(Inputs!$C$62,'Additional References'!$B$5:$D$11,3,0))</f>
        <v>0</v>
      </c>
      <c r="H16" s="133">
        <f>Max_Gallons_Coating_per_Hour*Allowable_Coatings_PM_Content*8760*(1/2000)*(1-VLOOKUP(Inputs!$C$62,'Additional References'!$B$5:$D$11,3,0))</f>
        <v>0</v>
      </c>
    </row>
    <row r="17" spans="2:8" ht="13.8" thickBot="1" x14ac:dyDescent="0.3">
      <c r="B17" s="134" t="s">
        <v>183</v>
      </c>
      <c r="C17" s="135">
        <f>SUM(C13:C16)</f>
        <v>0</v>
      </c>
      <c r="D17" s="135">
        <f t="shared" ref="D17:H17" si="1">SUM(D13:D16)</f>
        <v>0</v>
      </c>
      <c r="E17" s="135">
        <f t="shared" si="1"/>
        <v>0</v>
      </c>
      <c r="F17" s="135">
        <f t="shared" si="1"/>
        <v>0</v>
      </c>
      <c r="G17" s="135">
        <f t="shared" si="1"/>
        <v>0</v>
      </c>
      <c r="H17" s="136">
        <f t="shared" si="1"/>
        <v>0</v>
      </c>
    </row>
  </sheetData>
  <sheetProtection password="C969" sheet="1" objects="1" scenarios="1"/>
  <mergeCells count="2">
    <mergeCell ref="B3:H3"/>
    <mergeCell ref="B11:H11"/>
  </mergeCells>
  <dataValidations count="1">
    <dataValidation allowBlank="1" showInputMessage="1" showErrorMessage="1" prompt="This sheet is intended to summarize the components of your facility's emissions. A summary of total emissions and your registration status is located on the Output-Summary Printout sheet." sqref="B3:B4 B11:B12"/>
  </dataValidations>
  <pageMargins left="0.7" right="0.7" top="0.75" bottom="0.75" header="0.3" footer="0.3"/>
  <pageSetup orientation="landscape" r:id="rId1"/>
  <headerFooter>
    <oddFooter>&amp;LPage &amp;P of &amp;N&amp;C&amp;F&amp;RPrinted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election sqref="A1:XFD1"/>
    </sheetView>
  </sheetViews>
  <sheetFormatPr defaultColWidth="3.33203125" defaultRowHeight="13.2" x14ac:dyDescent="0.25"/>
  <cols>
    <col min="1" max="1" width="16.109375" style="145" customWidth="1"/>
    <col min="2" max="2" width="4.6640625" style="145" customWidth="1"/>
    <col min="3" max="3" width="24.6640625" style="145" customWidth="1"/>
    <col min="4" max="4" width="5.5546875" style="145" customWidth="1"/>
    <col min="5" max="5" width="25.44140625" style="145" customWidth="1"/>
    <col min="6" max="6" width="32.44140625" style="145" customWidth="1"/>
    <col min="7" max="9" width="1.88671875" style="145" customWidth="1"/>
    <col min="10" max="10" width="3.109375" style="145" customWidth="1"/>
    <col min="11" max="11" width="16.6640625" style="171" hidden="1" customWidth="1"/>
    <col min="12" max="12" width="16.6640625" style="172" hidden="1" customWidth="1"/>
    <col min="13" max="13" width="18" style="172" hidden="1" customWidth="1"/>
    <col min="14" max="14" width="20.44140625" style="145" customWidth="1"/>
    <col min="15" max="58" width="1.88671875" style="145" customWidth="1"/>
    <col min="59" max="16384" width="3.33203125" style="145"/>
  </cols>
  <sheetData>
    <row r="1" spans="1:13" ht="24.75" customHeight="1" thickBot="1" x14ac:dyDescent="0.3"/>
    <row r="2" spans="1:13" ht="14.25" customHeight="1" x14ac:dyDescent="0.25">
      <c r="A2" s="173"/>
      <c r="B2" s="174"/>
      <c r="C2" s="174"/>
      <c r="D2" s="174"/>
      <c r="E2" s="174"/>
      <c r="F2" s="175"/>
    </row>
    <row r="3" spans="1:13" x14ac:dyDescent="0.25">
      <c r="A3" s="176" t="s">
        <v>31</v>
      </c>
      <c r="B3" s="177" t="str">
        <f>"  "&amp;Inputs!C4</f>
        <v xml:space="preserve">  Acme Body Shop</v>
      </c>
      <c r="C3" s="177"/>
      <c r="E3" s="178" t="str">
        <f>"Facility Contact:"&amp;"  "&amp;Inputs!C11</f>
        <v>Facility Contact:  John Doe</v>
      </c>
      <c r="F3" s="179"/>
    </row>
    <row r="4" spans="1:13" ht="14.25" customHeight="1" x14ac:dyDescent="0.25">
      <c r="A4" s="176" t="s">
        <v>32</v>
      </c>
      <c r="B4" s="177" t="str">
        <f>"  "&amp;Inputs!C5</f>
        <v xml:space="preserve">  101 Acme Way</v>
      </c>
      <c r="C4" s="177"/>
      <c r="E4" s="178" t="str">
        <f>"              Phone:"&amp;"  "&amp;Inputs!C12</f>
        <v xml:space="preserve">              Phone:  555-555-5555</v>
      </c>
      <c r="F4" s="179"/>
    </row>
    <row r="5" spans="1:13" x14ac:dyDescent="0.25">
      <c r="A5" s="180"/>
      <c r="B5" s="177" t="str">
        <f>"  "&amp;Inputs!C6&amp;", "&amp;VLOOKUP(Inputs!C7,'EPA Regional Contact Info'!$A$5:$B$49,2,FALSE)&amp;" "&amp;Inputs!C8</f>
        <v xml:space="preserve">  Albuquerque, NM 87101</v>
      </c>
      <c r="C5" s="177"/>
      <c r="E5" s="178" t="str">
        <f>"               Email:"&amp;"  "&amp;Inputs!C13</f>
        <v xml:space="preserve">               Email:  john.doe@acme.com</v>
      </c>
      <c r="F5" s="179"/>
    </row>
    <row r="6" spans="1:13" ht="13.8" thickBot="1" x14ac:dyDescent="0.3">
      <c r="A6" s="181"/>
      <c r="B6" s="182"/>
      <c r="C6" s="182"/>
      <c r="D6" s="182"/>
      <c r="E6" s="182"/>
      <c r="F6" s="183"/>
    </row>
    <row r="7" spans="1:13" ht="18" customHeight="1" thickBot="1" x14ac:dyDescent="0.3">
      <c r="A7" s="420" t="s">
        <v>151</v>
      </c>
      <c r="B7" s="421"/>
      <c r="C7" s="421"/>
      <c r="D7" s="421"/>
      <c r="E7" s="421"/>
      <c r="F7" s="422"/>
    </row>
    <row r="8" spans="1:13" ht="15.75" customHeight="1" x14ac:dyDescent="0.25">
      <c r="A8" s="423" t="s">
        <v>0</v>
      </c>
      <c r="B8" s="426" t="s">
        <v>509</v>
      </c>
      <c r="C8" s="427"/>
      <c r="D8" s="184"/>
      <c r="E8" s="320"/>
      <c r="F8" s="185" t="s">
        <v>14</v>
      </c>
      <c r="K8" s="400" t="s">
        <v>388</v>
      </c>
      <c r="L8" s="186" t="s">
        <v>13</v>
      </c>
      <c r="M8" s="401" t="s">
        <v>389</v>
      </c>
    </row>
    <row r="9" spans="1:13" x14ac:dyDescent="0.25">
      <c r="A9" s="424"/>
      <c r="B9" s="426"/>
      <c r="C9" s="427"/>
      <c r="D9" s="402" t="s">
        <v>392</v>
      </c>
      <c r="E9" s="403"/>
      <c r="F9" s="185" t="s">
        <v>390</v>
      </c>
      <c r="K9" s="400"/>
      <c r="L9" s="186" t="s">
        <v>390</v>
      </c>
      <c r="M9" s="401"/>
    </row>
    <row r="10" spans="1:13" ht="13.8" thickBot="1" x14ac:dyDescent="0.3">
      <c r="A10" s="425"/>
      <c r="B10" s="404" t="s">
        <v>1</v>
      </c>
      <c r="C10" s="405"/>
      <c r="D10" s="406" t="s">
        <v>1</v>
      </c>
      <c r="E10" s="407"/>
      <c r="F10" s="187" t="s">
        <v>1</v>
      </c>
      <c r="K10" s="400"/>
      <c r="L10" s="188" t="s">
        <v>1</v>
      </c>
      <c r="M10" s="401"/>
    </row>
    <row r="11" spans="1:13" ht="5.25" customHeight="1" x14ac:dyDescent="0.25">
      <c r="A11" s="189"/>
      <c r="B11" s="190"/>
      <c r="C11" s="191"/>
      <c r="D11" s="192"/>
      <c r="E11" s="193"/>
      <c r="F11" s="194"/>
      <c r="L11" s="195"/>
    </row>
    <row r="12" spans="1:13" x14ac:dyDescent="0.25">
      <c r="A12" s="196" t="s">
        <v>63</v>
      </c>
      <c r="B12" s="197"/>
      <c r="C12" s="198">
        <f>'Total Emissions'!$C$9</f>
        <v>0</v>
      </c>
      <c r="D12" s="199"/>
      <c r="E12" s="200">
        <f>'Total Emissions'!$C$17</f>
        <v>0</v>
      </c>
      <c r="F12" s="201">
        <f>IF(Inputs!$C$28="Attainment",10,5)</f>
        <v>10</v>
      </c>
      <c r="K12" s="171">
        <f>IF(E12&gt;=F12,1,0)</f>
        <v>0</v>
      </c>
      <c r="L12" s="146">
        <f>IF(Inputs!$C$28="Attainment",250,IF(Inputs!$C$28="Nonattainment - moderate",100,50))</f>
        <v>250</v>
      </c>
      <c r="M12" s="172">
        <f>IF(E12&gt;=L12,1,0)</f>
        <v>0</v>
      </c>
    </row>
    <row r="13" spans="1:13" ht="5.25" customHeight="1" x14ac:dyDescent="0.25">
      <c r="A13" s="202"/>
      <c r="B13" s="203"/>
      <c r="C13" s="198"/>
      <c r="D13" s="204"/>
      <c r="E13" s="205"/>
      <c r="F13" s="201"/>
      <c r="L13" s="146"/>
    </row>
    <row r="14" spans="1:13" ht="15.75" customHeight="1" x14ac:dyDescent="0.35">
      <c r="A14" s="196" t="s">
        <v>64</v>
      </c>
      <c r="B14" s="197"/>
      <c r="C14" s="198">
        <f>'Total Emissions'!$D$9</f>
        <v>0</v>
      </c>
      <c r="D14" s="199"/>
      <c r="E14" s="200">
        <f>'Total Emissions'!$D$17</f>
        <v>0</v>
      </c>
      <c r="F14" s="201">
        <f>IF(Inputs!$C$30="Attainment",10,5)</f>
        <v>10</v>
      </c>
      <c r="K14" s="171">
        <f t="shared" ref="K14:K22" si="0">IF(E14&gt;=F14,1,0)</f>
        <v>0</v>
      </c>
      <c r="L14" s="146">
        <f>IF(Inputs!$C$30="Attainment",250,IF(Inputs!$C$30="Nonattainment - marginal",100,IF(Inputs!$C$30="Nonattainment - moderate",100,IF(Inputs!$C$30="Nonattainment - serious",50,IF(Inputs!$C$30="Nonattainment - severe",25,10)))))</f>
        <v>250</v>
      </c>
      <c r="M14" s="172">
        <f t="shared" ref="M14:M22" si="1">IF(E14&gt;=L14,1,0)</f>
        <v>0</v>
      </c>
    </row>
    <row r="15" spans="1:13" ht="5.25" customHeight="1" x14ac:dyDescent="0.25">
      <c r="A15" s="202"/>
      <c r="B15" s="203"/>
      <c r="C15" s="198"/>
      <c r="D15" s="199"/>
      <c r="E15" s="206"/>
      <c r="F15" s="201"/>
      <c r="L15" s="146"/>
    </row>
    <row r="16" spans="1:13" ht="15.6" x14ac:dyDescent="0.35">
      <c r="A16" s="196" t="s">
        <v>65</v>
      </c>
      <c r="B16" s="197"/>
      <c r="C16" s="198">
        <f>'Total Emissions'!$E$9</f>
        <v>0</v>
      </c>
      <c r="D16" s="199"/>
      <c r="E16" s="200">
        <f>'Total Emissions'!$E$17</f>
        <v>0</v>
      </c>
      <c r="F16" s="201">
        <f>IF(Inputs!$C$32="Attainment",10,5)</f>
        <v>10</v>
      </c>
      <c r="K16" s="171">
        <f t="shared" si="0"/>
        <v>0</v>
      </c>
      <c r="L16" s="146">
        <f>IF(Inputs!$C$32="Attainment",250,100)</f>
        <v>250</v>
      </c>
      <c r="M16" s="172">
        <f t="shared" si="1"/>
        <v>0</v>
      </c>
    </row>
    <row r="17" spans="1:13" ht="5.25" customHeight="1" x14ac:dyDescent="0.25">
      <c r="A17" s="207"/>
      <c r="B17" s="208"/>
      <c r="C17" s="198"/>
      <c r="D17" s="199"/>
      <c r="E17" s="206"/>
      <c r="F17" s="201"/>
      <c r="L17" s="146"/>
    </row>
    <row r="18" spans="1:13" x14ac:dyDescent="0.25">
      <c r="A18" s="196" t="s">
        <v>3</v>
      </c>
      <c r="B18" s="197"/>
      <c r="C18" s="198">
        <f>'Total Emissions'!$F$9</f>
        <v>0</v>
      </c>
      <c r="D18" s="199"/>
      <c r="E18" s="200">
        <f>'Total Emissions'!$F$17</f>
        <v>0</v>
      </c>
      <c r="F18" s="201">
        <f>IF(Inputs!$C$30="Attainment",5,2)</f>
        <v>5</v>
      </c>
      <c r="K18" s="171">
        <f t="shared" si="0"/>
        <v>0</v>
      </c>
      <c r="L18" s="146">
        <f>IF(Inputs!$C$30="Attainment",250,IF(Inputs!$C$30="Nonattainment - marginal",100,IF(Inputs!$C$30="Nonattainment - moderate",100,IF(Inputs!$C$30="Nonattainment - serious",50,IF(Inputs!$C$30="Nonattainment - severe",25,10)))))</f>
        <v>250</v>
      </c>
      <c r="M18" s="172">
        <f t="shared" si="1"/>
        <v>0</v>
      </c>
    </row>
    <row r="19" spans="1:13" ht="5.25" customHeight="1" x14ac:dyDescent="0.25">
      <c r="A19" s="209"/>
      <c r="B19" s="210"/>
      <c r="C19" s="198"/>
      <c r="D19" s="199"/>
      <c r="E19" s="206"/>
      <c r="F19" s="201"/>
      <c r="L19" s="146"/>
    </row>
    <row r="20" spans="1:13" ht="15.6" x14ac:dyDescent="0.35">
      <c r="A20" s="196" t="s">
        <v>66</v>
      </c>
      <c r="B20" s="197"/>
      <c r="C20" s="198">
        <f>'Total Emissions'!$G$9</f>
        <v>0</v>
      </c>
      <c r="D20" s="199"/>
      <c r="E20" s="200">
        <f>'Total Emissions'!$G$17</f>
        <v>0</v>
      </c>
      <c r="F20" s="201">
        <f>IF(Inputs!$C$34="Attainment",5,1)</f>
        <v>5</v>
      </c>
      <c r="K20" s="171">
        <f t="shared" si="0"/>
        <v>0</v>
      </c>
      <c r="L20" s="146">
        <f>IF(Inputs!$C$34="Attainment",250,IF(Inputs!$C$34="Nonattainment - moderate",100,70))</f>
        <v>250</v>
      </c>
      <c r="M20" s="172">
        <f t="shared" si="1"/>
        <v>0</v>
      </c>
    </row>
    <row r="21" spans="1:13" ht="5.25" customHeight="1" x14ac:dyDescent="0.25">
      <c r="A21" s="202"/>
      <c r="B21" s="203"/>
      <c r="C21" s="198"/>
      <c r="D21" s="199"/>
      <c r="E21" s="206"/>
      <c r="F21" s="211"/>
      <c r="L21" s="147"/>
    </row>
    <row r="22" spans="1:13" ht="15.6" x14ac:dyDescent="0.35">
      <c r="A22" s="212" t="s">
        <v>67</v>
      </c>
      <c r="B22" s="213"/>
      <c r="C22" s="198">
        <f>'Total Emissions'!$H$9</f>
        <v>0</v>
      </c>
      <c r="D22" s="199"/>
      <c r="E22" s="200">
        <f>'Total Emissions'!$H$17</f>
        <v>0</v>
      </c>
      <c r="F22" s="201">
        <f>IF(Inputs!$C$36="Attainment",3,0.6)</f>
        <v>3</v>
      </c>
      <c r="K22" s="171">
        <f t="shared" si="0"/>
        <v>0</v>
      </c>
      <c r="L22" s="146">
        <f>IF(Inputs!$C$36="Attainment",250,100)</f>
        <v>250</v>
      </c>
      <c r="M22" s="172">
        <f t="shared" si="1"/>
        <v>0</v>
      </c>
    </row>
    <row r="23" spans="1:13" ht="5.25" customHeight="1" x14ac:dyDescent="0.25">
      <c r="A23" s="214"/>
      <c r="B23" s="215"/>
      <c r="C23" s="216"/>
      <c r="D23" s="199"/>
      <c r="E23" s="217"/>
      <c r="F23" s="218"/>
      <c r="L23" s="219"/>
    </row>
    <row r="24" spans="1:13" x14ac:dyDescent="0.25">
      <c r="A24" s="408" t="s">
        <v>30</v>
      </c>
      <c r="B24" s="409"/>
      <c r="C24" s="409"/>
      <c r="D24" s="409"/>
      <c r="E24" s="409"/>
      <c r="F24" s="410"/>
      <c r="L24" s="220"/>
    </row>
    <row r="25" spans="1:13" x14ac:dyDescent="0.25">
      <c r="A25" s="221"/>
      <c r="B25" s="186"/>
      <c r="C25" s="186"/>
      <c r="D25" s="186"/>
      <c r="E25" s="186"/>
      <c r="F25" s="222"/>
      <c r="L25" s="195"/>
    </row>
    <row r="26" spans="1:13" x14ac:dyDescent="0.25">
      <c r="A26" s="180"/>
      <c r="B26" s="199"/>
      <c r="C26" s="223">
        <v>100</v>
      </c>
      <c r="D26" s="224" t="s">
        <v>50</v>
      </c>
      <c r="E26" s="199"/>
      <c r="F26" s="222"/>
      <c r="G26" s="186"/>
      <c r="K26" s="145"/>
      <c r="L26" s="171"/>
    </row>
    <row r="27" spans="1:13" x14ac:dyDescent="0.25">
      <c r="A27" s="180"/>
      <c r="B27" s="199"/>
      <c r="C27" s="225">
        <v>50</v>
      </c>
      <c r="D27" s="224" t="s">
        <v>28</v>
      </c>
      <c r="E27" s="199"/>
      <c r="F27" s="179"/>
      <c r="L27" s="232"/>
      <c r="M27" s="195"/>
    </row>
    <row r="28" spans="1:13" x14ac:dyDescent="0.25">
      <c r="A28" s="180"/>
      <c r="B28" s="199"/>
      <c r="C28" s="225">
        <v>0</v>
      </c>
      <c r="D28" s="224" t="s">
        <v>29</v>
      </c>
      <c r="E28" s="199"/>
      <c r="F28" s="179"/>
    </row>
    <row r="29" spans="1:13" ht="13.8" thickBot="1" x14ac:dyDescent="0.3">
      <c r="A29" s="181"/>
      <c r="B29" s="182"/>
      <c r="C29" s="182"/>
      <c r="D29" s="182"/>
      <c r="E29" s="182"/>
      <c r="F29" s="183"/>
    </row>
    <row r="30" spans="1:13" ht="22.5" customHeight="1" thickBot="1" x14ac:dyDescent="0.3">
      <c r="A30" s="411" t="str">
        <f>IF(OR($M$12=1,$M$14=1,$M$16=1,$M$18=1,$M$20=1,$M$22=1),"PLEASE CONSULT WITH YOUR EPA REGIONAL CONTACT LISTED BELOW",IF(OR(K12=1,K14=1,K16=1,K18=1,K20=1,K22=1),"YOU ARE REQUIRED TO REGISTER YOUR FACILITY UNDER THE TRIBAL NEW SOURCE REVIEW RULE","PLEASE SEE NOTE BELOW"))</f>
        <v>PLEASE SEE NOTE BELOW</v>
      </c>
      <c r="B30" s="412"/>
      <c r="C30" s="412"/>
      <c r="D30" s="412"/>
      <c r="E30" s="412"/>
      <c r="F30" s="413"/>
    </row>
    <row r="31" spans="1:13" x14ac:dyDescent="0.25">
      <c r="A31" s="173"/>
      <c r="B31" s="174"/>
      <c r="C31" s="174"/>
      <c r="D31" s="174"/>
      <c r="E31" s="174"/>
      <c r="F31" s="175"/>
    </row>
    <row r="32" spans="1:13" ht="164.25" customHeight="1" thickBot="1" x14ac:dyDescent="0.3">
      <c r="A32" s="414" t="str">
        <f>IF(OR($M$12=1,$M$14=1,$M$16=1,$M$18=1,$M$20=1,$M$22=1),"The allowable emissions at your facility exceed the major source threshold for one or more pollutants. Please consult with your EPA Regional contact listed below to determine applicable permitting requirements.",IF($A$30="You are required to register your facility under the Tribal New Source Review Rule","Please print and mail this page to your EPA Regional contact listed below. Alternatively, you may scan the printed page and email it to your EPA Regional contact.","If your facility"&amp;" has additional sources of emissions, such as emergency generators, you are required to complete all applicable registration calculators and sum the total emissions from"&amp;" each calculator to determine your registration requirement.  If the sum of total emissions from all applicable calculators is below the minor source threshold for every"&amp;" pollutant, then you are not required to register your facility and no further action is required. If the sum of total emissions from all applicable calculators"&amp;" exceeds the minor source threshold for any pollutant, then you are required to register your facility under the"&amp;" Tribal New Source Review Rule. If you are required to register, please contact your EPA Regional Office listed below."))</f>
        <v>If your facility has additional sources of emissions, such as emergency generators, you are required to complete all applicable registration calculators and sum the total emissions from each calculator to determine your registration requirement.  If the sum of total emissions from all applicable calculators is below the minor source threshold for every pollutant, then you are not required to register your facility and no further action is required. If the sum of total emissions from all applicable calculators exceeds the minor source threshold for any pollutant, then you are required to register your facility under the Tribal New Source Review Rule. If you are required to register, please contact your EPA Regional Office listed below.</v>
      </c>
      <c r="B32" s="415"/>
      <c r="C32" s="415"/>
      <c r="D32" s="415"/>
      <c r="E32" s="415"/>
      <c r="F32" s="416"/>
    </row>
    <row r="33" spans="1:6" ht="15.75" customHeight="1" thickBot="1" x14ac:dyDescent="0.3">
      <c r="A33" s="417" t="str">
        <f>"U.S. Environmental Protection Agency Region "&amp;VLOOKUP(Inputs!$C$7,'EPA Regional Contact Info'!$A$5:$C$49,3,FALSE)&amp;" Contact"</f>
        <v>U.S. Environmental Protection Agency Region 6 Contact</v>
      </c>
      <c r="B33" s="418"/>
      <c r="C33" s="418"/>
      <c r="D33" s="418"/>
      <c r="E33" s="418"/>
      <c r="F33" s="419"/>
    </row>
    <row r="34" spans="1:6" ht="15.6" x14ac:dyDescent="0.3">
      <c r="A34" s="173"/>
      <c r="B34" s="226" t="s">
        <v>393</v>
      </c>
      <c r="C34" s="227"/>
      <c r="D34" s="228" t="str">
        <f>Inputs!C16</f>
        <v>Bonnie Braganza</v>
      </c>
      <c r="E34" s="227"/>
      <c r="F34" s="175"/>
    </row>
    <row r="35" spans="1:6" ht="15.6" x14ac:dyDescent="0.3">
      <c r="A35" s="180"/>
      <c r="B35" s="229" t="s">
        <v>394</v>
      </c>
      <c r="C35" s="230"/>
      <c r="D35" s="231" t="str">
        <f>Inputs!C22</f>
        <v>U.S. Environmental Protection Agency Region 6</v>
      </c>
      <c r="E35" s="230"/>
      <c r="F35" s="179"/>
    </row>
    <row r="36" spans="1:6" ht="15.6" x14ac:dyDescent="0.3">
      <c r="A36" s="180"/>
      <c r="B36" s="229"/>
      <c r="C36" s="230"/>
      <c r="D36" s="231" t="str">
        <f>Inputs!C23</f>
        <v>1445 Ross Avenue, Suite 1200</v>
      </c>
      <c r="E36" s="230"/>
      <c r="F36" s="179"/>
    </row>
    <row r="37" spans="1:6" ht="15.6" x14ac:dyDescent="0.3">
      <c r="A37" s="180"/>
      <c r="B37" s="229"/>
      <c r="C37" s="230"/>
      <c r="D37" s="231" t="str">
        <f>Inputs!C24</f>
        <v>MC: 6PD</v>
      </c>
      <c r="E37" s="230"/>
      <c r="F37" s="179"/>
    </row>
    <row r="38" spans="1:6" ht="15.6" x14ac:dyDescent="0.3">
      <c r="A38" s="180"/>
      <c r="B38" s="229"/>
      <c r="C38" s="230"/>
      <c r="D38" s="231" t="str">
        <f>Inputs!C25</f>
        <v>Dallas, TX 75202-2733</v>
      </c>
      <c r="E38" s="230"/>
      <c r="F38" s="179"/>
    </row>
    <row r="39" spans="1:6" ht="15.6" x14ac:dyDescent="0.3">
      <c r="A39" s="180"/>
      <c r="B39" s="229"/>
      <c r="C39" s="230"/>
      <c r="D39" s="231"/>
      <c r="E39" s="230"/>
      <c r="F39" s="179"/>
    </row>
    <row r="40" spans="1:6" ht="15.6" x14ac:dyDescent="0.3">
      <c r="A40" s="180"/>
      <c r="B40" s="229" t="s">
        <v>395</v>
      </c>
      <c r="C40" s="230"/>
      <c r="D40" s="231" t="str">
        <f>Inputs!C17</f>
        <v>214-665-7340</v>
      </c>
      <c r="E40" s="230"/>
      <c r="F40" s="179"/>
    </row>
    <row r="41" spans="1:6" ht="15.6" x14ac:dyDescent="0.3">
      <c r="A41" s="180"/>
      <c r="B41" s="229" t="s">
        <v>33</v>
      </c>
      <c r="C41" s="230"/>
      <c r="D41" s="231" t="str">
        <f>Inputs!C18</f>
        <v>braganza.bonnie@epa.gov</v>
      </c>
      <c r="E41" s="230"/>
      <c r="F41" s="179"/>
    </row>
    <row r="42" spans="1:6" ht="13.8" thickBot="1" x14ac:dyDescent="0.3">
      <c r="A42" s="181"/>
      <c r="B42" s="182"/>
      <c r="C42" s="182"/>
      <c r="D42" s="182"/>
      <c r="E42" s="182"/>
      <c r="F42" s="183"/>
    </row>
  </sheetData>
  <sheetProtection password="C969" sheet="1" objects="1" scenarios="1"/>
  <mergeCells count="12">
    <mergeCell ref="A24:F24"/>
    <mergeCell ref="A30:F30"/>
    <mergeCell ref="A32:F32"/>
    <mergeCell ref="A33:F33"/>
    <mergeCell ref="A7:F7"/>
    <mergeCell ref="A8:A10"/>
    <mergeCell ref="B8:C9"/>
    <mergeCell ref="K8:K10"/>
    <mergeCell ref="M8:M10"/>
    <mergeCell ref="D9:E9"/>
    <mergeCell ref="B10:C10"/>
    <mergeCell ref="D10:E10"/>
  </mergeCells>
  <conditionalFormatting sqref="A33 A32:F32">
    <cfRule type="expression" dxfId="8" priority="5">
      <formula>$A$30="PLEASE SEE NOTE BELOW"</formula>
    </cfRule>
  </conditionalFormatting>
  <conditionalFormatting sqref="A30:F30">
    <cfRule type="expression" dxfId="7" priority="4">
      <formula>$A$30="You are required to register your facility under the tribal new source review rule"</formula>
    </cfRule>
  </conditionalFormatting>
  <conditionalFormatting sqref="C27:C28">
    <cfRule type="iconSet" priority="6">
      <iconSet iconSet="3Symbols" showValue="0" reverse="1">
        <cfvo type="percent" val="0"/>
        <cfvo type="num" val="0" gte="0"/>
        <cfvo type="num" val="100"/>
      </iconSet>
    </cfRule>
  </conditionalFormatting>
  <conditionalFormatting sqref="C12 E12">
    <cfRule type="cellIs" dxfId="6" priority="7" operator="greaterThanOrEqual">
      <formula>$F$12</formula>
    </cfRule>
  </conditionalFormatting>
  <conditionalFormatting sqref="C14 E14">
    <cfRule type="cellIs" dxfId="5" priority="9" operator="greaterThanOrEqual">
      <formula>$F$14</formula>
    </cfRule>
  </conditionalFormatting>
  <conditionalFormatting sqref="C16 E16">
    <cfRule type="cellIs" dxfId="4" priority="11" operator="greaterThanOrEqual">
      <formula>$F$16</formula>
    </cfRule>
  </conditionalFormatting>
  <conditionalFormatting sqref="C18 E18">
    <cfRule type="cellIs" dxfId="3" priority="13" operator="greaterThanOrEqual">
      <formula>$F$18</formula>
    </cfRule>
  </conditionalFormatting>
  <conditionalFormatting sqref="C20 E20">
    <cfRule type="cellIs" dxfId="2" priority="15" operator="greaterThanOrEqual">
      <formula>$F$20</formula>
    </cfRule>
  </conditionalFormatting>
  <conditionalFormatting sqref="C22 E22">
    <cfRule type="cellIs" dxfId="1" priority="17" operator="greaterThanOrEqual">
      <formula>$F$22</formula>
    </cfRule>
  </conditionalFormatting>
  <conditionalFormatting sqref="C26">
    <cfRule type="iconSet" priority="3">
      <iconSet iconSet="3Symbols" showValue="0" reverse="1">
        <cfvo type="percent" val="0"/>
        <cfvo type="num" val="0" gte="0"/>
        <cfvo type="num" val="100"/>
      </iconSet>
    </cfRule>
  </conditionalFormatting>
  <conditionalFormatting sqref="E12">
    <cfRule type="iconSet" priority="8">
      <iconSet iconSet="3Symbols" reverse="1">
        <cfvo type="percent" val="0"/>
        <cfvo type="formula" val="$F$12"/>
        <cfvo type="formula" val="$L$12"/>
      </iconSet>
    </cfRule>
  </conditionalFormatting>
  <conditionalFormatting sqref="E14">
    <cfRule type="iconSet" priority="10">
      <iconSet iconSet="3Symbols" reverse="1">
        <cfvo type="percent" val="0"/>
        <cfvo type="formula" val="$F$14"/>
        <cfvo type="formula" val="$L$14"/>
      </iconSet>
    </cfRule>
  </conditionalFormatting>
  <conditionalFormatting sqref="E16">
    <cfRule type="iconSet" priority="12">
      <iconSet iconSet="3Symbols" reverse="1">
        <cfvo type="percent" val="0"/>
        <cfvo type="formula" val="$F$16"/>
        <cfvo type="formula" val="$L$16"/>
      </iconSet>
    </cfRule>
  </conditionalFormatting>
  <conditionalFormatting sqref="E18">
    <cfRule type="iconSet" priority="14">
      <iconSet iconSet="3Symbols" reverse="1">
        <cfvo type="percent" val="0"/>
        <cfvo type="formula" val="$F$18"/>
        <cfvo type="formula" val="$L$18"/>
      </iconSet>
    </cfRule>
  </conditionalFormatting>
  <conditionalFormatting sqref="E20">
    <cfRule type="iconSet" priority="16">
      <iconSet iconSet="3Symbols" reverse="1">
        <cfvo type="percent" val="0"/>
        <cfvo type="formula" val="$F$20"/>
        <cfvo type="formula" val="$L$20"/>
      </iconSet>
    </cfRule>
  </conditionalFormatting>
  <conditionalFormatting sqref="E22">
    <cfRule type="iconSet" priority="18">
      <iconSet iconSet="3Symbols" reverse="1">
        <cfvo type="percent" val="0"/>
        <cfvo type="formula" val="$F$22"/>
        <cfvo type="formula" val="$L$22"/>
      </iconSet>
    </cfRule>
  </conditionalFormatting>
  <conditionalFormatting sqref="L27">
    <cfRule type="cellIs" dxfId="0" priority="1" operator="greaterThanOrEqual">
      <formula>$F$12</formula>
    </cfRule>
  </conditionalFormatting>
  <conditionalFormatting sqref="L27">
    <cfRule type="iconSet" priority="2">
      <iconSet iconSet="3Symbols" reverse="1">
        <cfvo type="percent" val="0"/>
        <cfvo type="formula" val="$F$12"/>
        <cfvo type="formula" val="$L$12"/>
      </iconSet>
    </cfRule>
  </conditionalFormatting>
  <printOptions horizontalCentered="1" gridLinesSet="0"/>
  <pageMargins left="0.4" right="0.4" top="0.7" bottom="0.3" header="0.25" footer="0.25"/>
  <pageSetup scale="75" orientation="portrait" horizontalDpi="1200" verticalDpi="1200" r:id="rId1"/>
  <headerFooter alignWithMargins="0">
    <oddHeader xml:space="preserve">&amp;C&amp;"Arial,Bold"&amp;14
Auto Body Shop Registration&amp;"Arial,Regular"&amp;10
Summary Printout
</oddHeader>
    <oddFooter>&amp;L&amp;F&amp;RPrinted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G26"/>
  <sheetViews>
    <sheetView workbookViewId="0">
      <selection sqref="A1:F1"/>
    </sheetView>
  </sheetViews>
  <sheetFormatPr defaultRowHeight="13.2" x14ac:dyDescent="0.25"/>
  <cols>
    <col min="1" max="1" width="17.88671875" style="17" bestFit="1" customWidth="1"/>
    <col min="2" max="2" width="17.5546875" style="9" customWidth="1"/>
    <col min="3" max="3" width="30.109375" customWidth="1"/>
    <col min="4" max="5" width="20" style="9" customWidth="1"/>
    <col min="6" max="6" width="25" style="9" customWidth="1"/>
    <col min="7" max="7" width="26.6640625" bestFit="1" customWidth="1"/>
  </cols>
  <sheetData>
    <row r="1" spans="1:7" ht="17.399999999999999" x14ac:dyDescent="0.3">
      <c r="A1" s="429" t="s">
        <v>122</v>
      </c>
      <c r="B1" s="429"/>
      <c r="C1" s="429"/>
      <c r="D1" s="429"/>
      <c r="E1" s="429"/>
      <c r="F1" s="429"/>
    </row>
    <row r="2" spans="1:7" x14ac:dyDescent="0.25">
      <c r="A2" s="428" t="s">
        <v>532</v>
      </c>
      <c r="B2" s="428"/>
      <c r="C2" s="428"/>
      <c r="D2" s="428"/>
      <c r="E2" s="428"/>
      <c r="F2" s="428"/>
    </row>
    <row r="4" spans="1:7" x14ac:dyDescent="0.25">
      <c r="A4" s="16" t="s">
        <v>26</v>
      </c>
      <c r="B4" s="4" t="s">
        <v>22</v>
      </c>
      <c r="C4" s="4" t="s">
        <v>24</v>
      </c>
      <c r="D4" s="4" t="s">
        <v>23</v>
      </c>
      <c r="E4" s="13" t="s">
        <v>41</v>
      </c>
      <c r="F4" s="13" t="s">
        <v>43</v>
      </c>
      <c r="G4" s="4" t="s">
        <v>25</v>
      </c>
    </row>
    <row r="5" spans="1:7" ht="26.4" x14ac:dyDescent="0.25">
      <c r="A5" s="31">
        <v>1</v>
      </c>
      <c r="B5" s="32" t="s">
        <v>451</v>
      </c>
      <c r="C5" s="33" t="s">
        <v>40</v>
      </c>
      <c r="D5" s="94" t="s">
        <v>152</v>
      </c>
      <c r="E5" s="7" t="s">
        <v>42</v>
      </c>
      <c r="F5" s="7" t="s">
        <v>154</v>
      </c>
      <c r="G5" s="34" t="s">
        <v>153</v>
      </c>
    </row>
    <row r="6" spans="1:7" ht="66" x14ac:dyDescent="0.25">
      <c r="A6" s="35">
        <v>1.1000000000000001</v>
      </c>
      <c r="B6" s="36" t="s">
        <v>477</v>
      </c>
      <c r="C6" s="37" t="s">
        <v>435</v>
      </c>
      <c r="D6" s="47" t="s">
        <v>154</v>
      </c>
      <c r="E6" s="47" t="s">
        <v>42</v>
      </c>
      <c r="F6" s="47" t="s">
        <v>436</v>
      </c>
      <c r="G6" s="34" t="s">
        <v>153</v>
      </c>
    </row>
    <row r="7" spans="1:7" ht="120" customHeight="1" x14ac:dyDescent="0.25">
      <c r="A7" s="40">
        <v>1.2</v>
      </c>
      <c r="B7" s="36" t="s">
        <v>513</v>
      </c>
      <c r="C7" s="309" t="s">
        <v>508</v>
      </c>
      <c r="D7" s="310" t="s">
        <v>436</v>
      </c>
      <c r="E7" s="310" t="s">
        <v>42</v>
      </c>
      <c r="F7" s="310" t="s">
        <v>154</v>
      </c>
      <c r="G7" s="315" t="s">
        <v>153</v>
      </c>
    </row>
    <row r="8" spans="1:7" ht="39.6" x14ac:dyDescent="0.25">
      <c r="A8" s="40">
        <v>1.3</v>
      </c>
      <c r="B8" s="36" t="s">
        <v>518</v>
      </c>
      <c r="C8" s="41" t="s">
        <v>517</v>
      </c>
      <c r="D8" s="38" t="s">
        <v>436</v>
      </c>
      <c r="E8" s="38" t="s">
        <v>42</v>
      </c>
      <c r="F8" s="38" t="s">
        <v>154</v>
      </c>
      <c r="G8" s="315" t="s">
        <v>153</v>
      </c>
    </row>
    <row r="9" spans="1:7" ht="66" x14ac:dyDescent="0.25">
      <c r="A9" s="40">
        <v>1.4</v>
      </c>
      <c r="B9" s="328" t="s">
        <v>522</v>
      </c>
      <c r="C9" s="309" t="s">
        <v>526</v>
      </c>
      <c r="D9" s="310" t="s">
        <v>436</v>
      </c>
      <c r="E9" s="310" t="s">
        <v>42</v>
      </c>
      <c r="F9" s="310" t="s">
        <v>154</v>
      </c>
      <c r="G9" s="315" t="s">
        <v>153</v>
      </c>
    </row>
    <row r="10" spans="1:7" ht="39.6" x14ac:dyDescent="0.25">
      <c r="A10" s="40">
        <v>1.5</v>
      </c>
      <c r="B10" s="328" t="s">
        <v>528</v>
      </c>
      <c r="C10" s="41" t="s">
        <v>529</v>
      </c>
      <c r="D10" s="38" t="s">
        <v>436</v>
      </c>
      <c r="E10" s="38" t="s">
        <v>42</v>
      </c>
      <c r="F10" s="38" t="s">
        <v>154</v>
      </c>
      <c r="G10" s="315" t="s">
        <v>153</v>
      </c>
    </row>
    <row r="11" spans="1:7" ht="39.6" x14ac:dyDescent="0.25">
      <c r="A11" s="40">
        <v>1.6</v>
      </c>
      <c r="B11" s="328" t="s">
        <v>530</v>
      </c>
      <c r="C11" s="41" t="s">
        <v>531</v>
      </c>
      <c r="D11" s="38" t="s">
        <v>436</v>
      </c>
      <c r="E11" s="38" t="s">
        <v>42</v>
      </c>
      <c r="F11" s="38" t="s">
        <v>154</v>
      </c>
      <c r="G11" s="315" t="s">
        <v>153</v>
      </c>
    </row>
    <row r="12" spans="1:7" x14ac:dyDescent="0.25">
      <c r="A12" s="40"/>
      <c r="B12" s="38"/>
      <c r="C12" s="41"/>
      <c r="D12" s="38"/>
      <c r="E12" s="38"/>
      <c r="F12" s="38"/>
      <c r="G12" s="39"/>
    </row>
    <row r="13" spans="1:7" x14ac:dyDescent="0.25">
      <c r="A13" s="40"/>
      <c r="B13" s="38"/>
      <c r="C13" s="41"/>
      <c r="D13" s="38"/>
      <c r="E13" s="38"/>
      <c r="F13" s="38"/>
      <c r="G13" s="39"/>
    </row>
    <row r="14" spans="1:7" x14ac:dyDescent="0.25">
      <c r="A14" s="40"/>
      <c r="B14" s="38"/>
      <c r="C14" s="41"/>
      <c r="D14" s="38"/>
      <c r="E14" s="38"/>
      <c r="F14" s="38"/>
      <c r="G14" s="39"/>
    </row>
    <row r="15" spans="1:7" x14ac:dyDescent="0.25">
      <c r="A15" s="40"/>
      <c r="B15" s="38"/>
      <c r="C15" s="41"/>
      <c r="D15" s="38"/>
      <c r="E15" s="38"/>
      <c r="F15" s="38"/>
      <c r="G15" s="39"/>
    </row>
    <row r="16" spans="1:7" x14ac:dyDescent="0.25">
      <c r="A16" s="40"/>
      <c r="B16" s="38"/>
      <c r="C16" s="41"/>
      <c r="D16" s="38"/>
      <c r="E16" s="38"/>
      <c r="F16" s="38"/>
      <c r="G16" s="39"/>
    </row>
    <row r="17" spans="1:7" x14ac:dyDescent="0.25">
      <c r="A17" s="40"/>
      <c r="B17" s="38"/>
      <c r="C17" s="41"/>
      <c r="D17" s="38"/>
      <c r="E17" s="38"/>
      <c r="F17" s="38"/>
      <c r="G17" s="39"/>
    </row>
    <row r="18" spans="1:7" x14ac:dyDescent="0.25">
      <c r="A18" s="40"/>
      <c r="B18" s="38"/>
      <c r="C18" s="41"/>
      <c r="D18" s="38"/>
      <c r="E18" s="38"/>
      <c r="F18" s="38"/>
      <c r="G18" s="39"/>
    </row>
    <row r="19" spans="1:7" x14ac:dyDescent="0.25">
      <c r="A19" s="40"/>
      <c r="B19" s="38"/>
      <c r="C19" s="41"/>
      <c r="D19" s="38"/>
      <c r="E19" s="38"/>
      <c r="F19" s="38"/>
      <c r="G19" s="39"/>
    </row>
    <row r="20" spans="1:7" x14ac:dyDescent="0.25">
      <c r="A20" s="40"/>
      <c r="B20" s="38"/>
      <c r="C20" s="41"/>
      <c r="D20" s="38"/>
      <c r="E20" s="38"/>
      <c r="F20" s="38"/>
      <c r="G20" s="39"/>
    </row>
    <row r="21" spans="1:7" x14ac:dyDescent="0.25">
      <c r="A21" s="40"/>
      <c r="B21" s="38"/>
      <c r="C21" s="41"/>
      <c r="D21" s="38"/>
      <c r="E21" s="38"/>
      <c r="F21" s="38"/>
      <c r="G21" s="39"/>
    </row>
    <row r="22" spans="1:7" x14ac:dyDescent="0.25">
      <c r="A22" s="40"/>
      <c r="B22" s="38"/>
      <c r="C22" s="41"/>
      <c r="D22" s="38"/>
      <c r="E22" s="38"/>
      <c r="F22" s="38"/>
      <c r="G22" s="39"/>
    </row>
    <row r="23" spans="1:7" x14ac:dyDescent="0.25">
      <c r="A23" s="40"/>
      <c r="B23" s="38"/>
      <c r="C23" s="41"/>
      <c r="D23" s="38"/>
      <c r="E23" s="38"/>
      <c r="F23" s="38"/>
      <c r="G23" s="39"/>
    </row>
    <row r="24" spans="1:7" x14ac:dyDescent="0.25">
      <c r="A24" s="40"/>
      <c r="B24" s="38"/>
      <c r="C24" s="41"/>
      <c r="D24" s="38"/>
      <c r="E24" s="38"/>
      <c r="F24" s="38"/>
      <c r="G24" s="39"/>
    </row>
    <row r="25" spans="1:7" x14ac:dyDescent="0.25">
      <c r="A25" s="40"/>
      <c r="B25" s="38"/>
      <c r="C25" s="41"/>
      <c r="D25" s="38"/>
      <c r="E25" s="38"/>
      <c r="F25" s="38"/>
      <c r="G25" s="39"/>
    </row>
    <row r="26" spans="1:7" x14ac:dyDescent="0.25">
      <c r="A26" s="40"/>
      <c r="B26" s="38"/>
      <c r="C26" s="41"/>
      <c r="D26" s="38"/>
      <c r="E26" s="38"/>
      <c r="F26" s="38"/>
      <c r="G26" s="39"/>
    </row>
  </sheetData>
  <mergeCells count="2">
    <mergeCell ref="A2:F2"/>
    <mergeCell ref="A1:F1"/>
  </mergeCells>
  <hyperlinks>
    <hyperlink ref="G5" r:id="rId1"/>
    <hyperlink ref="G6" r:id="rId2"/>
    <hyperlink ref="G7" r:id="rId3"/>
    <hyperlink ref="G8" r:id="rId4"/>
    <hyperlink ref="G9" r:id="rId5"/>
    <hyperlink ref="G10" r:id="rId6"/>
    <hyperlink ref="G11"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4"/>
  <sheetViews>
    <sheetView workbookViewId="0"/>
  </sheetViews>
  <sheetFormatPr defaultRowHeight="13.2" x14ac:dyDescent="0.25"/>
  <cols>
    <col min="1" max="1" width="16.109375" customWidth="1"/>
    <col min="2" max="2" width="15.88671875" bestFit="1" customWidth="1"/>
    <col min="3" max="3" width="16.109375" bestFit="1" customWidth="1"/>
    <col min="4" max="4" width="16.6640625" customWidth="1"/>
  </cols>
  <sheetData>
    <row r="1" spans="1:8" ht="17.399999999999999" x14ac:dyDescent="0.3">
      <c r="A1" s="2" t="s">
        <v>134</v>
      </c>
    </row>
    <row r="3" spans="1:8" x14ac:dyDescent="0.25">
      <c r="A3" s="430" t="s">
        <v>3</v>
      </c>
      <c r="B3" s="432"/>
      <c r="C3" s="432"/>
      <c r="D3" s="432"/>
      <c r="E3" s="431"/>
    </row>
    <row r="4" spans="1:8" x14ac:dyDescent="0.25">
      <c r="A4" s="80" t="s">
        <v>128</v>
      </c>
      <c r="B4" s="80" t="s">
        <v>129</v>
      </c>
      <c r="C4" s="80" t="s">
        <v>130</v>
      </c>
      <c r="D4" s="79" t="s">
        <v>443</v>
      </c>
      <c r="E4" s="79" t="s">
        <v>38</v>
      </c>
    </row>
    <row r="5" spans="1:8" x14ac:dyDescent="0.25">
      <c r="A5" s="46" t="s">
        <v>131</v>
      </c>
      <c r="B5" s="54">
        <v>6.2</v>
      </c>
      <c r="C5" s="54">
        <v>7.3</v>
      </c>
      <c r="D5" s="54">
        <f>(C5+B5)/2</f>
        <v>6.75</v>
      </c>
      <c r="E5" s="46" t="s">
        <v>137</v>
      </c>
    </row>
    <row r="6" spans="1:8" x14ac:dyDescent="0.25">
      <c r="A6" s="46" t="s">
        <v>132</v>
      </c>
      <c r="B6" s="54">
        <v>4.5999999999999996</v>
      </c>
      <c r="C6" s="54">
        <v>7.1</v>
      </c>
      <c r="D6" s="54">
        <f t="shared" ref="D6:D7" si="0">(C6+B6)/2</f>
        <v>5.85</v>
      </c>
      <c r="E6" s="46" t="s">
        <v>137</v>
      </c>
    </row>
    <row r="7" spans="1:8" x14ac:dyDescent="0.25">
      <c r="A7" s="46" t="s">
        <v>133</v>
      </c>
      <c r="B7" s="54">
        <v>4.5999999999999996</v>
      </c>
      <c r="C7" s="54">
        <v>6.7</v>
      </c>
      <c r="D7" s="54">
        <f t="shared" si="0"/>
        <v>5.65</v>
      </c>
      <c r="E7" s="46" t="s">
        <v>137</v>
      </c>
    </row>
    <row r="9" spans="1:8" x14ac:dyDescent="0.25">
      <c r="A9" s="430" t="s">
        <v>136</v>
      </c>
      <c r="B9" s="432"/>
      <c r="C9" s="432"/>
      <c r="D9" s="431"/>
      <c r="E9" s="63"/>
      <c r="F9" s="63"/>
      <c r="G9" s="63"/>
      <c r="H9" s="63"/>
    </row>
    <row r="10" spans="1:8" x14ac:dyDescent="0.25">
      <c r="A10" s="57" t="s">
        <v>128</v>
      </c>
      <c r="B10" s="13" t="s">
        <v>129</v>
      </c>
      <c r="C10" s="13" t="s">
        <v>130</v>
      </c>
      <c r="D10" s="13" t="s">
        <v>443</v>
      </c>
    </row>
    <row r="11" spans="1:8" x14ac:dyDescent="0.25">
      <c r="A11" s="46" t="s">
        <v>132</v>
      </c>
      <c r="B11" s="54">
        <f>8.34-C6</f>
        <v>1.2400000000000002</v>
      </c>
      <c r="C11" s="54">
        <f>8.34-B6</f>
        <v>3.74</v>
      </c>
      <c r="D11" s="54">
        <f>(C11+B11)/2</f>
        <v>2.4900000000000002</v>
      </c>
    </row>
    <row r="12" spans="1:8" x14ac:dyDescent="0.25">
      <c r="A12" s="46" t="s">
        <v>133</v>
      </c>
      <c r="B12" s="54">
        <f>8.34-C7</f>
        <v>1.6399999999999997</v>
      </c>
      <c r="C12" s="54">
        <f>8.34-B7</f>
        <v>3.74</v>
      </c>
      <c r="D12" s="54">
        <f>(C12+B12)/2</f>
        <v>2.69</v>
      </c>
    </row>
    <row r="13" spans="1:8" x14ac:dyDescent="0.25">
      <c r="A13" s="87" t="s">
        <v>135</v>
      </c>
    </row>
    <row r="15" spans="1:8" x14ac:dyDescent="0.25">
      <c r="A15" s="430" t="s">
        <v>438</v>
      </c>
      <c r="B15" s="431"/>
    </row>
    <row r="16" spans="1:8" x14ac:dyDescent="0.25">
      <c r="A16" s="82" t="s">
        <v>128</v>
      </c>
      <c r="B16" s="81" t="s">
        <v>138</v>
      </c>
    </row>
    <row r="17" spans="1:2" x14ac:dyDescent="0.25">
      <c r="A17" s="83" t="s">
        <v>131</v>
      </c>
      <c r="B17" s="7">
        <f>IF(Cleaner_Density*Cleaner_VOC_Content&gt;'VOC and Solids Content Ranges'!C5,Cleaner_Density*Cleaner_VOC_Content,'VOC and Solids Content Ranges'!C5)</f>
        <v>7.3</v>
      </c>
    </row>
    <row r="18" spans="1:2" x14ac:dyDescent="0.25">
      <c r="A18" s="83" t="s">
        <v>132</v>
      </c>
      <c r="B18" s="7">
        <f>IF(Primer_Density*Primer_VOC_Content&gt;'VOC and Solids Content Ranges'!C6,Primer_Density*Primer_VOC_Content,'VOC and Solids Content Ranges'!C6)</f>
        <v>7.1</v>
      </c>
    </row>
    <row r="19" spans="1:2" x14ac:dyDescent="0.25">
      <c r="A19" s="83" t="s">
        <v>133</v>
      </c>
      <c r="B19" s="7">
        <f>IF(Coating_Density*Coating_VOC_Content&gt;'VOC and Solids Content Ranges'!C7,Coating_Density*Coating_VOC_Content,'VOC and Solids Content Ranges'!C7)</f>
        <v>6.7</v>
      </c>
    </row>
    <row r="21" spans="1:2" x14ac:dyDescent="0.25">
      <c r="A21" s="430" t="s">
        <v>439</v>
      </c>
      <c r="B21" s="431"/>
    </row>
    <row r="22" spans="1:2" x14ac:dyDescent="0.25">
      <c r="A22" s="82" t="s">
        <v>128</v>
      </c>
      <c r="B22" s="81" t="s">
        <v>138</v>
      </c>
    </row>
    <row r="23" spans="1:2" x14ac:dyDescent="0.25">
      <c r="A23" s="83" t="s">
        <v>132</v>
      </c>
      <c r="B23" s="7">
        <f>IF(Primer_Density*Primer_Solids_Content&gt;'VOC and Solids Content Ranges'!C11,Primer_Density*Primer_Solids_Content,'VOC and Solids Content Ranges'!C11)</f>
        <v>3.74</v>
      </c>
    </row>
    <row r="24" spans="1:2" x14ac:dyDescent="0.25">
      <c r="A24" s="83" t="s">
        <v>133</v>
      </c>
      <c r="B24" s="7">
        <f>IF(Coating_Density*Coating_Solids_Content&gt;'VOC and Solids Content Ranges'!C12,Coating_Density*Coating_Solids_Content,'VOC and Solids Content Ranges'!C12)</f>
        <v>3.74</v>
      </c>
    </row>
  </sheetData>
  <mergeCells count="4">
    <mergeCell ref="A15:B15"/>
    <mergeCell ref="A21:B21"/>
    <mergeCell ref="A9:D9"/>
    <mergeCell ref="A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J31"/>
  <sheetViews>
    <sheetView zoomScaleNormal="100" workbookViewId="0">
      <pane ySplit="3" topLeftCell="A4" activePane="bottomLeft" state="frozen"/>
      <selection pane="bottomLeft" activeCell="A4" sqref="A4"/>
    </sheetView>
  </sheetViews>
  <sheetFormatPr defaultRowHeight="13.2" x14ac:dyDescent="0.25"/>
  <cols>
    <col min="1" max="1" width="34.44140625" style="5" customWidth="1"/>
    <col min="2" max="2" width="17" customWidth="1"/>
    <col min="3" max="3" width="39.109375" customWidth="1"/>
    <col min="4" max="4" width="26" style="10" customWidth="1"/>
    <col min="5" max="5" width="27.5546875" style="10" customWidth="1"/>
    <col min="6" max="6" width="17" customWidth="1"/>
    <col min="7" max="7" width="19.6640625" customWidth="1"/>
    <col min="8" max="8" width="40.6640625" customWidth="1"/>
  </cols>
  <sheetData>
    <row r="1" spans="1:10" ht="17.399999999999999" x14ac:dyDescent="0.3">
      <c r="A1" s="2" t="s">
        <v>34</v>
      </c>
    </row>
    <row r="2" spans="1:10" ht="13.8" thickBot="1" x14ac:dyDescent="0.3"/>
    <row r="3" spans="1:10" x14ac:dyDescent="0.25">
      <c r="A3" s="18" t="s">
        <v>56</v>
      </c>
      <c r="B3" s="19" t="s">
        <v>0</v>
      </c>
      <c r="C3" s="19" t="s">
        <v>35</v>
      </c>
      <c r="D3" s="20" t="s">
        <v>506</v>
      </c>
      <c r="E3" s="20" t="s">
        <v>507</v>
      </c>
      <c r="F3" s="19" t="s">
        <v>37</v>
      </c>
      <c r="G3" s="19" t="s">
        <v>36</v>
      </c>
      <c r="H3" s="22" t="s">
        <v>38</v>
      </c>
    </row>
    <row r="4" spans="1:10" s="63" customFormat="1" x14ac:dyDescent="0.25">
      <c r="A4" s="15" t="s">
        <v>70</v>
      </c>
      <c r="B4" s="6" t="s">
        <v>3</v>
      </c>
      <c r="C4" s="6" t="str">
        <f t="shared" ref="C4:C31" si="0">A4&amp;B4</f>
        <v>Oil - DistillateVOC</v>
      </c>
      <c r="D4" s="11">
        <v>0.2</v>
      </c>
      <c r="E4" s="11">
        <f t="shared" ref="E4:E27" si="1">D4</f>
        <v>0.2</v>
      </c>
      <c r="F4" s="8" t="s">
        <v>39</v>
      </c>
      <c r="G4" s="8" t="s">
        <v>72</v>
      </c>
      <c r="H4" s="21" t="s">
        <v>73</v>
      </c>
      <c r="J4" s="64"/>
    </row>
    <row r="5" spans="1:10" s="63" customFormat="1" ht="15.6" x14ac:dyDescent="0.25">
      <c r="A5" s="15" t="s">
        <v>70</v>
      </c>
      <c r="B5" s="8" t="s">
        <v>74</v>
      </c>
      <c r="C5" s="6" t="str">
        <f t="shared" si="0"/>
        <v>Oil - DistillateNOx</v>
      </c>
      <c r="D5" s="11">
        <v>20</v>
      </c>
      <c r="E5" s="11">
        <f t="shared" si="1"/>
        <v>20</v>
      </c>
      <c r="F5" s="8" t="s">
        <v>39</v>
      </c>
      <c r="G5" s="8" t="s">
        <v>72</v>
      </c>
      <c r="H5" s="21" t="s">
        <v>73</v>
      </c>
      <c r="J5" s="64"/>
    </row>
    <row r="6" spans="1:10" x14ac:dyDescent="0.25">
      <c r="A6" s="15" t="s">
        <v>70</v>
      </c>
      <c r="B6" s="8" t="s">
        <v>63</v>
      </c>
      <c r="C6" s="6" t="str">
        <f t="shared" si="0"/>
        <v>Oil - DistillateCO</v>
      </c>
      <c r="D6" s="11">
        <v>5</v>
      </c>
      <c r="E6" s="11">
        <f t="shared" si="1"/>
        <v>5</v>
      </c>
      <c r="F6" s="8" t="s">
        <v>39</v>
      </c>
      <c r="G6" s="8" t="s">
        <v>72</v>
      </c>
      <c r="H6" s="21" t="s">
        <v>73</v>
      </c>
    </row>
    <row r="7" spans="1:10" ht="15.6" x14ac:dyDescent="0.25">
      <c r="A7" s="15" t="s">
        <v>70</v>
      </c>
      <c r="B7" s="8" t="s">
        <v>75</v>
      </c>
      <c r="C7" s="6" t="str">
        <f t="shared" si="0"/>
        <v>Oil - DistillateSO2</v>
      </c>
      <c r="D7" s="12">
        <f>142*Inputs!$E$67</f>
        <v>34.08</v>
      </c>
      <c r="E7" s="11">
        <f>IF(D7&gt;142*Distillate_Oil_Allowable_Sulfur_Content,D7,142*Distillate_Oil_Allowable_Sulfur_Content)</f>
        <v>71</v>
      </c>
      <c r="F7" s="8" t="s">
        <v>39</v>
      </c>
      <c r="G7" s="8" t="s">
        <v>72</v>
      </c>
      <c r="H7" s="21" t="s">
        <v>73</v>
      </c>
    </row>
    <row r="8" spans="1:10" x14ac:dyDescent="0.25">
      <c r="A8" s="15" t="s">
        <v>70</v>
      </c>
      <c r="B8" s="8" t="s">
        <v>71</v>
      </c>
      <c r="C8" s="6" t="str">
        <f t="shared" si="0"/>
        <v>Oil - DistillateTotal PM</v>
      </c>
      <c r="D8" s="11">
        <v>4.5999999999999996</v>
      </c>
      <c r="E8" s="11">
        <f t="shared" si="1"/>
        <v>4.5999999999999996</v>
      </c>
      <c r="F8" s="8" t="s">
        <v>39</v>
      </c>
      <c r="G8" s="8" t="s">
        <v>72</v>
      </c>
      <c r="H8" s="21" t="s">
        <v>73</v>
      </c>
    </row>
    <row r="9" spans="1:10" ht="15.6" x14ac:dyDescent="0.25">
      <c r="A9" s="15" t="s">
        <v>70</v>
      </c>
      <c r="B9" s="8" t="s">
        <v>76</v>
      </c>
      <c r="C9" s="6" t="str">
        <f t="shared" si="0"/>
        <v>Oil - DistillatePM10</v>
      </c>
      <c r="D9" s="11">
        <v>2.2999999999999998</v>
      </c>
      <c r="E9" s="11">
        <f t="shared" si="1"/>
        <v>2.2999999999999998</v>
      </c>
      <c r="F9" s="8" t="s">
        <v>39</v>
      </c>
      <c r="G9" s="8" t="s">
        <v>72</v>
      </c>
      <c r="H9" s="21" t="s">
        <v>73</v>
      </c>
    </row>
    <row r="10" spans="1:10" ht="15.6" x14ac:dyDescent="0.25">
      <c r="A10" s="15" t="s">
        <v>70</v>
      </c>
      <c r="B10" s="8" t="s">
        <v>77</v>
      </c>
      <c r="C10" s="6" t="str">
        <f t="shared" si="0"/>
        <v>Oil - DistillatePM2.5</v>
      </c>
      <c r="D10" s="11">
        <v>1.55</v>
      </c>
      <c r="E10" s="11">
        <f t="shared" si="1"/>
        <v>1.55</v>
      </c>
      <c r="F10" s="8" t="s">
        <v>39</v>
      </c>
      <c r="G10" s="8" t="s">
        <v>72</v>
      </c>
      <c r="H10" s="21" t="s">
        <v>73</v>
      </c>
    </row>
    <row r="11" spans="1:10" x14ac:dyDescent="0.25">
      <c r="A11" s="15" t="s">
        <v>68</v>
      </c>
      <c r="B11" s="6" t="s">
        <v>3</v>
      </c>
      <c r="C11" s="6" t="str">
        <f t="shared" si="0"/>
        <v>Natural GasVOC</v>
      </c>
      <c r="D11" s="11">
        <v>5.5</v>
      </c>
      <c r="E11" s="11">
        <f t="shared" si="1"/>
        <v>5.5</v>
      </c>
      <c r="F11" s="8" t="s">
        <v>39</v>
      </c>
      <c r="G11" s="8" t="s">
        <v>78</v>
      </c>
      <c r="H11" s="21" t="s">
        <v>73</v>
      </c>
    </row>
    <row r="12" spans="1:10" ht="15.6" x14ac:dyDescent="0.25">
      <c r="A12" s="15" t="s">
        <v>68</v>
      </c>
      <c r="B12" s="8" t="s">
        <v>74</v>
      </c>
      <c r="C12" s="6" t="str">
        <f t="shared" si="0"/>
        <v>Natural GasNOx</v>
      </c>
      <c r="D12" s="11">
        <v>100</v>
      </c>
      <c r="E12" s="11">
        <f t="shared" si="1"/>
        <v>100</v>
      </c>
      <c r="F12" s="8" t="s">
        <v>39</v>
      </c>
      <c r="G12" s="8" t="s">
        <v>78</v>
      </c>
      <c r="H12" s="21" t="s">
        <v>73</v>
      </c>
    </row>
    <row r="13" spans="1:10" x14ac:dyDescent="0.25">
      <c r="A13" s="15" t="s">
        <v>68</v>
      </c>
      <c r="B13" s="8" t="s">
        <v>63</v>
      </c>
      <c r="C13" s="6" t="str">
        <f t="shared" si="0"/>
        <v>Natural GasCO</v>
      </c>
      <c r="D13" s="11">
        <v>84</v>
      </c>
      <c r="E13" s="11">
        <f t="shared" si="1"/>
        <v>84</v>
      </c>
      <c r="F13" s="8" t="s">
        <v>39</v>
      </c>
      <c r="G13" s="8" t="s">
        <v>78</v>
      </c>
      <c r="H13" s="21" t="s">
        <v>73</v>
      </c>
    </row>
    <row r="14" spans="1:10" ht="15.6" x14ac:dyDescent="0.25">
      <c r="A14" s="15" t="s">
        <v>68</v>
      </c>
      <c r="B14" s="8" t="s">
        <v>75</v>
      </c>
      <c r="C14" s="6" t="str">
        <f t="shared" si="0"/>
        <v>Natural GasSO2</v>
      </c>
      <c r="D14" s="11">
        <v>0.6</v>
      </c>
      <c r="E14" s="11">
        <f>D14*Natural_Gas_Allowable_Sulfur_Content/Natural_Gas_Actual_Sulfur_Content</f>
        <v>143.99999999999997</v>
      </c>
      <c r="F14" s="8" t="s">
        <v>39</v>
      </c>
      <c r="G14" s="8" t="s">
        <v>78</v>
      </c>
      <c r="H14" s="21" t="s">
        <v>144</v>
      </c>
    </row>
    <row r="15" spans="1:10" x14ac:dyDescent="0.25">
      <c r="A15" s="15" t="s">
        <v>68</v>
      </c>
      <c r="B15" s="8" t="s">
        <v>71</v>
      </c>
      <c r="C15" s="6" t="str">
        <f t="shared" si="0"/>
        <v>Natural GasTotal PM</v>
      </c>
      <c r="D15" s="53">
        <v>0.52</v>
      </c>
      <c r="E15" s="11">
        <f t="shared" si="1"/>
        <v>0.52</v>
      </c>
      <c r="F15" s="8" t="s">
        <v>39</v>
      </c>
      <c r="G15" s="8" t="s">
        <v>78</v>
      </c>
      <c r="H15" s="21" t="s">
        <v>140</v>
      </c>
    </row>
    <row r="16" spans="1:10" ht="15.6" x14ac:dyDescent="0.25">
      <c r="A16" s="15" t="s">
        <v>68</v>
      </c>
      <c r="B16" s="8" t="s">
        <v>76</v>
      </c>
      <c r="C16" s="6" t="str">
        <f t="shared" si="0"/>
        <v>Natural GasPM10</v>
      </c>
      <c r="D16" s="11">
        <v>0.52</v>
      </c>
      <c r="E16" s="11">
        <f t="shared" si="1"/>
        <v>0.52</v>
      </c>
      <c r="F16" s="8" t="s">
        <v>39</v>
      </c>
      <c r="G16" s="8" t="s">
        <v>78</v>
      </c>
      <c r="H16" s="21" t="s">
        <v>140</v>
      </c>
    </row>
    <row r="17" spans="1:8" ht="15.6" x14ac:dyDescent="0.25">
      <c r="A17" s="15" t="s">
        <v>68</v>
      </c>
      <c r="B17" s="8" t="s">
        <v>77</v>
      </c>
      <c r="C17" s="6" t="str">
        <f t="shared" si="0"/>
        <v>Natural GasPM2.5</v>
      </c>
      <c r="D17" s="11">
        <v>0.43</v>
      </c>
      <c r="E17" s="11">
        <f t="shared" si="1"/>
        <v>0.43</v>
      </c>
      <c r="F17" s="8" t="s">
        <v>39</v>
      </c>
      <c r="G17" s="8" t="s">
        <v>78</v>
      </c>
      <c r="H17" s="21" t="s">
        <v>140</v>
      </c>
    </row>
    <row r="18" spans="1:8" x14ac:dyDescent="0.25">
      <c r="A18" s="15" t="s">
        <v>69</v>
      </c>
      <c r="B18" s="6" t="s">
        <v>3</v>
      </c>
      <c r="C18" s="6" t="str">
        <f t="shared" si="0"/>
        <v>LPGVOC</v>
      </c>
      <c r="D18" s="11">
        <v>0.52</v>
      </c>
      <c r="E18" s="11">
        <f t="shared" si="1"/>
        <v>0.52</v>
      </c>
      <c r="F18" s="8" t="s">
        <v>39</v>
      </c>
      <c r="G18" s="8" t="s">
        <v>72</v>
      </c>
      <c r="H18" s="21" t="s">
        <v>141</v>
      </c>
    </row>
    <row r="19" spans="1:8" ht="15.6" x14ac:dyDescent="0.25">
      <c r="A19" s="15" t="s">
        <v>69</v>
      </c>
      <c r="B19" s="8" t="s">
        <v>74</v>
      </c>
      <c r="C19" s="6" t="str">
        <f t="shared" si="0"/>
        <v>LPGNOx</v>
      </c>
      <c r="D19" s="11">
        <v>14.23</v>
      </c>
      <c r="E19" s="11">
        <f t="shared" si="1"/>
        <v>14.23</v>
      </c>
      <c r="F19" s="8" t="s">
        <v>39</v>
      </c>
      <c r="G19" s="8" t="s">
        <v>72</v>
      </c>
      <c r="H19" s="21" t="s">
        <v>141</v>
      </c>
    </row>
    <row r="20" spans="1:8" x14ac:dyDescent="0.25">
      <c r="A20" s="15" t="s">
        <v>69</v>
      </c>
      <c r="B20" s="8" t="s">
        <v>63</v>
      </c>
      <c r="C20" s="6" t="str">
        <f t="shared" si="0"/>
        <v>LPGCO</v>
      </c>
      <c r="D20" s="11">
        <v>7.97</v>
      </c>
      <c r="E20" s="11">
        <f t="shared" si="1"/>
        <v>7.97</v>
      </c>
      <c r="F20" s="8" t="s">
        <v>39</v>
      </c>
      <c r="G20" s="8" t="s">
        <v>72</v>
      </c>
      <c r="H20" s="21" t="s">
        <v>141</v>
      </c>
    </row>
    <row r="21" spans="1:8" ht="15.6" x14ac:dyDescent="0.25">
      <c r="A21" s="15" t="s">
        <v>69</v>
      </c>
      <c r="B21" s="8" t="s">
        <v>75</v>
      </c>
      <c r="C21" s="6" t="str">
        <f t="shared" si="0"/>
        <v>LPGSO2</v>
      </c>
      <c r="D21" s="11">
        <v>0.06</v>
      </c>
      <c r="E21" s="11">
        <f>D21*LPG_Allowable_Sulfur_Content/LPG_Actual_Sulfur_Content</f>
        <v>14.399999999999999</v>
      </c>
      <c r="F21" s="8" t="s">
        <v>39</v>
      </c>
      <c r="G21" s="8" t="s">
        <v>72</v>
      </c>
      <c r="H21" s="21" t="s">
        <v>143</v>
      </c>
    </row>
    <row r="22" spans="1:8" x14ac:dyDescent="0.25">
      <c r="A22" s="15" t="s">
        <v>69</v>
      </c>
      <c r="B22" s="8" t="s">
        <v>71</v>
      </c>
      <c r="C22" s="6" t="str">
        <f t="shared" si="0"/>
        <v>LPGTotal PM</v>
      </c>
      <c r="D22" s="53">
        <v>0.05</v>
      </c>
      <c r="E22" s="11">
        <f t="shared" si="1"/>
        <v>0.05</v>
      </c>
      <c r="F22" s="8" t="s">
        <v>39</v>
      </c>
      <c r="G22" s="8" t="s">
        <v>72</v>
      </c>
      <c r="H22" s="21" t="s">
        <v>142</v>
      </c>
    </row>
    <row r="23" spans="1:8" ht="15.6" x14ac:dyDescent="0.25">
      <c r="A23" s="15" t="s">
        <v>69</v>
      </c>
      <c r="B23" s="8" t="s">
        <v>76</v>
      </c>
      <c r="C23" s="6" t="str">
        <f t="shared" si="0"/>
        <v>LPGPM10</v>
      </c>
      <c r="D23" s="11">
        <v>0.05</v>
      </c>
      <c r="E23" s="11">
        <f t="shared" si="1"/>
        <v>0.05</v>
      </c>
      <c r="F23" s="8" t="s">
        <v>39</v>
      </c>
      <c r="G23" s="8" t="s">
        <v>72</v>
      </c>
      <c r="H23" s="21" t="s">
        <v>142</v>
      </c>
    </row>
    <row r="24" spans="1:8" ht="15.6" x14ac:dyDescent="0.25">
      <c r="A24" s="15" t="s">
        <v>69</v>
      </c>
      <c r="B24" s="8" t="s">
        <v>77</v>
      </c>
      <c r="C24" s="6" t="str">
        <f t="shared" si="0"/>
        <v>LPGPM2.5</v>
      </c>
      <c r="D24" s="11">
        <v>0.04</v>
      </c>
      <c r="E24" s="11">
        <f t="shared" si="1"/>
        <v>0.04</v>
      </c>
      <c r="F24" s="8" t="s">
        <v>39</v>
      </c>
      <c r="G24" s="8" t="s">
        <v>72</v>
      </c>
      <c r="H24" s="21" t="s">
        <v>142</v>
      </c>
    </row>
    <row r="25" spans="1:8" x14ac:dyDescent="0.25">
      <c r="A25" s="294" t="s">
        <v>147</v>
      </c>
      <c r="B25" s="6" t="s">
        <v>3</v>
      </c>
      <c r="C25" s="6" t="str">
        <f t="shared" si="0"/>
        <v>Oil - WasteVOC</v>
      </c>
      <c r="D25" s="86">
        <v>1</v>
      </c>
      <c r="E25" s="86">
        <f t="shared" si="1"/>
        <v>1</v>
      </c>
      <c r="F25" s="8" t="s">
        <v>39</v>
      </c>
      <c r="G25" s="8" t="s">
        <v>72</v>
      </c>
      <c r="H25" s="295" t="s">
        <v>149</v>
      </c>
    </row>
    <row r="26" spans="1:8" ht="15.6" x14ac:dyDescent="0.25">
      <c r="A26" s="294" t="s">
        <v>147</v>
      </c>
      <c r="B26" s="8" t="s">
        <v>74</v>
      </c>
      <c r="C26" s="6" t="str">
        <f t="shared" si="0"/>
        <v>Oil - WasteNOx</v>
      </c>
      <c r="D26" s="86">
        <v>16</v>
      </c>
      <c r="E26" s="86">
        <f t="shared" si="1"/>
        <v>16</v>
      </c>
      <c r="F26" s="8" t="s">
        <v>39</v>
      </c>
      <c r="G26" s="8" t="s">
        <v>72</v>
      </c>
      <c r="H26" s="295" t="s">
        <v>149</v>
      </c>
    </row>
    <row r="27" spans="1:8" x14ac:dyDescent="0.25">
      <c r="A27" s="294" t="s">
        <v>147</v>
      </c>
      <c r="B27" s="8" t="s">
        <v>63</v>
      </c>
      <c r="C27" s="6" t="str">
        <f t="shared" si="0"/>
        <v>Oil - WasteCO</v>
      </c>
      <c r="D27" s="86">
        <v>2.1</v>
      </c>
      <c r="E27" s="86">
        <f t="shared" si="1"/>
        <v>2.1</v>
      </c>
      <c r="F27" s="8" t="s">
        <v>39</v>
      </c>
      <c r="G27" s="8" t="s">
        <v>72</v>
      </c>
      <c r="H27" s="295" t="s">
        <v>149</v>
      </c>
    </row>
    <row r="28" spans="1:8" ht="15.6" x14ac:dyDescent="0.25">
      <c r="A28" s="294" t="s">
        <v>147</v>
      </c>
      <c r="B28" s="8" t="s">
        <v>75</v>
      </c>
      <c r="C28" s="6" t="str">
        <f t="shared" si="0"/>
        <v>Oil - WasteSO2</v>
      </c>
      <c r="D28" s="86">
        <f>107*Inputs!$E$67</f>
        <v>25.68</v>
      </c>
      <c r="E28" s="86">
        <f>107*'Additional References'!C22</f>
        <v>214</v>
      </c>
      <c r="F28" s="8" t="s">
        <v>39</v>
      </c>
      <c r="G28" s="8" t="s">
        <v>72</v>
      </c>
      <c r="H28" s="55" t="s">
        <v>149</v>
      </c>
    </row>
    <row r="29" spans="1:8" x14ac:dyDescent="0.25">
      <c r="A29" s="294" t="s">
        <v>147</v>
      </c>
      <c r="B29" s="8" t="s">
        <v>71</v>
      </c>
      <c r="C29" s="6" t="str">
        <f t="shared" si="0"/>
        <v>Oil - WasteTotal PM</v>
      </c>
      <c r="D29" s="86">
        <f>66*'Additional References'!B26</f>
        <v>42.9</v>
      </c>
      <c r="E29" s="86">
        <f>66*'Additional References'!C26</f>
        <v>79.2</v>
      </c>
      <c r="F29" s="8" t="s">
        <v>39</v>
      </c>
      <c r="G29" s="8" t="s">
        <v>72</v>
      </c>
      <c r="H29" s="295" t="s">
        <v>149</v>
      </c>
    </row>
    <row r="30" spans="1:8" ht="15.6" x14ac:dyDescent="0.25">
      <c r="A30" s="294" t="s">
        <v>147</v>
      </c>
      <c r="B30" s="8" t="s">
        <v>76</v>
      </c>
      <c r="C30" s="6" t="str">
        <f t="shared" si="0"/>
        <v>Oil - WastePM10</v>
      </c>
      <c r="D30" s="86">
        <f>57*'Additional References'!B26</f>
        <v>37.050000000000004</v>
      </c>
      <c r="E30" s="86">
        <f>57*'Additional References'!C26</f>
        <v>68.399999999999991</v>
      </c>
      <c r="F30" s="8" t="s">
        <v>39</v>
      </c>
      <c r="G30" s="8" t="s">
        <v>72</v>
      </c>
      <c r="H30" s="295" t="s">
        <v>149</v>
      </c>
    </row>
    <row r="31" spans="1:8" ht="16.2" thickBot="1" x14ac:dyDescent="0.3">
      <c r="A31" s="296" t="s">
        <v>147</v>
      </c>
      <c r="B31" s="297" t="s">
        <v>77</v>
      </c>
      <c r="C31" s="298" t="str">
        <f t="shared" si="0"/>
        <v>Oil - WastePM2.5</v>
      </c>
      <c r="D31" s="299">
        <f>57*'Additional References'!B26</f>
        <v>37.050000000000004</v>
      </c>
      <c r="E31" s="299">
        <f>57*'Additional References'!C26</f>
        <v>68.399999999999991</v>
      </c>
      <c r="F31" s="297" t="s">
        <v>39</v>
      </c>
      <c r="G31" s="297" t="s">
        <v>72</v>
      </c>
      <c r="H31" s="300" t="s">
        <v>149</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51</vt:i4>
      </vt:variant>
    </vt:vector>
  </HeadingPairs>
  <TitlesOfParts>
    <vt:vector size="63" baseType="lpstr">
      <vt:lpstr>Registration FAQs</vt:lpstr>
      <vt:lpstr>Instructions</vt:lpstr>
      <vt:lpstr>Inputs</vt:lpstr>
      <vt:lpstr>Controls and Restrictions</vt:lpstr>
      <vt:lpstr>Total Emissions</vt:lpstr>
      <vt:lpstr>Output-Summary Printout</vt:lpstr>
      <vt:lpstr>Change Log</vt:lpstr>
      <vt:lpstr>VOC and Solids Content Ranges</vt:lpstr>
      <vt:lpstr>Emission Factors</vt:lpstr>
      <vt:lpstr>Fuel Energy Content</vt:lpstr>
      <vt:lpstr>Additional References</vt:lpstr>
      <vt:lpstr>EPA Regional Contact Info</vt:lpstr>
      <vt:lpstr>Allowable_Coatings_PM_Content</vt:lpstr>
      <vt:lpstr>Allowable_Coatings_VOC_Content</vt:lpstr>
      <vt:lpstr>Allowable_Primer_PM_Content</vt:lpstr>
      <vt:lpstr>Allowable_Primer_VOC_Content</vt:lpstr>
      <vt:lpstr>Allowable_Solvent_VOC_Content</vt:lpstr>
      <vt:lpstr>Carbon_Adsorption_Default_CE</vt:lpstr>
      <vt:lpstr>Catalytic_Oxidation_Default_CE</vt:lpstr>
      <vt:lpstr>Cleaner_Density</vt:lpstr>
      <vt:lpstr>Cleaner_Gallons</vt:lpstr>
      <vt:lpstr>Cleaner_VOC_Content</vt:lpstr>
      <vt:lpstr>CO_PM10_Attainment_List</vt:lpstr>
      <vt:lpstr>Coating_Density</vt:lpstr>
      <vt:lpstr>Coating_Gallons</vt:lpstr>
      <vt:lpstr>Coating_Solids_Content</vt:lpstr>
      <vt:lpstr>Coating_VOC_Content</vt:lpstr>
      <vt:lpstr>Default_Capture_Efficiency</vt:lpstr>
      <vt:lpstr>Distillate_Oil_Actual_Sulfur_Content</vt:lpstr>
      <vt:lpstr>Distillate_Oil_Allowable_Sulfur_Content</vt:lpstr>
      <vt:lpstr>Heater_Capacity</vt:lpstr>
      <vt:lpstr>Heater_Fuel</vt:lpstr>
      <vt:lpstr>Heater_Fuel_Combusted_2012</vt:lpstr>
      <vt:lpstr>Heater_Fuel_Type_List</vt:lpstr>
      <vt:lpstr>LPG_Actual_Sulfur_Content</vt:lpstr>
      <vt:lpstr>LPG_Allowable_Sulfur_Content</vt:lpstr>
      <vt:lpstr>Max_Gallons_Cleaning_Solvent_per_Hour</vt:lpstr>
      <vt:lpstr>Max_Gallons_Coating_per_Hour</vt:lpstr>
      <vt:lpstr>Max_Gallons_Primer_per_Hour</vt:lpstr>
      <vt:lpstr>Natural_Gas_Actual_Sulfur_Content</vt:lpstr>
      <vt:lpstr>Natural_Gas_Allowable_Sulfur_Content</vt:lpstr>
      <vt:lpstr>Ozone_Attainment_List</vt:lpstr>
      <vt:lpstr>PM_Control_Multiplier</vt:lpstr>
      <vt:lpstr>Primer_Density</vt:lpstr>
      <vt:lpstr>Primer_Gallons</vt:lpstr>
      <vt:lpstr>Primer_Solids_Content</vt:lpstr>
      <vt:lpstr>Primer_VOC_Content</vt:lpstr>
      <vt:lpstr>Inputs!Print_Area</vt:lpstr>
      <vt:lpstr>Instructions!Print_Area</vt:lpstr>
      <vt:lpstr>'Output-Summary Printout'!Print_Area</vt:lpstr>
      <vt:lpstr>'Registration FAQs'!Print_Area</vt:lpstr>
      <vt:lpstr>SO2_PM25_Attainment_List</vt:lpstr>
      <vt:lpstr>Solvent_Density</vt:lpstr>
      <vt:lpstr>Solvent_VOC_Content</vt:lpstr>
      <vt:lpstr>Spray_Type_List</vt:lpstr>
      <vt:lpstr>State_List</vt:lpstr>
      <vt:lpstr>Sulfur_Content</vt:lpstr>
      <vt:lpstr>Thermal_Oxidation_Default_CE</vt:lpstr>
      <vt:lpstr>VOC_Control_Device_List</vt:lpstr>
      <vt:lpstr>VOC_Control_Multiplier</vt:lpstr>
      <vt:lpstr>Waste_Oil_Actual_Sulfur_Content</vt:lpstr>
      <vt:lpstr>Yes_No_Heater_List</vt:lpstr>
      <vt:lpstr>Yes_No_PM_Control_List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OF HAP/VOC USE PER MONTH</dc:title>
  <dc:creator>PPI</dc:creator>
  <dc:description>BY USE</dc:description>
  <cp:lastModifiedBy>Dixon, Danielle</cp:lastModifiedBy>
  <cp:lastPrinted>2013-02-15T05:27:27Z</cp:lastPrinted>
  <dcterms:created xsi:type="dcterms:W3CDTF">1999-01-25T20:14:01Z</dcterms:created>
  <dcterms:modified xsi:type="dcterms:W3CDTF">2016-02-03T17:54:20Z</dcterms:modified>
</cp:coreProperties>
</file>