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17280" windowHeight="9195"/>
  </bookViews>
  <sheets>
    <sheet name="LCOE Calculator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1"/>
  <c r="J10"/>
  <c r="F10"/>
  <c r="K10"/>
  <c r="I11"/>
  <c r="J11"/>
  <c r="F11"/>
  <c r="K11"/>
  <c r="I12"/>
  <c r="J12"/>
  <c r="F12"/>
  <c r="K12"/>
  <c r="I13"/>
  <c r="J13"/>
  <c r="F13"/>
  <c r="K13"/>
  <c r="I14"/>
  <c r="J14"/>
  <c r="F14"/>
  <c r="K14"/>
  <c r="I15"/>
  <c r="J15"/>
  <c r="F15"/>
  <c r="K15"/>
  <c r="I16"/>
  <c r="J16"/>
  <c r="F16"/>
  <c r="K16"/>
  <c r="I17"/>
  <c r="J17"/>
  <c r="F17"/>
  <c r="K17"/>
  <c r="I18"/>
  <c r="J18"/>
  <c r="F18"/>
  <c r="K18"/>
  <c r="I19"/>
  <c r="J19"/>
  <c r="F19"/>
  <c r="K19"/>
  <c r="I20"/>
  <c r="J20"/>
  <c r="F20"/>
  <c r="K20"/>
  <c r="I21"/>
  <c r="J21"/>
  <c r="F21"/>
  <c r="K21"/>
  <c r="I22"/>
  <c r="J22"/>
  <c r="F22"/>
  <c r="K22"/>
  <c r="I23"/>
  <c r="J23"/>
  <c r="F23"/>
  <c r="K23"/>
  <c r="I24"/>
  <c r="J24"/>
  <c r="F24"/>
  <c r="K24"/>
  <c r="I25"/>
  <c r="J25"/>
  <c r="F25"/>
  <c r="K25"/>
  <c r="I26"/>
  <c r="J26"/>
  <c r="F26"/>
  <c r="K26"/>
  <c r="I27"/>
  <c r="J27"/>
  <c r="F27"/>
  <c r="K27"/>
  <c r="I28"/>
  <c r="J28"/>
  <c r="F28"/>
  <c r="K28"/>
  <c r="I29"/>
  <c r="J29"/>
  <c r="F29"/>
  <c r="K29"/>
  <c r="B30"/>
  <c r="G35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F30"/>
  <c r="F31"/>
  <c r="F32"/>
  <c r="F33"/>
  <c r="F34"/>
  <c r="F35"/>
  <c r="B27"/>
  <c r="I34"/>
  <c r="I33"/>
  <c r="I32"/>
  <c r="I31"/>
  <c r="I30"/>
  <c r="J30"/>
  <c r="K30"/>
  <c r="J31"/>
  <c r="K31"/>
  <c r="J32"/>
  <c r="K32"/>
  <c r="J33"/>
  <c r="K33"/>
  <c r="J34"/>
  <c r="K34"/>
  <c r="K35"/>
  <c r="B31"/>
  <c r="B26"/>
</calcChain>
</file>

<file path=xl/sharedStrings.xml><?xml version="1.0" encoding="utf-8"?>
<sst xmlns="http://schemas.openxmlformats.org/spreadsheetml/2006/main" count="47" uniqueCount="43">
  <si>
    <t>System Size (kW-DC)</t>
  </si>
  <si>
    <t>Production (kWh)</t>
  </si>
  <si>
    <t>Cost ($/W)</t>
  </si>
  <si>
    <t>O&amp;M Cost ($/kW)</t>
  </si>
  <si>
    <t>O&amp;M Escalator (%)</t>
  </si>
  <si>
    <t>Annual Degradation</t>
  </si>
  <si>
    <t>PPA Rate ($/kWh)</t>
  </si>
  <si>
    <t>PPA Escalator</t>
  </si>
  <si>
    <t>20 Year</t>
  </si>
  <si>
    <t>Direct Purchase</t>
  </si>
  <si>
    <t xml:space="preserve">PPA </t>
  </si>
  <si>
    <t>25 Year</t>
  </si>
  <si>
    <t>Year</t>
  </si>
  <si>
    <t>Direct Purchase Cost ($)</t>
  </si>
  <si>
    <t>O&amp;M Cost ($)</t>
  </si>
  <si>
    <t>PPA Escalator (%)</t>
  </si>
  <si>
    <t>PPA Cost ($)</t>
  </si>
  <si>
    <t>-</t>
  </si>
  <si>
    <t>Total</t>
  </si>
  <si>
    <t>Direct Purchase Inputs</t>
  </si>
  <si>
    <t>System Inputs</t>
  </si>
  <si>
    <t>PPA Inputs</t>
  </si>
  <si>
    <t>LCOE Outputs*</t>
  </si>
  <si>
    <t>*Undiscounted Analysis</t>
  </si>
  <si>
    <t>DRAFT</t>
  </si>
  <si>
    <t>October 24, 2013</t>
  </si>
  <si>
    <t>Levelized Cost of Energy (LCOE) Model</t>
  </si>
  <si>
    <t>LCOE Calculator</t>
  </si>
  <si>
    <t xml:space="preserve">Solar PV Project Cost Calculator </t>
  </si>
  <si>
    <t>(Please insert the aggregate system size for a site)</t>
  </si>
  <si>
    <t xml:space="preserve">(Please insert the aggregate forecasted system production at a site </t>
  </si>
  <si>
    <t>Input Description</t>
  </si>
  <si>
    <t>(Please insert the expected yearly escalation)</t>
  </si>
  <si>
    <t>(Please insert the expected yearly escalation. If not uniform, manually insert yearly escalation in Column I)</t>
  </si>
  <si>
    <t>1st-Year Production (kWh)</t>
  </si>
  <si>
    <t>(Please insert the expected system yearly performance degradation)</t>
  </si>
  <si>
    <t>* Compare to expected utility costs over the next 20 years</t>
  </si>
  <si>
    <t>(Please insert total system cost per Watt. If not available, use the formula:
Cost ($/W) = (Total-system-cost/Total-system-size-in-watts)</t>
  </si>
  <si>
    <t>(Please insert the per kW O&amp;M cost. If not available, use the formula:
O&amp;M Cost ($/kW) = (1st-year-O&amp;M-Cost/Total-system-size-in-kW)</t>
  </si>
  <si>
    <t>(Please insert the per kWh PPA Rate. If not available, use the formula:
PPA Rate ($/kWh) = (1st-year-PPA-Cost/1st-year-system-prduction)</t>
  </si>
  <si>
    <t>Inputs highlighted in Yellow</t>
  </si>
  <si>
    <t>Initial Rebate/Incentive</t>
  </si>
  <si>
    <t>(Please insert the total value of rebates/incentives received within the first year)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</si>
</sst>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0_);_(&quot;$&quot;* \(#,##0.0000\);_(&quot;$&quot;* &quot;-&quot;??_);_(@_)"/>
    <numFmt numFmtId="166" formatCode="_(&quot;$&quot;* #,##0.00000_);_(&quot;$&quot;* \(#,##0.00000\);_(&quot;$&quot;* &quot;-&quot;??_);_(@_)"/>
    <numFmt numFmtId="167" formatCode="_(* #,##0_);_(* \(#,##0\);_(* &quot;-&quot;??_);_(@_)"/>
    <numFmt numFmtId="168" formatCode="_(&quot;$&quot;* #,##0.000_);_(&quot;$&quot;* \(#,##0.000\);_(&quot;$&quot;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</font>
    <font>
      <i/>
      <sz val="12"/>
      <color theme="1"/>
      <name val="Calibri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NumberFormat="1"/>
    <xf numFmtId="0" fontId="2" fillId="0" borderId="0" xfId="2" applyFill="1"/>
    <xf numFmtId="0" fontId="3" fillId="0" borderId="1" xfId="0" applyFont="1" applyBorder="1"/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166" fontId="0" fillId="0" borderId="4" xfId="4" applyNumberFormat="1" applyFont="1" applyBorder="1" applyAlignment="1">
      <alignment vertical="center"/>
    </xf>
    <xf numFmtId="166" fontId="0" fillId="0" borderId="6" xfId="4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6" fontId="0" fillId="0" borderId="0" xfId="4" applyNumberFormat="1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67" fontId="3" fillId="0" borderId="9" xfId="3" applyNumberFormat="1" applyFont="1" applyBorder="1"/>
    <xf numFmtId="0" fontId="3" fillId="0" borderId="9" xfId="0" applyFont="1" applyBorder="1"/>
    <xf numFmtId="164" fontId="3" fillId="0" borderId="9" xfId="4" applyNumberFormat="1" applyFont="1" applyBorder="1"/>
    <xf numFmtId="164" fontId="3" fillId="0" borderId="2" xfId="4" applyNumberFormat="1" applyFont="1" applyBorder="1"/>
    <xf numFmtId="0" fontId="3" fillId="3" borderId="1" xfId="0" applyFont="1" applyFill="1" applyBorder="1" applyAlignment="1">
      <alignment vertical="center"/>
    </xf>
    <xf numFmtId="166" fontId="0" fillId="3" borderId="2" xfId="4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/>
    </xf>
    <xf numFmtId="0" fontId="0" fillId="4" borderId="2" xfId="0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9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/>
    </xf>
    <xf numFmtId="166" fontId="0" fillId="5" borderId="2" xfId="4" applyNumberFormat="1" applyFont="1" applyFill="1" applyBorder="1" applyAlignment="1">
      <alignment vertical="center"/>
    </xf>
    <xf numFmtId="0" fontId="0" fillId="0" borderId="0" xfId="0" quotePrefix="1"/>
    <xf numFmtId="167" fontId="0" fillId="6" borderId="10" xfId="3" applyNumberFormat="1" applyFont="1" applyFill="1" applyBorder="1"/>
    <xf numFmtId="164" fontId="0" fillId="6" borderId="10" xfId="4" applyNumberFormat="1" applyFont="1" applyFill="1" applyBorder="1"/>
    <xf numFmtId="165" fontId="0" fillId="6" borderId="10" xfId="4" applyNumberFormat="1" applyFont="1" applyFill="1" applyBorder="1" applyAlignment="1">
      <alignment horizontal="right"/>
    </xf>
    <xf numFmtId="164" fontId="0" fillId="6" borderId="4" xfId="4" applyNumberFormat="1" applyFont="1" applyFill="1" applyBorder="1"/>
    <xf numFmtId="0" fontId="0" fillId="6" borderId="7" xfId="0" applyFill="1" applyBorder="1"/>
    <xf numFmtId="167" fontId="0" fillId="6" borderId="11" xfId="3" applyNumberFormat="1" applyFont="1" applyFill="1" applyBorder="1"/>
    <xf numFmtId="164" fontId="0" fillId="6" borderId="11" xfId="4" applyNumberFormat="1" applyFont="1" applyFill="1" applyBorder="1"/>
    <xf numFmtId="9" fontId="0" fillId="6" borderId="11" xfId="0" applyNumberFormat="1" applyFill="1" applyBorder="1"/>
    <xf numFmtId="165" fontId="0" fillId="6" borderId="11" xfId="4" applyNumberFormat="1" applyFont="1" applyFill="1" applyBorder="1"/>
    <xf numFmtId="164" fontId="0" fillId="6" borderId="8" xfId="4" applyNumberFormat="1" applyFont="1" applyFill="1" applyBorder="1"/>
    <xf numFmtId="0" fontId="0" fillId="6" borderId="5" xfId="0" applyFill="1" applyBorder="1"/>
    <xf numFmtId="167" fontId="0" fillId="6" borderId="12" xfId="3" applyNumberFormat="1" applyFont="1" applyFill="1" applyBorder="1"/>
    <xf numFmtId="164" fontId="0" fillId="6" borderId="12" xfId="4" applyNumberFormat="1" applyFont="1" applyFill="1" applyBorder="1"/>
    <xf numFmtId="9" fontId="0" fillId="6" borderId="12" xfId="0" applyNumberFormat="1" applyFill="1" applyBorder="1"/>
    <xf numFmtId="165" fontId="0" fillId="6" borderId="12" xfId="4" applyNumberFormat="1" applyFont="1" applyFill="1" applyBorder="1"/>
    <xf numFmtId="164" fontId="0" fillId="6" borderId="6" xfId="4" applyNumberFormat="1" applyFont="1" applyFill="1" applyBorder="1"/>
    <xf numFmtId="0" fontId="8" fillId="0" borderId="0" xfId="0" applyFont="1"/>
    <xf numFmtId="0" fontId="5" fillId="0" borderId="0" xfId="0" applyFont="1"/>
    <xf numFmtId="0" fontId="3" fillId="7" borderId="1" xfId="0" applyFont="1" applyFill="1" applyBorder="1" applyAlignment="1">
      <alignment vertical="center"/>
    </xf>
    <xf numFmtId="0" fontId="0" fillId="7" borderId="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167" fontId="0" fillId="2" borderId="8" xfId="3" applyNumberFormat="1" applyFont="1" applyFill="1" applyBorder="1" applyAlignment="1">
      <alignment vertical="center"/>
    </xf>
    <xf numFmtId="10" fontId="0" fillId="2" borderId="6" xfId="1" applyNumberFormat="1" applyFont="1" applyFill="1" applyBorder="1" applyAlignment="1">
      <alignment vertical="center"/>
    </xf>
    <xf numFmtId="9" fontId="0" fillId="2" borderId="6" xfId="0" applyNumberFormat="1" applyFill="1" applyBorder="1" applyAlignment="1">
      <alignment vertical="center"/>
    </xf>
    <xf numFmtId="166" fontId="0" fillId="2" borderId="4" xfId="4" applyNumberFormat="1" applyFont="1" applyFill="1" applyBorder="1" applyAlignment="1">
      <alignment vertical="center"/>
    </xf>
    <xf numFmtId="0" fontId="3" fillId="7" borderId="9" xfId="0" applyFont="1" applyFill="1" applyBorder="1" applyAlignment="1">
      <alignment horizontal="center" vertical="center" wrapText="1"/>
    </xf>
    <xf numFmtId="168" fontId="0" fillId="2" borderId="4" xfId="4" applyNumberFormat="1" applyFont="1" applyFill="1" applyBorder="1" applyAlignment="1">
      <alignment vertical="center"/>
    </xf>
    <xf numFmtId="44" fontId="0" fillId="2" borderId="8" xfId="4" applyFont="1" applyFill="1" applyBorder="1" applyAlignment="1">
      <alignment vertical="center"/>
    </xf>
    <xf numFmtId="0" fontId="9" fillId="0" borderId="0" xfId="2" applyFont="1" applyFill="1" applyAlignment="1"/>
    <xf numFmtId="0" fontId="10" fillId="0" borderId="0" xfId="2" applyFont="1" applyFill="1" applyAlignment="1"/>
    <xf numFmtId="0" fontId="12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3" fillId="7" borderId="13" xfId="0" applyFont="1" applyFill="1" applyBorder="1" applyAlignment="1">
      <alignment horizontal="center" vertical="center"/>
    </xf>
    <xf numFmtId="0" fontId="12" fillId="0" borderId="14" xfId="0" applyFont="1" applyBorder="1" applyAlignment="1">
      <alignment wrapText="1"/>
    </xf>
    <xf numFmtId="0" fontId="12" fillId="0" borderId="15" xfId="0" applyFont="1" applyBorder="1" applyAlignment="1">
      <alignment wrapText="1"/>
    </xf>
    <xf numFmtId="0" fontId="12" fillId="0" borderId="16" xfId="0" applyFont="1" applyBorder="1" applyAlignment="1">
      <alignment wrapText="1"/>
    </xf>
    <xf numFmtId="0" fontId="13" fillId="2" borderId="0" xfId="0" applyFont="1" applyFill="1" applyAlignment="1">
      <alignment wrapText="1"/>
    </xf>
    <xf numFmtId="0" fontId="0" fillId="6" borderId="17" xfId="0" applyFill="1" applyBorder="1"/>
    <xf numFmtId="164" fontId="0" fillId="6" borderId="18" xfId="4" applyNumberFormat="1" applyFont="1" applyFill="1" applyBorder="1"/>
    <xf numFmtId="9" fontId="0" fillId="6" borderId="18" xfId="0" applyNumberFormat="1" applyFill="1" applyBorder="1" applyAlignment="1">
      <alignment horizontal="center"/>
    </xf>
    <xf numFmtId="0" fontId="0" fillId="0" borderId="17" xfId="0" applyBorder="1" applyAlignment="1">
      <alignment vertical="center"/>
    </xf>
    <xf numFmtId="0" fontId="12" fillId="0" borderId="20" xfId="0" applyFont="1" applyBorder="1" applyAlignment="1">
      <alignment wrapText="1"/>
    </xf>
    <xf numFmtId="164" fontId="0" fillId="2" borderId="19" xfId="4" applyNumberFormat="1" applyFont="1" applyFill="1" applyBorder="1" applyAlignment="1">
      <alignment vertical="center"/>
    </xf>
  </cellXfs>
  <cellStyles count="9">
    <cellStyle name="Comma" xfId="3" builtinId="3"/>
    <cellStyle name="Currency" xfId="4" builtinId="4"/>
    <cellStyle name="Followed Hyperlink" xfId="6" builtinId="9" hidden="1"/>
    <cellStyle name="Followed Hyperlink" xfId="8" builtinId="9" hidden="1"/>
    <cellStyle name="Hyperlink" xfId="5" builtinId="8" hidden="1"/>
    <cellStyle name="Hyperlink" xfId="7" builtinId="8" hidden="1"/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103188</xdr:colOff>
      <xdr:row>0</xdr:row>
      <xdr:rowOff>22225</xdr:rowOff>
    </xdr:from>
    <xdr:to>
      <xdr:col>0</xdr:col>
      <xdr:colOff>1470025</xdr:colOff>
      <xdr:row>2</xdr:row>
      <xdr:rowOff>99231</xdr:rowOff>
    </xdr:to>
    <xdr:pic>
      <xdr:nvPicPr>
        <xdr:cNvPr id="4" name="Picture 3" descr="OptonyLogoForLife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188" y="22225"/>
          <a:ext cx="1573212" cy="4326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5"/>
  <sheetViews>
    <sheetView tabSelected="1" workbookViewId="0">
      <selection activeCell="C16" sqref="C16"/>
    </sheetView>
  </sheetViews>
  <sheetFormatPr defaultColWidth="8.85546875" defaultRowHeight="15"/>
  <cols>
    <col min="1" max="1" width="27" customWidth="1"/>
    <col min="2" max="2" width="11.7109375" bestFit="1" customWidth="1"/>
    <col min="3" max="3" width="51.42578125" style="60" customWidth="1"/>
    <col min="4" max="4" width="6.42578125" customWidth="1"/>
    <col min="6" max="6" width="12.7109375" customWidth="1"/>
    <col min="7" max="7" width="16.42578125" customWidth="1"/>
    <col min="8" max="8" width="9.7109375" customWidth="1"/>
    <col min="9" max="9" width="13.140625" customWidth="1"/>
    <col min="10" max="10" width="10" style="1" bestFit="1" customWidth="1"/>
    <col min="11" max="11" width="10.140625" customWidth="1"/>
  </cols>
  <sheetData>
    <row r="1" spans="1:11">
      <c r="A1" s="2"/>
    </row>
    <row r="2" spans="1:11">
      <c r="A2" s="2"/>
    </row>
    <row r="3" spans="1:11">
      <c r="A3" s="2"/>
      <c r="G3" s="45" t="s">
        <v>24</v>
      </c>
    </row>
    <row r="4" spans="1:11" ht="15.75">
      <c r="A4" s="57" t="s">
        <v>28</v>
      </c>
      <c r="C4" s="58" t="s">
        <v>26</v>
      </c>
      <c r="G4" s="28" t="s">
        <v>25</v>
      </c>
    </row>
    <row r="5" spans="1:11" ht="15.75">
      <c r="A5" s="58"/>
    </row>
    <row r="6" spans="1:11">
      <c r="A6" s="65" t="s">
        <v>40</v>
      </c>
    </row>
    <row r="7" spans="1:11" ht="16.5" thickBot="1">
      <c r="E7" s="46" t="s">
        <v>27</v>
      </c>
    </row>
    <row r="8" spans="1:11" ht="30.75" thickBot="1">
      <c r="A8" s="47" t="s">
        <v>20</v>
      </c>
      <c r="B8" s="48"/>
      <c r="C8" s="61" t="s">
        <v>31</v>
      </c>
      <c r="E8" s="12" t="s">
        <v>12</v>
      </c>
      <c r="F8" s="54" t="s">
        <v>1</v>
      </c>
      <c r="G8" s="20" t="s">
        <v>13</v>
      </c>
      <c r="H8" s="20" t="s">
        <v>14</v>
      </c>
      <c r="I8" s="23" t="s">
        <v>15</v>
      </c>
      <c r="J8" s="24" t="s">
        <v>6</v>
      </c>
      <c r="K8" s="25" t="s">
        <v>16</v>
      </c>
    </row>
    <row r="9" spans="1:11">
      <c r="A9" s="4" t="s">
        <v>0</v>
      </c>
      <c r="B9" s="49">
        <v>100</v>
      </c>
      <c r="C9" s="62" t="s">
        <v>29</v>
      </c>
      <c r="E9" s="66">
        <v>0</v>
      </c>
      <c r="F9" s="29"/>
      <c r="G9" s="67">
        <f>$B$14*B9*1000-B15</f>
        <v>315000</v>
      </c>
      <c r="H9" s="30"/>
      <c r="I9" s="68" t="s">
        <v>17</v>
      </c>
      <c r="J9" s="31"/>
      <c r="K9" s="32"/>
    </row>
    <row r="10" spans="1:11">
      <c r="A10" s="5" t="s">
        <v>34</v>
      </c>
      <c r="B10" s="50">
        <v>145000</v>
      </c>
      <c r="C10" s="63" t="s">
        <v>30</v>
      </c>
      <c r="E10" s="33">
        <v>1</v>
      </c>
      <c r="F10" s="34">
        <f>B10</f>
        <v>145000</v>
      </c>
      <c r="G10" s="35"/>
      <c r="H10" s="35">
        <f>$B$16*$B$9</f>
        <v>1500</v>
      </c>
      <c r="I10" s="36"/>
      <c r="J10" s="37">
        <f>$B$20</f>
        <v>0.15</v>
      </c>
      <c r="K10" s="38">
        <f>J10*F10</f>
        <v>21750</v>
      </c>
    </row>
    <row r="11" spans="1:11" ht="15.75" thickBot="1">
      <c r="A11" s="6" t="s">
        <v>5</v>
      </c>
      <c r="B11" s="51">
        <v>5.0000000000000001E-3</v>
      </c>
      <c r="C11" s="64" t="s">
        <v>35</v>
      </c>
      <c r="E11" s="33">
        <v>2</v>
      </c>
      <c r="F11" s="34">
        <f>F10*(1-$B$11)</f>
        <v>144275</v>
      </c>
      <c r="G11" s="35"/>
      <c r="H11" s="35">
        <f t="shared" ref="H11:H34" si="0">H10*(1+$B$17)</f>
        <v>1545</v>
      </c>
      <c r="I11" s="36">
        <f>$B$21</f>
        <v>0.03</v>
      </c>
      <c r="J11" s="37">
        <f>J10*(1+$I11)</f>
        <v>0.1545</v>
      </c>
      <c r="K11" s="38">
        <f t="shared" ref="K11:K34" si="1">J11*F11</f>
        <v>22290.487499999999</v>
      </c>
    </row>
    <row r="12" spans="1:11" ht="15.75" thickBot="1">
      <c r="A12" s="7"/>
      <c r="B12" s="7"/>
      <c r="C12" s="59"/>
      <c r="E12" s="33">
        <v>3</v>
      </c>
      <c r="F12" s="34">
        <f t="shared" ref="F12:F34" si="2">F11*(1-$B$11)</f>
        <v>143553.625</v>
      </c>
      <c r="G12" s="35"/>
      <c r="H12" s="35">
        <f t="shared" si="0"/>
        <v>1591.3500000000001</v>
      </c>
      <c r="I12" s="36">
        <f t="shared" ref="I12:I34" si="3">$B$21</f>
        <v>0.03</v>
      </c>
      <c r="J12" s="37">
        <f t="shared" ref="J12:J34" si="4">J11*(1+$I12)</f>
        <v>0.159135</v>
      </c>
      <c r="K12" s="38">
        <f t="shared" si="1"/>
        <v>22844.406114375</v>
      </c>
    </row>
    <row r="13" spans="1:11" ht="15.75" thickBot="1">
      <c r="A13" s="21" t="s">
        <v>19</v>
      </c>
      <c r="B13" s="22"/>
      <c r="C13" s="59"/>
      <c r="E13" s="33">
        <v>4</v>
      </c>
      <c r="F13" s="34">
        <f t="shared" si="2"/>
        <v>142835.856875</v>
      </c>
      <c r="G13" s="35"/>
      <c r="H13" s="35">
        <f t="shared" si="0"/>
        <v>1639.0905000000002</v>
      </c>
      <c r="I13" s="36">
        <f t="shared" si="3"/>
        <v>0.03</v>
      </c>
      <c r="J13" s="37">
        <f t="shared" si="4"/>
        <v>0.16390905</v>
      </c>
      <c r="K13" s="38">
        <f t="shared" si="1"/>
        <v>23412.089606317219</v>
      </c>
    </row>
    <row r="14" spans="1:11" ht="36.75">
      <c r="A14" s="4" t="s">
        <v>2</v>
      </c>
      <c r="B14" s="55">
        <v>3.5</v>
      </c>
      <c r="C14" s="62" t="s">
        <v>37</v>
      </c>
      <c r="E14" s="33">
        <v>5</v>
      </c>
      <c r="F14" s="34">
        <f t="shared" si="2"/>
        <v>142121.67759062501</v>
      </c>
      <c r="G14" s="35"/>
      <c r="H14" s="35">
        <f t="shared" si="0"/>
        <v>1688.2632150000004</v>
      </c>
      <c r="I14" s="36">
        <f t="shared" si="3"/>
        <v>0.03</v>
      </c>
      <c r="J14" s="37">
        <f t="shared" si="4"/>
        <v>0.16882632150000002</v>
      </c>
      <c r="K14" s="38">
        <f t="shared" si="1"/>
        <v>23993.880033034206</v>
      </c>
    </row>
    <row r="15" spans="1:11" ht="24.75">
      <c r="A15" s="69" t="s">
        <v>41</v>
      </c>
      <c r="B15" s="71">
        <v>35000</v>
      </c>
      <c r="C15" s="70" t="s">
        <v>42</v>
      </c>
      <c r="E15" s="33">
        <v>6</v>
      </c>
      <c r="F15" s="34">
        <f t="shared" si="2"/>
        <v>141411.06920267188</v>
      </c>
      <c r="G15" s="35"/>
      <c r="H15" s="35">
        <f t="shared" si="0"/>
        <v>1738.9111114500004</v>
      </c>
      <c r="I15" s="36">
        <f t="shared" si="3"/>
        <v>0.03</v>
      </c>
      <c r="J15" s="37">
        <f t="shared" si="4"/>
        <v>0.17389111114500003</v>
      </c>
      <c r="K15" s="38">
        <f t="shared" si="1"/>
        <v>24590.127951855105</v>
      </c>
    </row>
    <row r="16" spans="1:11" ht="36.75">
      <c r="A16" s="5" t="s">
        <v>3</v>
      </c>
      <c r="B16" s="56">
        <v>15</v>
      </c>
      <c r="C16" s="63" t="s">
        <v>38</v>
      </c>
      <c r="E16" s="33">
        <v>7</v>
      </c>
      <c r="F16" s="34">
        <f t="shared" si="2"/>
        <v>140704.01385665851</v>
      </c>
      <c r="G16" s="35"/>
      <c r="H16" s="35">
        <f t="shared" si="0"/>
        <v>1791.0784447935005</v>
      </c>
      <c r="I16" s="36">
        <f t="shared" si="3"/>
        <v>0.03</v>
      </c>
      <c r="J16" s="37">
        <f t="shared" si="4"/>
        <v>0.17910784447935002</v>
      </c>
      <c r="K16" s="38">
        <f t="shared" si="1"/>
        <v>25201.192631458704</v>
      </c>
    </row>
    <row r="17" spans="1:11" ht="15.75" thickBot="1">
      <c r="A17" s="6" t="s">
        <v>4</v>
      </c>
      <c r="B17" s="52">
        <v>0.03</v>
      </c>
      <c r="C17" s="64" t="s">
        <v>32</v>
      </c>
      <c r="E17" s="33">
        <v>8</v>
      </c>
      <c r="F17" s="34">
        <f t="shared" si="2"/>
        <v>140000.49378737522</v>
      </c>
      <c r="G17" s="35"/>
      <c r="H17" s="35">
        <f t="shared" si="0"/>
        <v>1844.8107981373055</v>
      </c>
      <c r="I17" s="36">
        <f t="shared" si="3"/>
        <v>0.03</v>
      </c>
      <c r="J17" s="37">
        <f t="shared" si="4"/>
        <v>0.18448107981373052</v>
      </c>
      <c r="K17" s="38">
        <f t="shared" si="1"/>
        <v>25827.442268350453</v>
      </c>
    </row>
    <row r="18" spans="1:11" ht="15.75" thickBot="1">
      <c r="A18" s="7"/>
      <c r="B18" s="7"/>
      <c r="C18" s="59"/>
      <c r="E18" s="33">
        <v>9</v>
      </c>
      <c r="F18" s="34">
        <f t="shared" si="2"/>
        <v>139300.49131843835</v>
      </c>
      <c r="G18" s="35"/>
      <c r="H18" s="35">
        <f t="shared" si="0"/>
        <v>1900.1551220814247</v>
      </c>
      <c r="I18" s="36">
        <f t="shared" si="3"/>
        <v>0.03</v>
      </c>
      <c r="J18" s="37">
        <f t="shared" si="4"/>
        <v>0.19001551220814245</v>
      </c>
      <c r="K18" s="38">
        <f t="shared" si="1"/>
        <v>26469.254208718961</v>
      </c>
    </row>
    <row r="19" spans="1:11" ht="15.75" thickBot="1">
      <c r="A19" s="17" t="s">
        <v>21</v>
      </c>
      <c r="B19" s="18"/>
      <c r="C19" s="59"/>
      <c r="E19" s="33">
        <v>10</v>
      </c>
      <c r="F19" s="34">
        <f t="shared" si="2"/>
        <v>138603.98886184616</v>
      </c>
      <c r="G19" s="35"/>
      <c r="H19" s="35">
        <f t="shared" si="0"/>
        <v>1957.1597757438674</v>
      </c>
      <c r="I19" s="36">
        <f t="shared" si="3"/>
        <v>0.03</v>
      </c>
      <c r="J19" s="37">
        <f t="shared" si="4"/>
        <v>0.19571597757438672</v>
      </c>
      <c r="K19" s="38">
        <f t="shared" si="1"/>
        <v>27127.015175805627</v>
      </c>
    </row>
    <row r="20" spans="1:11" ht="36.75">
      <c r="A20" s="4" t="s">
        <v>6</v>
      </c>
      <c r="B20" s="53">
        <v>0.15</v>
      </c>
      <c r="C20" s="62" t="s">
        <v>39</v>
      </c>
      <c r="E20" s="33">
        <v>11</v>
      </c>
      <c r="F20" s="34">
        <f t="shared" si="2"/>
        <v>137910.96891753693</v>
      </c>
      <c r="G20" s="35"/>
      <c r="H20" s="35">
        <f t="shared" si="0"/>
        <v>2015.8745690161834</v>
      </c>
      <c r="I20" s="36">
        <f t="shared" si="3"/>
        <v>0.03</v>
      </c>
      <c r="J20" s="37">
        <f t="shared" si="4"/>
        <v>0.20158745690161833</v>
      </c>
      <c r="K20" s="38">
        <f t="shared" si="1"/>
        <v>27801.121502924401</v>
      </c>
    </row>
    <row r="21" spans="1:11" ht="25.5" thickBot="1">
      <c r="A21" s="6" t="s">
        <v>7</v>
      </c>
      <c r="B21" s="51">
        <v>0.03</v>
      </c>
      <c r="C21" s="64" t="s">
        <v>33</v>
      </c>
      <c r="E21" s="33">
        <v>12</v>
      </c>
      <c r="F21" s="34">
        <f t="shared" si="2"/>
        <v>137221.41407294924</v>
      </c>
      <c r="G21" s="35"/>
      <c r="H21" s="35">
        <f t="shared" si="0"/>
        <v>2076.3508060866689</v>
      </c>
      <c r="I21" s="36">
        <f t="shared" si="3"/>
        <v>0.03</v>
      </c>
      <c r="J21" s="37">
        <f t="shared" si="4"/>
        <v>0.20763508060866689</v>
      </c>
      <c r="K21" s="38">
        <f t="shared" si="1"/>
        <v>28491.979372272071</v>
      </c>
    </row>
    <row r="22" spans="1:11">
      <c r="A22" s="7"/>
      <c r="B22" s="7"/>
      <c r="E22" s="33">
        <v>13</v>
      </c>
      <c r="F22" s="34">
        <f t="shared" si="2"/>
        <v>136535.30700258448</v>
      </c>
      <c r="G22" s="35"/>
      <c r="H22" s="35">
        <f t="shared" si="0"/>
        <v>2138.641330269269</v>
      </c>
      <c r="I22" s="36">
        <f t="shared" si="3"/>
        <v>0.03</v>
      </c>
      <c r="J22" s="37">
        <f t="shared" si="4"/>
        <v>0.21386413302692692</v>
      </c>
      <c r="K22" s="38">
        <f t="shared" si="1"/>
        <v>29200.005059673033</v>
      </c>
    </row>
    <row r="23" spans="1:11">
      <c r="A23" s="7"/>
      <c r="B23" s="7"/>
      <c r="E23" s="33">
        <v>14</v>
      </c>
      <c r="F23" s="34">
        <f t="shared" si="2"/>
        <v>135852.63046757155</v>
      </c>
      <c r="G23" s="35"/>
      <c r="H23" s="35">
        <f t="shared" si="0"/>
        <v>2202.8005701773473</v>
      </c>
      <c r="I23" s="36">
        <f t="shared" si="3"/>
        <v>0.03</v>
      </c>
      <c r="J23" s="37">
        <f t="shared" si="4"/>
        <v>0.22028005701773473</v>
      </c>
      <c r="K23" s="38">
        <f t="shared" si="1"/>
        <v>29925.625185405908</v>
      </c>
    </row>
    <row r="24" spans="1:11" ht="15.75" thickBot="1">
      <c r="A24" s="10" t="s">
        <v>22</v>
      </c>
      <c r="E24" s="33">
        <v>15</v>
      </c>
      <c r="F24" s="34">
        <f t="shared" si="2"/>
        <v>135173.36731523369</v>
      </c>
      <c r="G24" s="35"/>
      <c r="H24" s="35">
        <f t="shared" si="0"/>
        <v>2268.8845872826678</v>
      </c>
      <c r="I24" s="36">
        <f t="shared" si="3"/>
        <v>0.03</v>
      </c>
      <c r="J24" s="37">
        <f t="shared" si="4"/>
        <v>0.22688845872826677</v>
      </c>
      <c r="K24" s="38">
        <f t="shared" si="1"/>
        <v>30669.276971263243</v>
      </c>
    </row>
    <row r="25" spans="1:11" ht="15.75" thickBot="1">
      <c r="A25" s="26" t="s">
        <v>9</v>
      </c>
      <c r="B25" s="27"/>
      <c r="C25" s="59" t="s">
        <v>36</v>
      </c>
      <c r="E25" s="33">
        <v>16</v>
      </c>
      <c r="F25" s="34">
        <f t="shared" si="2"/>
        <v>134497.50047865752</v>
      </c>
      <c r="G25" s="35"/>
      <c r="H25" s="35">
        <f t="shared" si="0"/>
        <v>2336.951124901148</v>
      </c>
      <c r="I25" s="36">
        <f t="shared" si="3"/>
        <v>0.03</v>
      </c>
      <c r="J25" s="37">
        <f t="shared" si="4"/>
        <v>0.23369511249011476</v>
      </c>
      <c r="K25" s="38">
        <f t="shared" si="1"/>
        <v>31431.408503999133</v>
      </c>
    </row>
    <row r="26" spans="1:11">
      <c r="A26" s="4" t="s">
        <v>8</v>
      </c>
      <c r="B26" s="8">
        <f>SUM($G$9,$H$10:$H$29)/SUM($F$10:$F$29)</f>
        <v>0.12844090165372407</v>
      </c>
      <c r="E26" s="33">
        <v>17</v>
      </c>
      <c r="F26" s="34">
        <f t="shared" si="2"/>
        <v>133825.01297626423</v>
      </c>
      <c r="G26" s="35"/>
      <c r="H26" s="35">
        <f t="shared" si="0"/>
        <v>2407.0596586481824</v>
      </c>
      <c r="I26" s="36">
        <f t="shared" si="3"/>
        <v>0.03</v>
      </c>
      <c r="J26" s="37">
        <f t="shared" si="4"/>
        <v>0.24070596586481821</v>
      </c>
      <c r="K26" s="38">
        <f t="shared" si="1"/>
        <v>32212.479005323512</v>
      </c>
    </row>
    <row r="27" spans="1:11" ht="15.75" thickBot="1">
      <c r="A27" s="6" t="s">
        <v>11</v>
      </c>
      <c r="B27" s="9">
        <f>SUM($G$35:$H$35)/$F$35</f>
        <v>0.10823500830130729</v>
      </c>
      <c r="E27" s="33">
        <v>18</v>
      </c>
      <c r="F27" s="34">
        <f t="shared" si="2"/>
        <v>133155.88791138292</v>
      </c>
      <c r="G27" s="35"/>
      <c r="H27" s="35">
        <f t="shared" si="0"/>
        <v>2479.2714484076282</v>
      </c>
      <c r="I27" s="36">
        <f t="shared" si="3"/>
        <v>0.03</v>
      </c>
      <c r="J27" s="37">
        <f t="shared" si="4"/>
        <v>0.24792714484076275</v>
      </c>
      <c r="K27" s="38">
        <f t="shared" si="1"/>
        <v>33012.959108605806</v>
      </c>
    </row>
    <row r="28" spans="1:11" ht="15.75" thickBot="1">
      <c r="A28" s="7"/>
      <c r="B28" s="11"/>
      <c r="E28" s="33">
        <v>19</v>
      </c>
      <c r="F28" s="34">
        <f t="shared" si="2"/>
        <v>132490.10847182601</v>
      </c>
      <c r="G28" s="35"/>
      <c r="H28" s="35">
        <f t="shared" si="0"/>
        <v>2553.6495918598571</v>
      </c>
      <c r="I28" s="36">
        <f t="shared" si="3"/>
        <v>0.03</v>
      </c>
      <c r="J28" s="37">
        <f t="shared" si="4"/>
        <v>0.25536495918598562</v>
      </c>
      <c r="K28" s="38">
        <f t="shared" si="1"/>
        <v>33833.331142454655</v>
      </c>
    </row>
    <row r="29" spans="1:11" ht="15.75" thickBot="1">
      <c r="A29" s="26" t="s">
        <v>10</v>
      </c>
      <c r="B29" s="27"/>
      <c r="C29" s="59" t="s">
        <v>36</v>
      </c>
      <c r="E29" s="33">
        <v>20</v>
      </c>
      <c r="F29" s="34">
        <f t="shared" si="2"/>
        <v>131827.65792946689</v>
      </c>
      <c r="G29" s="35"/>
      <c r="H29" s="35">
        <f t="shared" si="0"/>
        <v>2630.2590796156528</v>
      </c>
      <c r="I29" s="36">
        <f t="shared" si="3"/>
        <v>0.03</v>
      </c>
      <c r="J29" s="37">
        <f t="shared" si="4"/>
        <v>0.26302590796156522</v>
      </c>
      <c r="K29" s="38">
        <f t="shared" si="1"/>
        <v>34674.089421344659</v>
      </c>
    </row>
    <row r="30" spans="1:11">
      <c r="A30" s="4" t="s">
        <v>8</v>
      </c>
      <c r="B30" s="8">
        <f>SUM($K$10:$K$29)/SUM($F$10:$F$29)</f>
        <v>0.2005418640365782</v>
      </c>
      <c r="E30" s="33">
        <v>21</v>
      </c>
      <c r="F30" s="34">
        <f t="shared" si="2"/>
        <v>131168.51963981957</v>
      </c>
      <c r="G30" s="35"/>
      <c r="H30" s="35">
        <f t="shared" si="0"/>
        <v>2709.1668520041226</v>
      </c>
      <c r="I30" s="36">
        <f t="shared" si="3"/>
        <v>0.03</v>
      </c>
      <c r="J30" s="37">
        <f t="shared" si="4"/>
        <v>0.27091668520041218</v>
      </c>
      <c r="K30" s="38">
        <f t="shared" si="1"/>
        <v>35535.740543465079</v>
      </c>
    </row>
    <row r="31" spans="1:11" ht="15.75" thickBot="1">
      <c r="A31" s="6" t="s">
        <v>11</v>
      </c>
      <c r="B31" s="9">
        <f>$K$35/$F$35</f>
        <v>0.21708832241462891</v>
      </c>
      <c r="E31" s="33">
        <v>22</v>
      </c>
      <c r="F31" s="34">
        <f t="shared" si="2"/>
        <v>130512.67704162047</v>
      </c>
      <c r="G31" s="35"/>
      <c r="H31" s="35">
        <f t="shared" si="0"/>
        <v>2790.4418575642462</v>
      </c>
      <c r="I31" s="36">
        <f t="shared" si="3"/>
        <v>0.03</v>
      </c>
      <c r="J31" s="37">
        <f t="shared" si="4"/>
        <v>0.27904418575642453</v>
      </c>
      <c r="K31" s="38">
        <f t="shared" si="1"/>
        <v>36418.803695970186</v>
      </c>
    </row>
    <row r="32" spans="1:11">
      <c r="E32" s="33">
        <v>23</v>
      </c>
      <c r="F32" s="34">
        <f t="shared" si="2"/>
        <v>129860.11365641236</v>
      </c>
      <c r="G32" s="35"/>
      <c r="H32" s="35">
        <f t="shared" si="0"/>
        <v>2874.1551132911736</v>
      </c>
      <c r="I32" s="36">
        <f t="shared" si="3"/>
        <v>0.03</v>
      </c>
      <c r="J32" s="37">
        <f t="shared" si="4"/>
        <v>0.2874155113291173</v>
      </c>
      <c r="K32" s="38">
        <f t="shared" si="1"/>
        <v>37323.810967815043</v>
      </c>
    </row>
    <row r="33" spans="1:11">
      <c r="A33" s="19" t="s">
        <v>23</v>
      </c>
      <c r="E33" s="33">
        <v>24</v>
      </c>
      <c r="F33" s="34">
        <f t="shared" si="2"/>
        <v>129210.81308813029</v>
      </c>
      <c r="G33" s="35"/>
      <c r="H33" s="35">
        <f t="shared" si="0"/>
        <v>2960.379766689909</v>
      </c>
      <c r="I33" s="36">
        <f t="shared" si="3"/>
        <v>0.03</v>
      </c>
      <c r="J33" s="37">
        <f t="shared" si="4"/>
        <v>0.29603797666899084</v>
      </c>
      <c r="K33" s="38">
        <f t="shared" si="1"/>
        <v>38251.307670365255</v>
      </c>
    </row>
    <row r="34" spans="1:11" ht="15.75" thickBot="1">
      <c r="E34" s="39">
        <v>25</v>
      </c>
      <c r="F34" s="40">
        <f t="shared" si="2"/>
        <v>128564.75902268964</v>
      </c>
      <c r="G34" s="41"/>
      <c r="H34" s="41">
        <f t="shared" si="0"/>
        <v>3049.1911596906066</v>
      </c>
      <c r="I34" s="42">
        <f t="shared" si="3"/>
        <v>0.03</v>
      </c>
      <c r="J34" s="43">
        <f t="shared" si="4"/>
        <v>0.30491911596906057</v>
      </c>
      <c r="K34" s="44">
        <f t="shared" si="1"/>
        <v>39201.852665973827</v>
      </c>
    </row>
    <row r="35" spans="1:11" ht="15.75" thickBot="1">
      <c r="E35" s="3" t="s">
        <v>18</v>
      </c>
      <c r="F35" s="13">
        <f>SUM(F10:F34)</f>
        <v>3415612.9544847608</v>
      </c>
      <c r="G35" s="15">
        <f>SUM(G9:G34)</f>
        <v>315000</v>
      </c>
      <c r="H35" s="15">
        <f>SUM(H10:H34)</f>
        <v>54688.89648271077</v>
      </c>
      <c r="I35" s="14"/>
      <c r="J35" s="14"/>
      <c r="K35" s="16">
        <f>SUM(K10:K34)</f>
        <v>741489.68630677101</v>
      </c>
    </row>
  </sheetData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LCOE Calculator</vt:lpstr>
    </vt:vector>
  </TitlesOfParts>
  <Company>Optony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LCOE Analysis</dc:title>
  <dc:creator>Optony Inc</dc:creator>
  <cp:lastModifiedBy>cswisher</cp:lastModifiedBy>
  <dcterms:created xsi:type="dcterms:W3CDTF">2013-10-23T18:30:23Z</dcterms:created>
  <dcterms:modified xsi:type="dcterms:W3CDTF">2014-03-31T18:31:06Z</dcterms:modified>
</cp:coreProperties>
</file>